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franc\Bureau\STAGE CDA\concevoir BDD\"/>
    </mc:Choice>
  </mc:AlternateContent>
  <xr:revisionPtr revIDLastSave="0" documentId="13_ncr:1_{B83D0132-E0EA-43F5-AEA3-F1D2FC1CBC25}" xr6:coauthVersionLast="47" xr6:coauthVersionMax="47" xr10:uidLastSave="{00000000-0000-0000-0000-000000000000}"/>
  <bookViews>
    <workbookView xWindow="-24154" yWindow="-3969" windowWidth="24267" windowHeight="13022" firstSheet="1" activeTab="3" xr2:uid="{00000000-000D-0000-FFFF-FFFF00000000}"/>
  </bookViews>
  <sheets>
    <sheet name="DicoDonnees" sheetId="4" r:id="rId1"/>
    <sheet name="DicoDonnees (2)" sheetId="6" r:id="rId2"/>
    <sheet name="Jeux de Donnees" sheetId="7" r:id="rId3"/>
    <sheet name="JeuxDonneesSQLserver" sheetId="11" r:id="rId4"/>
    <sheet name="Feuil3" sheetId="5" r:id="rId5"/>
    <sheet name="Feuil5" sheetId="10" r:id="rId6"/>
    <sheet name="Feuil1" sheetId="3" r:id="rId7"/>
    <sheet name="Feuil2" sheetId="8" r:id="rId8"/>
    <sheet name="Feuil4" sheetId="9" r:id="rId9"/>
  </sheets>
  <definedNames>
    <definedName name="Calculs">Feuil1!$H$4:$H$9</definedName>
    <definedName name="Contraintes">Feuil1!$G$4:$G$23</definedName>
    <definedName name="Emma" localSheetId="7">Feuil2!$B$71</definedName>
    <definedName name="jeanne" localSheetId="7">Feuil2!$B$435</definedName>
    <definedName name="JJJ" localSheetId="7">Feuil2!$B$374</definedName>
    <definedName name="NomER" localSheetId="7">Feuil2!$B$88</definedName>
    <definedName name="NomF" localSheetId="7">Feuil2!$B$146</definedName>
    <definedName name="NomG" localSheetId="7">Feuil2!$B$188</definedName>
    <definedName name="NomGer" localSheetId="7">Feuil2!$B$209</definedName>
    <definedName name="NomH" localSheetId="7">Feuil2!$B$268</definedName>
    <definedName name="NomI" localSheetId="7">Feuil2!$B$346</definedName>
    <definedName name="NomK" localSheetId="7">Feuil2!$B$522</definedName>
    <definedName name="NomL" localSheetId="7">Feuil2!$B$552</definedName>
    <definedName name="NomM" localSheetId="7">Feuil2!$B$687</definedName>
    <definedName name="NomN" localSheetId="7">Feuil2!$B$840</definedName>
    <definedName name="NomO" localSheetId="7">Feuil2!$B$888</definedName>
    <definedName name="NomP" localSheetId="7">Feuil2!$B$938</definedName>
    <definedName name="NomQ" localSheetId="7">Feuil2!$B$1030</definedName>
    <definedName name="NomR" localSheetId="7">Feuil2!$B$1038</definedName>
    <definedName name="NomS" localSheetId="7">Feuil2!$B$1126</definedName>
    <definedName name="NomT" localSheetId="7">Feuil2!$B$1260</definedName>
    <definedName name="NomV" localSheetId="7">Feuil2!$B$1342</definedName>
    <definedName name="NomY" localSheetId="7">Feuil2!$B$1373</definedName>
    <definedName name="sacha" localSheetId="7">Feuil2!$B$1130</definedName>
    <definedName name="sheila" localSheetId="7">Feuil2!$B$1206</definedName>
    <definedName name="SO" localSheetId="7">Feuil2!$B$1219</definedName>
    <definedName name="Types">Feuil1!$F$4:$F$33</definedName>
    <definedName name="_xlnm.Print_Area" localSheetId="0">DicoDonnees!$B$2:$K$71</definedName>
    <definedName name="_xlnm.Print_Area" localSheetId="1">'DicoDonnees (2)'!$A$109:$J$137</definedName>
    <definedName name="_xlnm.Print_Area" localSheetId="2">'Jeux de Donnees'!#REF!</definedName>
    <definedName name="_xlnm.Print_Area" localSheetId="3">JeuxDonneesSQLserver!#REF!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K4" i="11" l="1"/>
  <c r="BK5" i="11"/>
  <c r="BK6" i="11"/>
  <c r="BK3" i="11"/>
  <c r="BG4" i="11"/>
  <c r="BG5" i="11"/>
  <c r="BG6" i="11"/>
  <c r="BE4" i="11"/>
  <c r="BE5" i="11"/>
  <c r="BE6" i="11"/>
  <c r="BC4" i="11"/>
  <c r="BC5" i="11"/>
  <c r="BC6" i="11"/>
  <c r="BA4" i="11"/>
  <c r="BA5" i="11"/>
  <c r="BA6" i="11"/>
  <c r="AY4" i="11"/>
  <c r="AY5" i="11"/>
  <c r="AY6" i="11"/>
  <c r="AW4" i="11"/>
  <c r="AW5" i="11"/>
  <c r="AW6" i="11"/>
  <c r="AU4" i="11"/>
  <c r="AU5" i="11"/>
  <c r="AU6" i="11"/>
  <c r="AS4" i="11"/>
  <c r="AS5" i="11"/>
  <c r="AS6" i="11"/>
  <c r="AQ4" i="11"/>
  <c r="AQ5" i="11"/>
  <c r="AQ6" i="11"/>
  <c r="AM4" i="11"/>
  <c r="AM5" i="11" s="1"/>
  <c r="AM6" i="11" s="1"/>
  <c r="AK4" i="11"/>
  <c r="AK5" i="11" s="1"/>
  <c r="AK6" i="11" s="1"/>
  <c r="AI4" i="11"/>
  <c r="AI5" i="11" s="1"/>
  <c r="AI6" i="11" s="1"/>
  <c r="AG4" i="11"/>
  <c r="AG5" i="11" s="1"/>
  <c r="AG6" i="11" s="1"/>
  <c r="AE5" i="11"/>
  <c r="AE6" i="11" s="1"/>
  <c r="AE4" i="11"/>
  <c r="AC4" i="11"/>
  <c r="AC5" i="11" s="1"/>
  <c r="AC6" i="11" s="1"/>
  <c r="AA4" i="11"/>
  <c r="AA5" i="11" s="1"/>
  <c r="AA6" i="11" s="1"/>
  <c r="Y4" i="11"/>
  <c r="Y5" i="11" s="1"/>
  <c r="Y6" i="11" s="1"/>
  <c r="W4" i="11"/>
  <c r="W5" i="11" s="1"/>
  <c r="W6" i="11" s="1"/>
  <c r="AY3" i="11"/>
  <c r="AW3" i="11"/>
  <c r="AU102" i="11"/>
  <c r="AU103" i="11"/>
  <c r="AU104" i="11"/>
  <c r="AU105" i="11"/>
  <c r="AU106" i="11"/>
  <c r="AU107" i="11"/>
  <c r="AU108" i="11"/>
  <c r="AU109" i="11"/>
  <c r="BJ74" i="11"/>
  <c r="BJ73" i="11"/>
  <c r="BJ72" i="11"/>
  <c r="BJ71" i="11"/>
  <c r="BJ70" i="11"/>
  <c r="BJ69" i="11"/>
  <c r="BJ68" i="11"/>
  <c r="BJ67" i="11"/>
  <c r="BJ66" i="11"/>
  <c r="BI67" i="11"/>
  <c r="BI68" i="11"/>
  <c r="BI69" i="11"/>
  <c r="BI70" i="11"/>
  <c r="BI71" i="11"/>
  <c r="BI72" i="11"/>
  <c r="BI73" i="11"/>
  <c r="BI74" i="11"/>
  <c r="BI66" i="11"/>
  <c r="AI31" i="11"/>
  <c r="BX21" i="11"/>
  <c r="BX22" i="11"/>
  <c r="BX23" i="11"/>
  <c r="BX24" i="11"/>
  <c r="BX25" i="11"/>
  <c r="BX26" i="11"/>
  <c r="BX27" i="11"/>
  <c r="CB21" i="11"/>
  <c r="CB22" i="11"/>
  <c r="CB23" i="11"/>
  <c r="CB24" i="11"/>
  <c r="CB25" i="11"/>
  <c r="CB26" i="11"/>
  <c r="CB27" i="11"/>
  <c r="CB20" i="11"/>
  <c r="BX20" i="11"/>
  <c r="S240" i="11"/>
  <c r="S241" i="11"/>
  <c r="S242" i="11"/>
  <c r="S243" i="11"/>
  <c r="S244" i="11"/>
  <c r="S245" i="11"/>
  <c r="S246" i="11"/>
  <c r="S247" i="11"/>
  <c r="S248" i="11"/>
  <c r="S249" i="11"/>
  <c r="S250" i="11"/>
  <c r="S251" i="11"/>
  <c r="S255" i="11"/>
  <c r="S256" i="11"/>
  <c r="N118" i="11"/>
  <c r="N119" i="11"/>
  <c r="N120" i="11"/>
  <c r="N121" i="11"/>
  <c r="BM120" i="11" s="1"/>
  <c r="BW120" i="11" s="1"/>
  <c r="N122" i="11"/>
  <c r="BM121" i="11" s="1"/>
  <c r="BW121" i="11" s="1"/>
  <c r="N123" i="11"/>
  <c r="BM122" i="11" s="1"/>
  <c r="BW122" i="11" s="1"/>
  <c r="N124" i="11"/>
  <c r="BM123" i="11" s="1"/>
  <c r="BW123" i="11" s="1"/>
  <c r="N117" i="11"/>
  <c r="BM116" i="11" s="1"/>
  <c r="BI121" i="11"/>
  <c r="BI122" i="11"/>
  <c r="BI123" i="11"/>
  <c r="BG122" i="11"/>
  <c r="BG123" i="11"/>
  <c r="L435" i="11"/>
  <c r="AI407" i="11"/>
  <c r="AQ407" i="11" s="1"/>
  <c r="AI408" i="11"/>
  <c r="AQ408" i="11" s="1"/>
  <c r="AI409" i="11"/>
  <c r="AQ409" i="11" s="1"/>
  <c r="AI410" i="11"/>
  <c r="AQ410" i="11" s="1"/>
  <c r="AI411" i="11"/>
  <c r="AQ411" i="11" s="1"/>
  <c r="AI412" i="11"/>
  <c r="AQ412" i="11" s="1"/>
  <c r="AI413" i="11"/>
  <c r="AQ413" i="11" s="1"/>
  <c r="AI414" i="11"/>
  <c r="AQ414" i="11" s="1"/>
  <c r="AI415" i="11"/>
  <c r="AQ415" i="11" s="1"/>
  <c r="AI416" i="11"/>
  <c r="AQ416" i="11" s="1"/>
  <c r="AI417" i="11"/>
  <c r="AQ417" i="11" s="1"/>
  <c r="AI418" i="11"/>
  <c r="AQ418" i="11" s="1"/>
  <c r="AI419" i="11"/>
  <c r="AQ419" i="11" s="1"/>
  <c r="AI420" i="11"/>
  <c r="AQ420" i="11" s="1"/>
  <c r="AI421" i="11"/>
  <c r="AQ421" i="11" s="1"/>
  <c r="AI422" i="11"/>
  <c r="AQ422" i="11" s="1"/>
  <c r="AI423" i="11"/>
  <c r="AQ423" i="11" s="1"/>
  <c r="AI424" i="11"/>
  <c r="AQ424" i="11" s="1"/>
  <c r="AI425" i="11"/>
  <c r="AQ425" i="11" s="1"/>
  <c r="AI426" i="11"/>
  <c r="AQ426" i="11" s="1"/>
  <c r="AI427" i="11"/>
  <c r="AQ427" i="11" s="1"/>
  <c r="AI428" i="11"/>
  <c r="AQ428" i="11" s="1"/>
  <c r="AI429" i="11"/>
  <c r="AQ429" i="11" s="1"/>
  <c r="AI430" i="11"/>
  <c r="AQ430" i="11" s="1"/>
  <c r="AI431" i="11"/>
  <c r="AQ431" i="11" s="1"/>
  <c r="AI432" i="11"/>
  <c r="AQ432" i="11" s="1"/>
  <c r="AI433" i="11"/>
  <c r="AQ433" i="11" s="1"/>
  <c r="AI434" i="11"/>
  <c r="AQ434" i="11" s="1"/>
  <c r="AI435" i="11"/>
  <c r="AQ435" i="11" s="1"/>
  <c r="AI436" i="11"/>
  <c r="AQ436" i="11" s="1"/>
  <c r="AI437" i="11"/>
  <c r="AQ437" i="11" s="1"/>
  <c r="AI438" i="11"/>
  <c r="AQ438" i="11" s="1"/>
  <c r="AI406" i="11"/>
  <c r="AQ406" i="11" s="1"/>
  <c r="U407" i="11"/>
  <c r="AG407" i="11"/>
  <c r="AK407" i="11"/>
  <c r="AM407" i="11"/>
  <c r="AO407" i="11"/>
  <c r="AG408" i="11"/>
  <c r="AK408" i="11"/>
  <c r="AM408" i="11"/>
  <c r="AO408" i="11"/>
  <c r="AG409" i="11"/>
  <c r="AK409" i="11"/>
  <c r="AM409" i="11"/>
  <c r="AO409" i="11"/>
  <c r="AG410" i="11"/>
  <c r="AK410" i="11"/>
  <c r="AM410" i="11"/>
  <c r="AO410" i="11"/>
  <c r="AG411" i="11"/>
  <c r="AK411" i="11"/>
  <c r="AM411" i="11"/>
  <c r="AO411" i="11"/>
  <c r="AG412" i="11"/>
  <c r="AK412" i="11"/>
  <c r="AM412" i="11"/>
  <c r="AO412" i="11"/>
  <c r="AG413" i="11"/>
  <c r="AK413" i="11"/>
  <c r="AM413" i="11"/>
  <c r="AO413" i="11"/>
  <c r="AG414" i="11"/>
  <c r="AK414" i="11"/>
  <c r="AM414" i="11"/>
  <c r="AO414" i="11"/>
  <c r="AG415" i="11"/>
  <c r="AK415" i="11"/>
  <c r="AM415" i="11"/>
  <c r="AO415" i="11"/>
  <c r="AG416" i="11"/>
  <c r="AK416" i="11"/>
  <c r="AM416" i="11"/>
  <c r="AO416" i="11"/>
  <c r="AG417" i="11"/>
  <c r="AK417" i="11"/>
  <c r="AM417" i="11"/>
  <c r="AO417" i="11"/>
  <c r="AG418" i="11"/>
  <c r="AK418" i="11"/>
  <c r="AM418" i="11"/>
  <c r="AO418" i="11"/>
  <c r="AG419" i="11"/>
  <c r="AK419" i="11"/>
  <c r="AM419" i="11"/>
  <c r="AO419" i="11"/>
  <c r="AG420" i="11"/>
  <c r="AK420" i="11"/>
  <c r="AM420" i="11"/>
  <c r="AO420" i="11"/>
  <c r="AG421" i="11"/>
  <c r="AK421" i="11"/>
  <c r="AM421" i="11"/>
  <c r="AO421" i="11"/>
  <c r="AG422" i="11"/>
  <c r="AK422" i="11"/>
  <c r="AM422" i="11"/>
  <c r="AO422" i="11"/>
  <c r="AG423" i="11"/>
  <c r="AK423" i="11"/>
  <c r="AM423" i="11"/>
  <c r="AO423" i="11"/>
  <c r="AG424" i="11"/>
  <c r="AK424" i="11"/>
  <c r="AM424" i="11"/>
  <c r="AO424" i="11"/>
  <c r="AG425" i="11"/>
  <c r="AK425" i="11"/>
  <c r="AM425" i="11"/>
  <c r="AO425" i="11"/>
  <c r="AG426" i="11"/>
  <c r="AK426" i="11"/>
  <c r="AM426" i="11"/>
  <c r="AO426" i="11"/>
  <c r="AG427" i="11"/>
  <c r="AK427" i="11"/>
  <c r="AM427" i="11"/>
  <c r="AO427" i="11"/>
  <c r="AG428" i="11"/>
  <c r="AK428" i="11"/>
  <c r="AM428" i="11"/>
  <c r="AO428" i="11"/>
  <c r="AG429" i="11"/>
  <c r="AK429" i="11"/>
  <c r="AM429" i="11"/>
  <c r="AO429" i="11"/>
  <c r="AG430" i="11"/>
  <c r="AK430" i="11"/>
  <c r="AM430" i="11"/>
  <c r="AO430" i="11"/>
  <c r="AG431" i="11"/>
  <c r="AK431" i="11"/>
  <c r="AM431" i="11"/>
  <c r="AO431" i="11"/>
  <c r="AG432" i="11"/>
  <c r="AK432" i="11"/>
  <c r="AM432" i="11"/>
  <c r="AO432" i="11"/>
  <c r="AG433" i="11"/>
  <c r="AK433" i="11"/>
  <c r="AM433" i="11"/>
  <c r="AO433" i="11"/>
  <c r="AG434" i="11"/>
  <c r="AK434" i="11"/>
  <c r="AM434" i="11"/>
  <c r="AO434" i="11"/>
  <c r="AG435" i="11"/>
  <c r="AK435" i="11"/>
  <c r="AM435" i="11"/>
  <c r="AO435" i="11"/>
  <c r="AG436" i="11"/>
  <c r="AK436" i="11"/>
  <c r="AM436" i="11"/>
  <c r="AO436" i="11"/>
  <c r="AG437" i="11"/>
  <c r="AK437" i="11"/>
  <c r="AM437" i="11"/>
  <c r="AO437" i="11"/>
  <c r="AG438" i="11"/>
  <c r="AK438" i="11"/>
  <c r="AM438" i="11"/>
  <c r="AO438" i="11"/>
  <c r="AI402" i="11"/>
  <c r="AU402" i="11" s="1"/>
  <c r="AO406" i="11"/>
  <c r="AM406" i="11"/>
  <c r="AK406" i="11"/>
  <c r="AG406" i="11"/>
  <c r="U406" i="11"/>
  <c r="U405" i="11"/>
  <c r="AI389" i="11"/>
  <c r="AU389" i="11" s="1"/>
  <c r="AI390" i="11"/>
  <c r="AU390" i="11" s="1"/>
  <c r="AI391" i="11"/>
  <c r="AU391" i="11" s="1"/>
  <c r="AI392" i="11"/>
  <c r="AU392" i="11" s="1"/>
  <c r="AI393" i="11"/>
  <c r="AU393" i="11" s="1"/>
  <c r="AI394" i="11"/>
  <c r="AU394" i="11" s="1"/>
  <c r="AI395" i="11"/>
  <c r="AU395" i="11" s="1"/>
  <c r="AI396" i="11"/>
  <c r="AU396" i="11" s="1"/>
  <c r="AI397" i="11"/>
  <c r="AU397" i="11" s="1"/>
  <c r="AI398" i="11"/>
  <c r="AU398" i="11" s="1"/>
  <c r="AI399" i="11"/>
  <c r="AU399" i="11" s="1"/>
  <c r="AI400" i="11"/>
  <c r="AU400" i="11" s="1"/>
  <c r="AI401" i="11"/>
  <c r="AU401" i="11" s="1"/>
  <c r="AI388" i="11"/>
  <c r="AU388" i="11" s="1"/>
  <c r="AG384" i="11"/>
  <c r="AS389" i="11"/>
  <c r="AS390" i="11"/>
  <c r="AS391" i="11"/>
  <c r="AS392" i="11"/>
  <c r="AS393" i="11"/>
  <c r="AS394" i="11"/>
  <c r="AS395" i="11"/>
  <c r="AS396" i="11"/>
  <c r="AS397" i="11"/>
  <c r="AS398" i="11"/>
  <c r="AS399" i="11"/>
  <c r="AS400" i="11"/>
  <c r="AS401" i="11"/>
  <c r="AS402" i="11"/>
  <c r="AS388" i="11"/>
  <c r="U389" i="11"/>
  <c r="U390" i="11" s="1"/>
  <c r="AK389" i="11"/>
  <c r="AM389" i="11"/>
  <c r="AO389" i="11"/>
  <c r="AQ389" i="11"/>
  <c r="AK390" i="11"/>
  <c r="AM390" i="11"/>
  <c r="AO390" i="11"/>
  <c r="AQ390" i="11"/>
  <c r="AK391" i="11"/>
  <c r="AM391" i="11"/>
  <c r="AO391" i="11"/>
  <c r="AQ391" i="11"/>
  <c r="AK392" i="11"/>
  <c r="AM392" i="11"/>
  <c r="AO392" i="11"/>
  <c r="AQ392" i="11"/>
  <c r="AK393" i="11"/>
  <c r="AO393" i="11"/>
  <c r="AQ393" i="11"/>
  <c r="AK394" i="11"/>
  <c r="AM394" i="11"/>
  <c r="AO394" i="11"/>
  <c r="AQ394" i="11"/>
  <c r="AK395" i="11"/>
  <c r="AM395" i="11"/>
  <c r="AO395" i="11"/>
  <c r="AQ395" i="11"/>
  <c r="AK396" i="11"/>
  <c r="AM396" i="11"/>
  <c r="AO396" i="11"/>
  <c r="AQ396" i="11"/>
  <c r="AK397" i="11"/>
  <c r="AM397" i="11"/>
  <c r="AO397" i="11"/>
  <c r="AQ397" i="11"/>
  <c r="AK398" i="11"/>
  <c r="AO398" i="11"/>
  <c r="AQ398" i="11"/>
  <c r="AK399" i="11"/>
  <c r="AM399" i="11"/>
  <c r="AO399" i="11"/>
  <c r="AQ399" i="11"/>
  <c r="AK400" i="11"/>
  <c r="AM400" i="11"/>
  <c r="AO400" i="11"/>
  <c r="AQ400" i="11"/>
  <c r="AK401" i="11"/>
  <c r="AM401" i="11"/>
  <c r="AO401" i="11"/>
  <c r="AQ401" i="11"/>
  <c r="AK402" i="11"/>
  <c r="AM402" i="11"/>
  <c r="AO402" i="11"/>
  <c r="AQ402" i="11"/>
  <c r="AQ388" i="11"/>
  <c r="AO388" i="11"/>
  <c r="AK388" i="11"/>
  <c r="U388" i="11"/>
  <c r="U387" i="11"/>
  <c r="AG373" i="11"/>
  <c r="AG374" i="11"/>
  <c r="AG375" i="11"/>
  <c r="AG376" i="11"/>
  <c r="AG377" i="11"/>
  <c r="AG378" i="11"/>
  <c r="AG379" i="11"/>
  <c r="AG380" i="11"/>
  <c r="AG381" i="11"/>
  <c r="AG382" i="11"/>
  <c r="AG383" i="11"/>
  <c r="AG385" i="11"/>
  <c r="AG372" i="11"/>
  <c r="AQ372" i="11" s="1"/>
  <c r="AS367" i="11"/>
  <c r="BG367" i="11" s="1"/>
  <c r="AS368" i="11"/>
  <c r="BG368" i="11" s="1"/>
  <c r="AI373" i="11"/>
  <c r="AK373" i="11"/>
  <c r="AM373" i="11"/>
  <c r="AO373" i="11"/>
  <c r="AI374" i="11"/>
  <c r="AK374" i="11"/>
  <c r="AM374" i="11"/>
  <c r="AO374" i="11"/>
  <c r="AI375" i="11"/>
  <c r="AK375" i="11"/>
  <c r="AM375" i="11"/>
  <c r="AO375" i="11"/>
  <c r="AI376" i="11"/>
  <c r="AM376" i="11"/>
  <c r="AO376" i="11"/>
  <c r="AI377" i="11"/>
  <c r="AK377" i="11"/>
  <c r="AM377" i="11"/>
  <c r="AO377" i="11"/>
  <c r="AI378" i="11"/>
  <c r="AK378" i="11"/>
  <c r="AM378" i="11"/>
  <c r="AO378" i="11"/>
  <c r="AI379" i="11"/>
  <c r="AK379" i="11"/>
  <c r="AM379" i="11"/>
  <c r="AO379" i="11"/>
  <c r="AI380" i="11"/>
  <c r="AM380" i="11"/>
  <c r="AO380" i="11"/>
  <c r="AI381" i="11"/>
  <c r="AK381" i="11"/>
  <c r="AM381" i="11"/>
  <c r="AO381" i="11"/>
  <c r="AI382" i="11"/>
  <c r="AK382" i="11"/>
  <c r="AM382" i="11"/>
  <c r="AO382" i="11"/>
  <c r="AI383" i="11"/>
  <c r="AK383" i="11"/>
  <c r="AM383" i="11"/>
  <c r="AO383" i="11"/>
  <c r="AI384" i="11"/>
  <c r="AM384" i="11"/>
  <c r="AO384" i="11"/>
  <c r="AI385" i="11"/>
  <c r="AM385" i="11"/>
  <c r="AO385" i="11"/>
  <c r="AO372" i="11"/>
  <c r="AM372" i="11"/>
  <c r="AI372" i="11"/>
  <c r="U371" i="11"/>
  <c r="U372" i="11" s="1"/>
  <c r="U373" i="11" s="1"/>
  <c r="U356" i="11"/>
  <c r="AS356" i="11"/>
  <c r="BG356" i="11" s="1"/>
  <c r="AU356" i="11"/>
  <c r="AW356" i="11"/>
  <c r="AY356" i="11"/>
  <c r="BA356" i="11"/>
  <c r="BC356" i="11"/>
  <c r="BE356" i="11"/>
  <c r="U357" i="11"/>
  <c r="U358" i="11" s="1"/>
  <c r="U359" i="11" s="1"/>
  <c r="U360" i="11" s="1"/>
  <c r="U361" i="11" s="1"/>
  <c r="U362" i="11" s="1"/>
  <c r="U363" i="11" s="1"/>
  <c r="U364" i="11" s="1"/>
  <c r="U365" i="11" s="1"/>
  <c r="U366" i="11" s="1"/>
  <c r="U367" i="11" s="1"/>
  <c r="U368" i="11" s="1"/>
  <c r="AS357" i="11"/>
  <c r="BG357" i="11" s="1"/>
  <c r="AU357" i="11"/>
  <c r="AW357" i="11"/>
  <c r="AY357" i="11"/>
  <c r="BA357" i="11"/>
  <c r="BC357" i="11"/>
  <c r="BE357" i="11"/>
  <c r="AS358" i="11"/>
  <c r="BG358" i="11" s="1"/>
  <c r="AU358" i="11"/>
  <c r="AW358" i="11"/>
  <c r="AY358" i="11"/>
  <c r="BA358" i="11"/>
  <c r="BC358" i="11"/>
  <c r="BE358" i="11"/>
  <c r="AS359" i="11"/>
  <c r="BG359" i="11" s="1"/>
  <c r="AU359" i="11"/>
  <c r="AW359" i="11"/>
  <c r="AY359" i="11"/>
  <c r="BA359" i="11"/>
  <c r="BC359" i="11"/>
  <c r="BE359" i="11"/>
  <c r="AS360" i="11"/>
  <c r="BG360" i="11" s="1"/>
  <c r="AU360" i="11"/>
  <c r="AW360" i="11"/>
  <c r="AY360" i="11"/>
  <c r="BA360" i="11"/>
  <c r="BC360" i="11"/>
  <c r="BE360" i="11"/>
  <c r="AS361" i="11"/>
  <c r="BG361" i="11" s="1"/>
  <c r="AU361" i="11"/>
  <c r="AW361" i="11"/>
  <c r="AY361" i="11"/>
  <c r="BA361" i="11"/>
  <c r="BC361" i="11"/>
  <c r="BE361" i="11"/>
  <c r="AS362" i="11"/>
  <c r="BG362" i="11" s="1"/>
  <c r="AU362" i="11"/>
  <c r="AW362" i="11"/>
  <c r="AY362" i="11"/>
  <c r="BA362" i="11"/>
  <c r="BC362" i="11"/>
  <c r="BE362" i="11"/>
  <c r="AS363" i="11"/>
  <c r="BG363" i="11" s="1"/>
  <c r="AU363" i="11"/>
  <c r="AW363" i="11"/>
  <c r="AY363" i="11"/>
  <c r="BA363" i="11"/>
  <c r="BC363" i="11"/>
  <c r="BE363" i="11"/>
  <c r="AS364" i="11"/>
  <c r="BG364" i="11" s="1"/>
  <c r="AU364" i="11"/>
  <c r="AW364" i="11"/>
  <c r="AY364" i="11"/>
  <c r="BA364" i="11"/>
  <c r="BC364" i="11"/>
  <c r="BE364" i="11"/>
  <c r="AS365" i="11"/>
  <c r="BG365" i="11" s="1"/>
  <c r="AU365" i="11"/>
  <c r="AW365" i="11"/>
  <c r="AY365" i="11"/>
  <c r="BA365" i="11"/>
  <c r="BC365" i="11"/>
  <c r="BE365" i="11"/>
  <c r="AS366" i="11"/>
  <c r="BG366" i="11" s="1"/>
  <c r="AU366" i="11"/>
  <c r="AW366" i="11"/>
  <c r="AY366" i="11"/>
  <c r="BA366" i="11"/>
  <c r="BC366" i="11"/>
  <c r="BE366" i="11"/>
  <c r="AU367" i="11"/>
  <c r="AW367" i="11"/>
  <c r="AY367" i="11"/>
  <c r="BA367" i="11"/>
  <c r="BC367" i="11"/>
  <c r="BE367" i="11"/>
  <c r="AU368" i="11"/>
  <c r="AW368" i="11"/>
  <c r="AY368" i="11"/>
  <c r="BA368" i="11"/>
  <c r="BC368" i="11"/>
  <c r="BE368" i="11"/>
  <c r="AS355" i="11"/>
  <c r="AQ349" i="11"/>
  <c r="BE355" i="11"/>
  <c r="BC355" i="11"/>
  <c r="BA355" i="11"/>
  <c r="AY355" i="11"/>
  <c r="AW355" i="11"/>
  <c r="AU355" i="11"/>
  <c r="U355" i="11"/>
  <c r="U354" i="11"/>
  <c r="AQ266" i="11"/>
  <c r="AQ267" i="11"/>
  <c r="AQ268" i="11"/>
  <c r="AQ269" i="11"/>
  <c r="AQ270" i="11"/>
  <c r="AQ271" i="11"/>
  <c r="AQ272" i="11"/>
  <c r="AQ273" i="11"/>
  <c r="AQ274" i="11"/>
  <c r="AQ275" i="11"/>
  <c r="AQ276" i="11"/>
  <c r="AQ277" i="11"/>
  <c r="AQ278" i="11"/>
  <c r="AQ279" i="11"/>
  <c r="AQ280" i="11"/>
  <c r="AQ281" i="11"/>
  <c r="AQ282" i="11"/>
  <c r="AQ283" i="11"/>
  <c r="AQ284" i="11"/>
  <c r="AQ285" i="11"/>
  <c r="AQ286" i="11"/>
  <c r="AQ287" i="11"/>
  <c r="AQ288" i="11"/>
  <c r="AQ289" i="11"/>
  <c r="AQ290" i="11"/>
  <c r="AQ291" i="11"/>
  <c r="AQ292" i="11"/>
  <c r="AQ293" i="11"/>
  <c r="AQ294" i="11"/>
  <c r="AQ295" i="11"/>
  <c r="AQ296" i="11"/>
  <c r="AQ297" i="11"/>
  <c r="AQ298" i="11"/>
  <c r="AQ299" i="11"/>
  <c r="AQ300" i="11"/>
  <c r="AQ301" i="11"/>
  <c r="AQ302" i="11"/>
  <c r="AQ303" i="11"/>
  <c r="AQ304" i="11"/>
  <c r="AQ305" i="11"/>
  <c r="AQ306" i="11"/>
  <c r="AQ307" i="11"/>
  <c r="AQ308" i="11"/>
  <c r="AQ309" i="11"/>
  <c r="AQ310" i="11"/>
  <c r="AQ311" i="11"/>
  <c r="AQ312" i="11"/>
  <c r="AQ313" i="11"/>
  <c r="AQ314" i="11"/>
  <c r="AQ315" i="11"/>
  <c r="AQ316" i="11"/>
  <c r="AQ317" i="11"/>
  <c r="AQ318" i="11"/>
  <c r="AQ319" i="11"/>
  <c r="AQ320" i="11"/>
  <c r="AQ321" i="11"/>
  <c r="AQ322" i="11"/>
  <c r="AQ323" i="11"/>
  <c r="AQ324" i="11"/>
  <c r="AQ325" i="11"/>
  <c r="AQ326" i="11"/>
  <c r="AQ327" i="11"/>
  <c r="AQ328" i="11"/>
  <c r="AQ329" i="11"/>
  <c r="AQ330" i="11"/>
  <c r="AQ331" i="11"/>
  <c r="AQ332" i="11"/>
  <c r="AQ333" i="11"/>
  <c r="AQ334" i="11"/>
  <c r="AQ335" i="11"/>
  <c r="AQ336" i="11"/>
  <c r="AQ337" i="11"/>
  <c r="AQ338" i="11"/>
  <c r="AQ339" i="11"/>
  <c r="AQ340" i="11"/>
  <c r="AQ341" i="11"/>
  <c r="AQ342" i="11"/>
  <c r="AQ343" i="11"/>
  <c r="AQ344" i="11"/>
  <c r="AQ345" i="11"/>
  <c r="AQ346" i="11"/>
  <c r="AQ347" i="11"/>
  <c r="AQ348" i="11"/>
  <c r="AS266" i="11"/>
  <c r="AS267" i="11"/>
  <c r="AS268" i="11"/>
  <c r="AS269" i="11"/>
  <c r="AS270" i="11"/>
  <c r="AS271" i="11"/>
  <c r="AS272" i="11"/>
  <c r="AS273" i="11"/>
  <c r="AS274" i="11"/>
  <c r="AS275" i="11"/>
  <c r="AS276" i="11"/>
  <c r="AS277" i="11"/>
  <c r="AS278" i="11"/>
  <c r="AS279" i="11"/>
  <c r="AS280" i="11"/>
  <c r="AS281" i="11"/>
  <c r="AS282" i="11"/>
  <c r="AS283" i="11"/>
  <c r="AS284" i="11"/>
  <c r="AS285" i="11"/>
  <c r="AS286" i="11"/>
  <c r="AS287" i="11"/>
  <c r="AS288" i="11"/>
  <c r="AS289" i="11"/>
  <c r="AS290" i="11"/>
  <c r="AS291" i="11"/>
  <c r="AS292" i="11"/>
  <c r="AS293" i="11"/>
  <c r="AS294" i="11"/>
  <c r="AS295" i="11"/>
  <c r="AS296" i="11"/>
  <c r="AS297" i="11"/>
  <c r="AS298" i="11"/>
  <c r="AS299" i="11"/>
  <c r="AS300" i="11"/>
  <c r="AS301" i="11"/>
  <c r="AS302" i="11"/>
  <c r="AS303" i="11"/>
  <c r="AS304" i="11"/>
  <c r="AS305" i="11"/>
  <c r="AS306" i="11"/>
  <c r="AS307" i="11"/>
  <c r="AS308" i="11"/>
  <c r="AS309" i="11"/>
  <c r="AS310" i="11"/>
  <c r="AS311" i="11"/>
  <c r="AS312" i="11"/>
  <c r="AS313" i="11"/>
  <c r="AS314" i="11"/>
  <c r="AS315" i="11"/>
  <c r="AS316" i="11"/>
  <c r="AS317" i="11"/>
  <c r="AS318" i="11"/>
  <c r="AS319" i="11"/>
  <c r="AS320" i="11"/>
  <c r="AS321" i="11"/>
  <c r="AS322" i="11"/>
  <c r="AS323" i="11"/>
  <c r="AS324" i="11"/>
  <c r="AS325" i="11"/>
  <c r="AS326" i="11"/>
  <c r="AS327" i="11"/>
  <c r="AS328" i="11"/>
  <c r="AS329" i="11"/>
  <c r="AS330" i="11"/>
  <c r="AS331" i="11"/>
  <c r="AS332" i="11"/>
  <c r="AS333" i="11"/>
  <c r="AS334" i="11"/>
  <c r="AS335" i="11"/>
  <c r="AS336" i="11"/>
  <c r="AS337" i="11"/>
  <c r="AS338" i="11"/>
  <c r="AS339" i="11"/>
  <c r="AS340" i="11"/>
  <c r="AS341" i="11"/>
  <c r="AS342" i="11"/>
  <c r="AS343" i="11"/>
  <c r="AS344" i="11"/>
  <c r="AS345" i="11"/>
  <c r="AS346" i="11"/>
  <c r="AS347" i="11"/>
  <c r="AS348" i="11"/>
  <c r="AS349" i="11"/>
  <c r="U266" i="11"/>
  <c r="AK266" i="11"/>
  <c r="AO266" i="11"/>
  <c r="AS265" i="11"/>
  <c r="AU266" i="11"/>
  <c r="AW266" i="11"/>
  <c r="AK267" i="11"/>
  <c r="AO267" i="11"/>
  <c r="AU267" i="11"/>
  <c r="AK268" i="11"/>
  <c r="AO268" i="11"/>
  <c r="AU268" i="11"/>
  <c r="AK269" i="11"/>
  <c r="AO269" i="11"/>
  <c r="AU269" i="11"/>
  <c r="AK270" i="11"/>
  <c r="AO270" i="11"/>
  <c r="AU270" i="11"/>
  <c r="AK271" i="11"/>
  <c r="AO271" i="11"/>
  <c r="AU271" i="11"/>
  <c r="AK272" i="11"/>
  <c r="AO272" i="11"/>
  <c r="AU272" i="11"/>
  <c r="AK273" i="11"/>
  <c r="AO273" i="11"/>
  <c r="AU273" i="11"/>
  <c r="AK274" i="11"/>
  <c r="AO274" i="11"/>
  <c r="AU274" i="11"/>
  <c r="AK275" i="11"/>
  <c r="AO275" i="11"/>
  <c r="AU275" i="11"/>
  <c r="AK276" i="11"/>
  <c r="AO276" i="11"/>
  <c r="AU276" i="11"/>
  <c r="AW276" i="11"/>
  <c r="AK277" i="11"/>
  <c r="AO277" i="11"/>
  <c r="AU277" i="11"/>
  <c r="AW277" i="11"/>
  <c r="AK278" i="11"/>
  <c r="AO278" i="11"/>
  <c r="AU278" i="11"/>
  <c r="AW278" i="11"/>
  <c r="AK279" i="11"/>
  <c r="AO279" i="11"/>
  <c r="AU279" i="11"/>
  <c r="AK280" i="11"/>
  <c r="AO280" i="11"/>
  <c r="AU280" i="11"/>
  <c r="AK281" i="11"/>
  <c r="AO281" i="11"/>
  <c r="AU281" i="11"/>
  <c r="AK282" i="11"/>
  <c r="AO282" i="11"/>
  <c r="AU282" i="11"/>
  <c r="AK283" i="11"/>
  <c r="AO283" i="11"/>
  <c r="AU283" i="11"/>
  <c r="AK284" i="11"/>
  <c r="AO284" i="11"/>
  <c r="AU284" i="11"/>
  <c r="AK285" i="11"/>
  <c r="AO285" i="11"/>
  <c r="AU285" i="11"/>
  <c r="AK286" i="11"/>
  <c r="AO286" i="11"/>
  <c r="AU286" i="11"/>
  <c r="AK287" i="11"/>
  <c r="AO287" i="11"/>
  <c r="AU287" i="11"/>
  <c r="AK288" i="11"/>
  <c r="AO288" i="11"/>
  <c r="AU288" i="11"/>
  <c r="AW288" i="11"/>
  <c r="AK289" i="11"/>
  <c r="AO289" i="11"/>
  <c r="AU289" i="11"/>
  <c r="AW289" i="11"/>
  <c r="AK290" i="11"/>
  <c r="AO290" i="11"/>
  <c r="AU290" i="11"/>
  <c r="AW290" i="11"/>
  <c r="AK291" i="11"/>
  <c r="AO291" i="11"/>
  <c r="AU291" i="11"/>
  <c r="AK292" i="11"/>
  <c r="AO292" i="11"/>
  <c r="AU292" i="11"/>
  <c r="AK293" i="11"/>
  <c r="AO293" i="11"/>
  <c r="AU293" i="11"/>
  <c r="AK294" i="11"/>
  <c r="AO294" i="11"/>
  <c r="AU294" i="11"/>
  <c r="AK295" i="11"/>
  <c r="AO295" i="11"/>
  <c r="AU295" i="11"/>
  <c r="AK296" i="11"/>
  <c r="AO296" i="11"/>
  <c r="AU296" i="11"/>
  <c r="AK297" i="11"/>
  <c r="AO297" i="11"/>
  <c r="AU297" i="11"/>
  <c r="AK298" i="11"/>
  <c r="AO298" i="11"/>
  <c r="AU298" i="11"/>
  <c r="AK299" i="11"/>
  <c r="AO299" i="11"/>
  <c r="AU299" i="11"/>
  <c r="AK300" i="11"/>
  <c r="AO300" i="11"/>
  <c r="AU300" i="11"/>
  <c r="AW300" i="11"/>
  <c r="AK301" i="11"/>
  <c r="AO301" i="11"/>
  <c r="AU301" i="11"/>
  <c r="AW301" i="11"/>
  <c r="AK302" i="11"/>
  <c r="AO302" i="11"/>
  <c r="AU302" i="11"/>
  <c r="AW302" i="11"/>
  <c r="AK303" i="11"/>
  <c r="AO303" i="11"/>
  <c r="AU303" i="11"/>
  <c r="AK304" i="11"/>
  <c r="AO304" i="11"/>
  <c r="AU304" i="11"/>
  <c r="AK305" i="11"/>
  <c r="AO305" i="11"/>
  <c r="AU305" i="11"/>
  <c r="AK306" i="11"/>
  <c r="AO306" i="11"/>
  <c r="AU306" i="11"/>
  <c r="AK307" i="11"/>
  <c r="AO307" i="11"/>
  <c r="AU307" i="11"/>
  <c r="AK308" i="11"/>
  <c r="AO308" i="11"/>
  <c r="AU308" i="11"/>
  <c r="AK309" i="11"/>
  <c r="AO309" i="11"/>
  <c r="AU309" i="11"/>
  <c r="AK310" i="11"/>
  <c r="AO310" i="11"/>
  <c r="AU310" i="11"/>
  <c r="AK311" i="11"/>
  <c r="AO311" i="11"/>
  <c r="AU311" i="11"/>
  <c r="AK312" i="11"/>
  <c r="AO312" i="11"/>
  <c r="AU312" i="11"/>
  <c r="AW312" i="11"/>
  <c r="AK313" i="11"/>
  <c r="AO313" i="11"/>
  <c r="AU313" i="11"/>
  <c r="AW313" i="11"/>
  <c r="AK314" i="11"/>
  <c r="AO314" i="11"/>
  <c r="AU314" i="11"/>
  <c r="AW314" i="11"/>
  <c r="AK315" i="11"/>
  <c r="AO315" i="11"/>
  <c r="AU315" i="11"/>
  <c r="AK316" i="11"/>
  <c r="AO316" i="11"/>
  <c r="AU316" i="11"/>
  <c r="AK317" i="11"/>
  <c r="AO317" i="11"/>
  <c r="AU317" i="11"/>
  <c r="AK318" i="11"/>
  <c r="AO318" i="11"/>
  <c r="AU318" i="11"/>
  <c r="AK319" i="11"/>
  <c r="AO319" i="11"/>
  <c r="AU319" i="11"/>
  <c r="AK320" i="11"/>
  <c r="AO320" i="11"/>
  <c r="AU320" i="11"/>
  <c r="AK321" i="11"/>
  <c r="AO321" i="11"/>
  <c r="AU321" i="11"/>
  <c r="AK322" i="11"/>
  <c r="AO322" i="11"/>
  <c r="AU322" i="11"/>
  <c r="AK323" i="11"/>
  <c r="AO323" i="11"/>
  <c r="AU323" i="11"/>
  <c r="AK324" i="11"/>
  <c r="AO324" i="11"/>
  <c r="AU324" i="11"/>
  <c r="AW324" i="11"/>
  <c r="AK325" i="11"/>
  <c r="AO325" i="11"/>
  <c r="AU325" i="11"/>
  <c r="AW325" i="11"/>
  <c r="AK326" i="11"/>
  <c r="AO326" i="11"/>
  <c r="AU326" i="11"/>
  <c r="AW326" i="11"/>
  <c r="AK327" i="11"/>
  <c r="AO327" i="11"/>
  <c r="AU327" i="11"/>
  <c r="AK328" i="11"/>
  <c r="AO328" i="11"/>
  <c r="AU328" i="11"/>
  <c r="AK329" i="11"/>
  <c r="AO329" i="11"/>
  <c r="AU329" i="11"/>
  <c r="AK330" i="11"/>
  <c r="AO330" i="11"/>
  <c r="AU330" i="11"/>
  <c r="AK331" i="11"/>
  <c r="AO331" i="11"/>
  <c r="AU331" i="11"/>
  <c r="AK332" i="11"/>
  <c r="AO332" i="11"/>
  <c r="AU332" i="11"/>
  <c r="AK333" i="11"/>
  <c r="AO333" i="11"/>
  <c r="AU333" i="11"/>
  <c r="AK334" i="11"/>
  <c r="AO334" i="11"/>
  <c r="AU334" i="11"/>
  <c r="AK335" i="11"/>
  <c r="AO335" i="11"/>
  <c r="AU335" i="11"/>
  <c r="AK336" i="11"/>
  <c r="AO336" i="11"/>
  <c r="AU336" i="11"/>
  <c r="AW336" i="11"/>
  <c r="AK337" i="11"/>
  <c r="AO337" i="11"/>
  <c r="AU337" i="11"/>
  <c r="AW337" i="11"/>
  <c r="AK338" i="11"/>
  <c r="AO338" i="11"/>
  <c r="AU338" i="11"/>
  <c r="AW338" i="11"/>
  <c r="AK339" i="11"/>
  <c r="AO339" i="11"/>
  <c r="AU339" i="11"/>
  <c r="AK340" i="11"/>
  <c r="AO340" i="11"/>
  <c r="AU340" i="11"/>
  <c r="AK341" i="11"/>
  <c r="AO341" i="11"/>
  <c r="AU341" i="11"/>
  <c r="AK342" i="11"/>
  <c r="AO342" i="11"/>
  <c r="AU342" i="11"/>
  <c r="AK343" i="11"/>
  <c r="AO343" i="11"/>
  <c r="AU343" i="11"/>
  <c r="AK344" i="11"/>
  <c r="AO344" i="11"/>
  <c r="AU344" i="11"/>
  <c r="AK345" i="11"/>
  <c r="AO345" i="11"/>
  <c r="AU345" i="11"/>
  <c r="AK346" i="11"/>
  <c r="AO346" i="11"/>
  <c r="AU346" i="11"/>
  <c r="AK347" i="11"/>
  <c r="AO347" i="11"/>
  <c r="AU347" i="11"/>
  <c r="AK348" i="11"/>
  <c r="AO348" i="11"/>
  <c r="AU348" i="11"/>
  <c r="AW348" i="11"/>
  <c r="AK349" i="11"/>
  <c r="AO349" i="11"/>
  <c r="AU349" i="11"/>
  <c r="AW349" i="11"/>
  <c r="AW265" i="11"/>
  <c r="AU265" i="11"/>
  <c r="AQ265" i="11"/>
  <c r="AO265" i="11"/>
  <c r="BI256" i="11"/>
  <c r="BK256" i="11"/>
  <c r="AK265" i="11"/>
  <c r="U265" i="11"/>
  <c r="U264" i="11"/>
  <c r="Q246" i="11"/>
  <c r="Q247" i="11"/>
  <c r="Q248" i="11"/>
  <c r="Q249" i="11"/>
  <c r="Q250" i="11"/>
  <c r="Q251" i="11"/>
  <c r="P246" i="11"/>
  <c r="P247" i="11"/>
  <c r="P248" i="11"/>
  <c r="P249" i="11"/>
  <c r="P250" i="11"/>
  <c r="P251" i="11"/>
  <c r="O246" i="11"/>
  <c r="O247" i="11"/>
  <c r="O248" i="11"/>
  <c r="O249" i="11"/>
  <c r="O250" i="11"/>
  <c r="O251" i="11"/>
  <c r="O252" i="11"/>
  <c r="P252" i="11" s="1"/>
  <c r="O255" i="11"/>
  <c r="BO255" i="11" s="1"/>
  <c r="N247" i="11"/>
  <c r="N248" i="11"/>
  <c r="N249" i="11"/>
  <c r="N250" i="11"/>
  <c r="N251" i="11"/>
  <c r="N252" i="11"/>
  <c r="N253" i="11"/>
  <c r="O253" i="11" s="1"/>
  <c r="N254" i="11"/>
  <c r="O254" i="11" s="1"/>
  <c r="N246" i="11"/>
  <c r="Q245" i="11"/>
  <c r="BQ245" i="11" s="1"/>
  <c r="P245" i="11"/>
  <c r="P244" i="11"/>
  <c r="Q244" i="11" s="1"/>
  <c r="BQ244" i="11" s="1"/>
  <c r="O245" i="11"/>
  <c r="O244" i="11"/>
  <c r="N245" i="11"/>
  <c r="N244" i="11"/>
  <c r="BI131" i="11"/>
  <c r="BK131" i="11"/>
  <c r="BM131" i="11"/>
  <c r="BO131" i="11"/>
  <c r="BQ131" i="11"/>
  <c r="BI132" i="11"/>
  <c r="BK132" i="11"/>
  <c r="BM132" i="11"/>
  <c r="BO132" i="11"/>
  <c r="BQ132" i="11"/>
  <c r="BI133" i="11"/>
  <c r="BK133" i="11"/>
  <c r="BM133" i="11"/>
  <c r="BO133" i="11"/>
  <c r="BQ133" i="11"/>
  <c r="BI134" i="11"/>
  <c r="BK134" i="11"/>
  <c r="BM134" i="11"/>
  <c r="BO134" i="11"/>
  <c r="BQ134" i="11"/>
  <c r="BI135" i="11"/>
  <c r="BK135" i="11"/>
  <c r="BM135" i="11"/>
  <c r="BO135" i="11"/>
  <c r="BQ135" i="11"/>
  <c r="BI136" i="11"/>
  <c r="BK136" i="11"/>
  <c r="BM136" i="11"/>
  <c r="BO136" i="11"/>
  <c r="BQ136" i="11"/>
  <c r="BI137" i="11"/>
  <c r="BK137" i="11"/>
  <c r="BM137" i="11"/>
  <c r="BO137" i="11"/>
  <c r="BQ137" i="11"/>
  <c r="BI138" i="11"/>
  <c r="BK138" i="11"/>
  <c r="BM138" i="11"/>
  <c r="BO138" i="11"/>
  <c r="BQ138" i="11"/>
  <c r="BI139" i="11"/>
  <c r="BK139" i="11"/>
  <c r="BM139" i="11"/>
  <c r="BO139" i="11"/>
  <c r="BQ139" i="11"/>
  <c r="BI140" i="11"/>
  <c r="BK140" i="11"/>
  <c r="BM140" i="11"/>
  <c r="BO140" i="11"/>
  <c r="BQ140" i="11"/>
  <c r="BI141" i="11"/>
  <c r="BK141" i="11"/>
  <c r="BM141" i="11"/>
  <c r="BO141" i="11"/>
  <c r="BQ141" i="11"/>
  <c r="BI142" i="11"/>
  <c r="BK142" i="11"/>
  <c r="BM142" i="11"/>
  <c r="BO142" i="11"/>
  <c r="BQ142" i="11"/>
  <c r="BI143" i="11"/>
  <c r="BK143" i="11"/>
  <c r="BM143" i="11"/>
  <c r="BO143" i="11"/>
  <c r="BQ143" i="11"/>
  <c r="BI144" i="11"/>
  <c r="BK144" i="11"/>
  <c r="BM144" i="11"/>
  <c r="BO144" i="11"/>
  <c r="BQ144" i="11"/>
  <c r="BI145" i="11"/>
  <c r="BK145" i="11"/>
  <c r="BM145" i="11"/>
  <c r="BO145" i="11"/>
  <c r="BQ145" i="11"/>
  <c r="BI146" i="11"/>
  <c r="BK146" i="11"/>
  <c r="BM146" i="11"/>
  <c r="BO146" i="11"/>
  <c r="BQ146" i="11"/>
  <c r="BI147" i="11"/>
  <c r="BK147" i="11"/>
  <c r="BM147" i="11"/>
  <c r="BO147" i="11"/>
  <c r="BQ147" i="11"/>
  <c r="BI148" i="11"/>
  <c r="BK148" i="11"/>
  <c r="BM148" i="11"/>
  <c r="BO148" i="11"/>
  <c r="BQ148" i="11"/>
  <c r="BI149" i="11"/>
  <c r="BK149" i="11"/>
  <c r="BM149" i="11"/>
  <c r="BO149" i="11"/>
  <c r="BQ149" i="11"/>
  <c r="BI150" i="11"/>
  <c r="BK150" i="11"/>
  <c r="BM150" i="11"/>
  <c r="BO150" i="11"/>
  <c r="BQ150" i="11"/>
  <c r="BI151" i="11"/>
  <c r="BK151" i="11"/>
  <c r="BM151" i="11"/>
  <c r="BO151" i="11"/>
  <c r="BQ151" i="11"/>
  <c r="BI152" i="11"/>
  <c r="BK152" i="11"/>
  <c r="BM152" i="11"/>
  <c r="BO152" i="11"/>
  <c r="BQ152" i="11"/>
  <c r="BI153" i="11"/>
  <c r="BK153" i="11"/>
  <c r="BM153" i="11"/>
  <c r="BO153" i="11"/>
  <c r="BQ153" i="11"/>
  <c r="BI154" i="11"/>
  <c r="BK154" i="11"/>
  <c r="BM154" i="11"/>
  <c r="BO154" i="11"/>
  <c r="BQ154" i="11"/>
  <c r="BI155" i="11"/>
  <c r="BK155" i="11"/>
  <c r="BM155" i="11"/>
  <c r="BO155" i="11"/>
  <c r="BQ155" i="11"/>
  <c r="BI156" i="11"/>
  <c r="BK156" i="11"/>
  <c r="BM156" i="11"/>
  <c r="BO156" i="11"/>
  <c r="BQ156" i="11"/>
  <c r="BI157" i="11"/>
  <c r="BK157" i="11"/>
  <c r="BM157" i="11"/>
  <c r="BO157" i="11"/>
  <c r="BQ157" i="11"/>
  <c r="BI158" i="11"/>
  <c r="BK158" i="11"/>
  <c r="BM158" i="11"/>
  <c r="BO158" i="11"/>
  <c r="BQ158" i="11"/>
  <c r="BI159" i="11"/>
  <c r="BK159" i="11"/>
  <c r="BM159" i="11"/>
  <c r="BO159" i="11"/>
  <c r="BQ159" i="11"/>
  <c r="BI160" i="11"/>
  <c r="BK160" i="11"/>
  <c r="BM160" i="11"/>
  <c r="BO160" i="11"/>
  <c r="BQ160" i="11"/>
  <c r="BI161" i="11"/>
  <c r="BK161" i="11"/>
  <c r="BM161" i="11"/>
  <c r="BO161" i="11"/>
  <c r="BQ161" i="11"/>
  <c r="BI162" i="11"/>
  <c r="BK162" i="11"/>
  <c r="BM162" i="11"/>
  <c r="BO162" i="11"/>
  <c r="BQ162" i="11"/>
  <c r="BI163" i="11"/>
  <c r="BK163" i="11"/>
  <c r="BM163" i="11"/>
  <c r="BO163" i="11"/>
  <c r="BQ163" i="11"/>
  <c r="BI164" i="11"/>
  <c r="BK164" i="11"/>
  <c r="BM164" i="11"/>
  <c r="BO164" i="11"/>
  <c r="BQ164" i="11"/>
  <c r="BI165" i="11"/>
  <c r="BK165" i="11"/>
  <c r="BM165" i="11"/>
  <c r="BO165" i="11"/>
  <c r="BQ165" i="11"/>
  <c r="BI166" i="11"/>
  <c r="BK166" i="11"/>
  <c r="BM166" i="11"/>
  <c r="BO166" i="11"/>
  <c r="BQ166" i="11"/>
  <c r="BI167" i="11"/>
  <c r="BK167" i="11"/>
  <c r="BM167" i="11"/>
  <c r="BO167" i="11"/>
  <c r="BQ167" i="11"/>
  <c r="BI168" i="11"/>
  <c r="BK168" i="11"/>
  <c r="BM168" i="11"/>
  <c r="BO168" i="11"/>
  <c r="BQ168" i="11"/>
  <c r="BI169" i="11"/>
  <c r="BK169" i="11"/>
  <c r="BM169" i="11"/>
  <c r="BO169" i="11"/>
  <c r="BQ169" i="11"/>
  <c r="BI170" i="11"/>
  <c r="BK170" i="11"/>
  <c r="BM170" i="11"/>
  <c r="BO170" i="11"/>
  <c r="BQ170" i="11"/>
  <c r="BI171" i="11"/>
  <c r="BK171" i="11"/>
  <c r="BM171" i="11"/>
  <c r="BO171" i="11"/>
  <c r="BQ171" i="11"/>
  <c r="BI172" i="11"/>
  <c r="BK172" i="11"/>
  <c r="BM172" i="11"/>
  <c r="BO172" i="11"/>
  <c r="BQ172" i="11"/>
  <c r="BI173" i="11"/>
  <c r="BK173" i="11"/>
  <c r="BM173" i="11"/>
  <c r="BO173" i="11"/>
  <c r="BQ173" i="11"/>
  <c r="BI174" i="11"/>
  <c r="BK174" i="11"/>
  <c r="BM174" i="11"/>
  <c r="BO174" i="11"/>
  <c r="BQ174" i="11"/>
  <c r="BI175" i="11"/>
  <c r="BK175" i="11"/>
  <c r="BM175" i="11"/>
  <c r="BO175" i="11"/>
  <c r="BQ175" i="11"/>
  <c r="BI176" i="11"/>
  <c r="BK176" i="11"/>
  <c r="BM176" i="11"/>
  <c r="BO176" i="11"/>
  <c r="BQ176" i="11"/>
  <c r="BI177" i="11"/>
  <c r="BK177" i="11"/>
  <c r="BM177" i="11"/>
  <c r="BO177" i="11"/>
  <c r="BQ177" i="11"/>
  <c r="BI178" i="11"/>
  <c r="BK178" i="11"/>
  <c r="BM178" i="11"/>
  <c r="BO178" i="11"/>
  <c r="BQ178" i="11"/>
  <c r="BI179" i="11"/>
  <c r="BK179" i="11"/>
  <c r="BM179" i="11"/>
  <c r="BO179" i="11"/>
  <c r="BQ179" i="11"/>
  <c r="BI180" i="11"/>
  <c r="BK180" i="11"/>
  <c r="BM180" i="11"/>
  <c r="BO180" i="11"/>
  <c r="BQ180" i="11"/>
  <c r="BI181" i="11"/>
  <c r="BK181" i="11"/>
  <c r="BM181" i="11"/>
  <c r="BO181" i="11"/>
  <c r="BQ181" i="11"/>
  <c r="BI182" i="11"/>
  <c r="BK182" i="11"/>
  <c r="BM182" i="11"/>
  <c r="BO182" i="11"/>
  <c r="BQ182" i="11"/>
  <c r="BI183" i="11"/>
  <c r="BK183" i="11"/>
  <c r="BM183" i="11"/>
  <c r="BO183" i="11"/>
  <c r="BQ183" i="11"/>
  <c r="BI184" i="11"/>
  <c r="BK184" i="11"/>
  <c r="BM184" i="11"/>
  <c r="BO184" i="11"/>
  <c r="BQ184" i="11"/>
  <c r="BI185" i="11"/>
  <c r="BK185" i="11"/>
  <c r="BM185" i="11"/>
  <c r="BO185" i="11"/>
  <c r="BQ185" i="11"/>
  <c r="BI186" i="11"/>
  <c r="BK186" i="11"/>
  <c r="BM186" i="11"/>
  <c r="BO186" i="11"/>
  <c r="BQ186" i="11"/>
  <c r="BI187" i="11"/>
  <c r="BK187" i="11"/>
  <c r="BM187" i="11"/>
  <c r="BO187" i="11"/>
  <c r="BQ187" i="11"/>
  <c r="BI188" i="11"/>
  <c r="BK188" i="11"/>
  <c r="BM188" i="11"/>
  <c r="BO188" i="11"/>
  <c r="BQ188" i="11"/>
  <c r="BI189" i="11"/>
  <c r="BK189" i="11"/>
  <c r="BM189" i="11"/>
  <c r="BO189" i="11"/>
  <c r="BQ189" i="11"/>
  <c r="BI190" i="11"/>
  <c r="BK190" i="11"/>
  <c r="BM190" i="11"/>
  <c r="BO190" i="11"/>
  <c r="BQ190" i="11"/>
  <c r="BI191" i="11"/>
  <c r="BK191" i="11"/>
  <c r="BM191" i="11"/>
  <c r="BO191" i="11"/>
  <c r="BQ191" i="11"/>
  <c r="BI192" i="11"/>
  <c r="BK192" i="11"/>
  <c r="BM192" i="11"/>
  <c r="BO192" i="11"/>
  <c r="BQ192" i="11"/>
  <c r="BI193" i="11"/>
  <c r="BK193" i="11"/>
  <c r="BM193" i="11"/>
  <c r="BO193" i="11"/>
  <c r="BQ193" i="11"/>
  <c r="BI194" i="11"/>
  <c r="BK194" i="11"/>
  <c r="BM194" i="11"/>
  <c r="BO194" i="11"/>
  <c r="BQ194" i="11"/>
  <c r="BI195" i="11"/>
  <c r="BK195" i="11"/>
  <c r="BM195" i="11"/>
  <c r="BO195" i="11"/>
  <c r="BQ195" i="11"/>
  <c r="BI196" i="11"/>
  <c r="BK196" i="11"/>
  <c r="BM196" i="11"/>
  <c r="BO196" i="11"/>
  <c r="BQ196" i="11"/>
  <c r="BI197" i="11"/>
  <c r="BK197" i="11"/>
  <c r="BM197" i="11"/>
  <c r="BO197" i="11"/>
  <c r="BQ197" i="11"/>
  <c r="BI198" i="11"/>
  <c r="BK198" i="11"/>
  <c r="BM198" i="11"/>
  <c r="BO198" i="11"/>
  <c r="BQ198" i="11"/>
  <c r="BI199" i="11"/>
  <c r="BK199" i="11"/>
  <c r="BM199" i="11"/>
  <c r="BO199" i="11"/>
  <c r="BQ199" i="11"/>
  <c r="BI200" i="11"/>
  <c r="BK200" i="11"/>
  <c r="BM200" i="11"/>
  <c r="BO200" i="11"/>
  <c r="BQ200" i="11"/>
  <c r="BI201" i="11"/>
  <c r="BK201" i="11"/>
  <c r="BM201" i="11"/>
  <c r="BO201" i="11"/>
  <c r="BQ201" i="11"/>
  <c r="BI202" i="11"/>
  <c r="BK202" i="11"/>
  <c r="BM202" i="11"/>
  <c r="BO202" i="11"/>
  <c r="BQ202" i="11"/>
  <c r="BI203" i="11"/>
  <c r="BK203" i="11"/>
  <c r="BM203" i="11"/>
  <c r="BO203" i="11"/>
  <c r="BQ203" i="11"/>
  <c r="BI204" i="11"/>
  <c r="BK204" i="11"/>
  <c r="BM204" i="11"/>
  <c r="BO204" i="11"/>
  <c r="BQ204" i="11"/>
  <c r="BI205" i="11"/>
  <c r="BK205" i="11"/>
  <c r="BM205" i="11"/>
  <c r="BO205" i="11"/>
  <c r="BQ205" i="11"/>
  <c r="BI206" i="11"/>
  <c r="BK206" i="11"/>
  <c r="BM206" i="11"/>
  <c r="BO206" i="11"/>
  <c r="BQ206" i="11"/>
  <c r="BI207" i="11"/>
  <c r="BK207" i="11"/>
  <c r="BM207" i="11"/>
  <c r="BO207" i="11"/>
  <c r="BQ207" i="11"/>
  <c r="BI208" i="11"/>
  <c r="BK208" i="11"/>
  <c r="BM208" i="11"/>
  <c r="BO208" i="11"/>
  <c r="BQ208" i="11"/>
  <c r="BI209" i="11"/>
  <c r="BK209" i="11"/>
  <c r="BM209" i="11"/>
  <c r="BO209" i="11"/>
  <c r="BQ209" i="11"/>
  <c r="BI210" i="11"/>
  <c r="BK210" i="11"/>
  <c r="BM210" i="11"/>
  <c r="BO210" i="11"/>
  <c r="BQ210" i="11"/>
  <c r="BI211" i="11"/>
  <c r="BK211" i="11"/>
  <c r="BM211" i="11"/>
  <c r="BO211" i="11"/>
  <c r="BQ211" i="11"/>
  <c r="BI212" i="11"/>
  <c r="BK212" i="11"/>
  <c r="BM212" i="11"/>
  <c r="BO212" i="11"/>
  <c r="BQ212" i="11"/>
  <c r="BI213" i="11"/>
  <c r="BK213" i="11"/>
  <c r="BM213" i="11"/>
  <c r="BO213" i="11"/>
  <c r="BQ213" i="11"/>
  <c r="BI214" i="11"/>
  <c r="BK214" i="11"/>
  <c r="BM214" i="11"/>
  <c r="BO214" i="11"/>
  <c r="BQ214" i="11"/>
  <c r="BI215" i="11"/>
  <c r="BK215" i="11"/>
  <c r="BM215" i="11"/>
  <c r="BO215" i="11"/>
  <c r="BQ215" i="11"/>
  <c r="BI216" i="11"/>
  <c r="BK216" i="11"/>
  <c r="BM216" i="11"/>
  <c r="BO216" i="11"/>
  <c r="BQ216" i="11"/>
  <c r="BI217" i="11"/>
  <c r="BK217" i="11"/>
  <c r="BM217" i="11"/>
  <c r="BO217" i="11"/>
  <c r="BQ217" i="11"/>
  <c r="BI218" i="11"/>
  <c r="BK218" i="11"/>
  <c r="BM218" i="11"/>
  <c r="BO218" i="11"/>
  <c r="BQ218" i="11"/>
  <c r="BI219" i="11"/>
  <c r="BK219" i="11"/>
  <c r="BM219" i="11"/>
  <c r="BO219" i="11"/>
  <c r="BQ219" i="11"/>
  <c r="BI220" i="11"/>
  <c r="BK220" i="11"/>
  <c r="BM220" i="11"/>
  <c r="BO220" i="11"/>
  <c r="BQ220" i="11"/>
  <c r="BI221" i="11"/>
  <c r="BK221" i="11"/>
  <c r="BM221" i="11"/>
  <c r="BO221" i="11"/>
  <c r="BQ221" i="11"/>
  <c r="BI222" i="11"/>
  <c r="BK222" i="11"/>
  <c r="BM222" i="11"/>
  <c r="BO222" i="11"/>
  <c r="BQ222" i="11"/>
  <c r="BI223" i="11"/>
  <c r="BK223" i="11"/>
  <c r="BM223" i="11"/>
  <c r="BO223" i="11"/>
  <c r="BQ223" i="11"/>
  <c r="BI224" i="11"/>
  <c r="BK224" i="11"/>
  <c r="BM224" i="11"/>
  <c r="BO224" i="11"/>
  <c r="BQ224" i="11"/>
  <c r="BI225" i="11"/>
  <c r="BK225" i="11"/>
  <c r="BM225" i="11"/>
  <c r="BO225" i="11"/>
  <c r="BQ225" i="11"/>
  <c r="BI226" i="11"/>
  <c r="BK226" i="11"/>
  <c r="BM226" i="11"/>
  <c r="BO226" i="11"/>
  <c r="BQ226" i="11"/>
  <c r="BI227" i="11"/>
  <c r="BK227" i="11"/>
  <c r="BM227" i="11"/>
  <c r="BO227" i="11"/>
  <c r="BQ227" i="11"/>
  <c r="BI228" i="11"/>
  <c r="BK228" i="11"/>
  <c r="BM228" i="11"/>
  <c r="BO228" i="11"/>
  <c r="BQ228" i="11"/>
  <c r="BI229" i="11"/>
  <c r="BK229" i="11"/>
  <c r="BM229" i="11"/>
  <c r="BO229" i="11"/>
  <c r="BQ229" i="11"/>
  <c r="BI230" i="11"/>
  <c r="BK230" i="11"/>
  <c r="BM230" i="11"/>
  <c r="BO230" i="11"/>
  <c r="BQ230" i="11"/>
  <c r="BI231" i="11"/>
  <c r="BK231" i="11"/>
  <c r="BM231" i="11"/>
  <c r="BO231" i="11"/>
  <c r="BQ231" i="11"/>
  <c r="BI232" i="11"/>
  <c r="BK232" i="11"/>
  <c r="BM232" i="11"/>
  <c r="BO232" i="11"/>
  <c r="BQ232" i="11"/>
  <c r="BI233" i="11"/>
  <c r="BK233" i="11"/>
  <c r="BM233" i="11"/>
  <c r="BO233" i="11"/>
  <c r="BQ233" i="11"/>
  <c r="BI234" i="11"/>
  <c r="BK234" i="11"/>
  <c r="BM234" i="11"/>
  <c r="BO234" i="11"/>
  <c r="BQ234" i="11"/>
  <c r="BI235" i="11"/>
  <c r="BK235" i="11"/>
  <c r="BM235" i="11"/>
  <c r="BO235" i="11"/>
  <c r="BQ235" i="11"/>
  <c r="BI236" i="11"/>
  <c r="BK236" i="11"/>
  <c r="BM236" i="11"/>
  <c r="BO236" i="11"/>
  <c r="BQ236" i="11"/>
  <c r="BI237" i="11"/>
  <c r="BK237" i="11"/>
  <c r="BM237" i="11"/>
  <c r="BO237" i="11"/>
  <c r="BQ237" i="11"/>
  <c r="BI238" i="11"/>
  <c r="BK238" i="11"/>
  <c r="BM238" i="11"/>
  <c r="BO238" i="11"/>
  <c r="BQ238" i="11"/>
  <c r="BI239" i="11"/>
  <c r="BK239" i="11"/>
  <c r="BM239" i="11"/>
  <c r="BO239" i="11"/>
  <c r="BQ239" i="11"/>
  <c r="BI240" i="11"/>
  <c r="BK240" i="11"/>
  <c r="BM240" i="11"/>
  <c r="BO240" i="11"/>
  <c r="BQ240" i="11"/>
  <c r="BI241" i="11"/>
  <c r="BK241" i="11"/>
  <c r="BM241" i="11"/>
  <c r="BO241" i="11"/>
  <c r="BQ241" i="11"/>
  <c r="BI242" i="11"/>
  <c r="BK242" i="11"/>
  <c r="BM242" i="11"/>
  <c r="BO242" i="11"/>
  <c r="BQ242" i="11"/>
  <c r="BI243" i="11"/>
  <c r="BK243" i="11"/>
  <c r="BM243" i="11"/>
  <c r="BO243" i="11"/>
  <c r="BQ243" i="11"/>
  <c r="BI244" i="11"/>
  <c r="BK244" i="11"/>
  <c r="BM244" i="11"/>
  <c r="BO244" i="11"/>
  <c r="BI245" i="11"/>
  <c r="BK245" i="11"/>
  <c r="BM245" i="11"/>
  <c r="BO245" i="11"/>
  <c r="BI246" i="11"/>
  <c r="BK246" i="11"/>
  <c r="BM246" i="11"/>
  <c r="BO246" i="11"/>
  <c r="BQ246" i="11"/>
  <c r="BI247" i="11"/>
  <c r="BK247" i="11"/>
  <c r="BM247" i="11"/>
  <c r="BO247" i="11"/>
  <c r="BQ247" i="11"/>
  <c r="BI248" i="11"/>
  <c r="BK248" i="11"/>
  <c r="BM248" i="11"/>
  <c r="BO248" i="11"/>
  <c r="BQ248" i="11"/>
  <c r="BI249" i="11"/>
  <c r="BK249" i="11"/>
  <c r="BM249" i="11"/>
  <c r="BO249" i="11"/>
  <c r="BQ249" i="11"/>
  <c r="BI250" i="11"/>
  <c r="BK250" i="11"/>
  <c r="BM250" i="11"/>
  <c r="BO250" i="11"/>
  <c r="BQ250" i="11"/>
  <c r="BI251" i="11"/>
  <c r="BK251" i="11"/>
  <c r="BM251" i="11"/>
  <c r="BO251" i="11"/>
  <c r="BQ251" i="11"/>
  <c r="BI252" i="11"/>
  <c r="BK252" i="11"/>
  <c r="BM252" i="11"/>
  <c r="BI253" i="11"/>
  <c r="BK253" i="11"/>
  <c r="BQ253" i="11"/>
  <c r="BI254" i="11"/>
  <c r="BK254" i="11"/>
  <c r="BQ254" i="11"/>
  <c r="BI255" i="11"/>
  <c r="BK255" i="11"/>
  <c r="BM255" i="11"/>
  <c r="BQ255" i="11"/>
  <c r="BM256" i="11"/>
  <c r="BO256" i="11"/>
  <c r="BQ256" i="11"/>
  <c r="BQ130" i="11"/>
  <c r="BO130" i="11"/>
  <c r="BK130" i="11"/>
  <c r="BM130" i="11"/>
  <c r="BI130" i="11"/>
  <c r="BE116" i="11"/>
  <c r="BU129" i="11"/>
  <c r="U131" i="11"/>
  <c r="U132" i="11"/>
  <c r="U133" i="11" s="1"/>
  <c r="U130" i="11"/>
  <c r="AW131" i="11"/>
  <c r="AY131" i="11"/>
  <c r="BC131" i="11"/>
  <c r="BE131" i="11"/>
  <c r="BG131" i="11"/>
  <c r="BS131" i="11"/>
  <c r="AW132" i="11"/>
  <c r="AY132" i="11"/>
  <c r="BC132" i="11"/>
  <c r="BE132" i="11"/>
  <c r="BG132" i="11"/>
  <c r="BS132" i="11"/>
  <c r="AW133" i="11"/>
  <c r="AY133" i="11"/>
  <c r="BC133" i="11"/>
  <c r="BE133" i="11"/>
  <c r="BG133" i="11"/>
  <c r="BS133" i="11"/>
  <c r="AW134" i="11"/>
  <c r="AY134" i="11"/>
  <c r="BA134" i="11"/>
  <c r="BC134" i="11"/>
  <c r="BE134" i="11"/>
  <c r="BG134" i="11"/>
  <c r="BS134" i="11"/>
  <c r="AW135" i="11"/>
  <c r="AY135" i="11"/>
  <c r="BC135" i="11"/>
  <c r="BE135" i="11"/>
  <c r="BG135" i="11"/>
  <c r="BS135" i="11"/>
  <c r="AW136" i="11"/>
  <c r="AY136" i="11"/>
  <c r="BA136" i="11"/>
  <c r="BC136" i="11"/>
  <c r="BE136" i="11"/>
  <c r="BG136" i="11"/>
  <c r="BS136" i="11"/>
  <c r="AW137" i="11"/>
  <c r="AY137" i="11"/>
  <c r="BC137" i="11"/>
  <c r="BE137" i="11"/>
  <c r="BG137" i="11"/>
  <c r="BS137" i="11"/>
  <c r="AW138" i="11"/>
  <c r="AY138" i="11"/>
  <c r="BC138" i="11"/>
  <c r="BE138" i="11"/>
  <c r="BG138" i="11"/>
  <c r="BS138" i="11"/>
  <c r="AW139" i="11"/>
  <c r="AY139" i="11"/>
  <c r="BA139" i="11"/>
  <c r="BC139" i="11"/>
  <c r="BE139" i="11"/>
  <c r="BG139" i="11"/>
  <c r="BS139" i="11"/>
  <c r="AW140" i="11"/>
  <c r="AY140" i="11"/>
  <c r="BC140" i="11"/>
  <c r="BE140" i="11"/>
  <c r="BG140" i="11"/>
  <c r="BS140" i="11"/>
  <c r="AW141" i="11"/>
  <c r="AY141" i="11"/>
  <c r="BA141" i="11"/>
  <c r="BC141" i="11"/>
  <c r="BE141" i="11"/>
  <c r="BG141" i="11"/>
  <c r="BS141" i="11"/>
  <c r="AW142" i="11"/>
  <c r="AY142" i="11"/>
  <c r="BA142" i="11"/>
  <c r="BC142" i="11"/>
  <c r="BE142" i="11"/>
  <c r="BG142" i="11"/>
  <c r="BS142" i="11"/>
  <c r="AW143" i="11"/>
  <c r="AY143" i="11"/>
  <c r="BC143" i="11"/>
  <c r="BE143" i="11"/>
  <c r="BG143" i="11"/>
  <c r="BS143" i="11"/>
  <c r="AW144" i="11"/>
  <c r="AY144" i="11"/>
  <c r="BC144" i="11"/>
  <c r="BE144" i="11"/>
  <c r="BG144" i="11"/>
  <c r="BS144" i="11"/>
  <c r="AW145" i="11"/>
  <c r="AY145" i="11"/>
  <c r="BA145" i="11"/>
  <c r="BC145" i="11"/>
  <c r="BE145" i="11"/>
  <c r="BG145" i="11"/>
  <c r="BS145" i="11"/>
  <c r="AW146" i="11"/>
  <c r="AY146" i="11"/>
  <c r="BC146" i="11"/>
  <c r="BE146" i="11"/>
  <c r="BG146" i="11"/>
  <c r="BS146" i="11"/>
  <c r="AW147" i="11"/>
  <c r="AY147" i="11"/>
  <c r="BA147" i="11"/>
  <c r="BC147" i="11"/>
  <c r="BE147" i="11"/>
  <c r="BG147" i="11"/>
  <c r="BS147" i="11"/>
  <c r="AW148" i="11"/>
  <c r="AY148" i="11"/>
  <c r="BC148" i="11"/>
  <c r="BE148" i="11"/>
  <c r="BG148" i="11"/>
  <c r="BS148" i="11"/>
  <c r="AW149" i="11"/>
  <c r="AY149" i="11"/>
  <c r="BC149" i="11"/>
  <c r="BE149" i="11"/>
  <c r="BG149" i="11"/>
  <c r="BS149" i="11"/>
  <c r="AW150" i="11"/>
  <c r="AY150" i="11"/>
  <c r="BC150" i="11"/>
  <c r="BE150" i="11"/>
  <c r="BG150" i="11"/>
  <c r="BS150" i="11"/>
  <c r="AW151" i="11"/>
  <c r="AY151" i="11"/>
  <c r="BC151" i="11"/>
  <c r="BE151" i="11"/>
  <c r="BG151" i="11"/>
  <c r="BS151" i="11"/>
  <c r="AW152" i="11"/>
  <c r="AY152" i="11"/>
  <c r="BC152" i="11"/>
  <c r="BE152" i="11"/>
  <c r="BG152" i="11"/>
  <c r="BS152" i="11"/>
  <c r="AW153" i="11"/>
  <c r="AY153" i="11"/>
  <c r="BC153" i="11"/>
  <c r="BE153" i="11"/>
  <c r="BG153" i="11"/>
  <c r="BS153" i="11"/>
  <c r="AW154" i="11"/>
  <c r="AY154" i="11"/>
  <c r="BC154" i="11"/>
  <c r="BE154" i="11"/>
  <c r="BG154" i="11"/>
  <c r="BS154" i="11"/>
  <c r="AW155" i="11"/>
  <c r="AY155" i="11"/>
  <c r="BC155" i="11"/>
  <c r="BE155" i="11"/>
  <c r="BG155" i="11"/>
  <c r="BS155" i="11"/>
  <c r="AW156" i="11"/>
  <c r="AY156" i="11"/>
  <c r="BA156" i="11"/>
  <c r="BC156" i="11"/>
  <c r="BE156" i="11"/>
  <c r="BG156" i="11"/>
  <c r="BS156" i="11"/>
  <c r="AW157" i="11"/>
  <c r="AY157" i="11"/>
  <c r="BC157" i="11"/>
  <c r="BE157" i="11"/>
  <c r="BG157" i="11"/>
  <c r="BS157" i="11"/>
  <c r="AW158" i="11"/>
  <c r="AY158" i="11"/>
  <c r="BA158" i="11"/>
  <c r="BC158" i="11"/>
  <c r="BE158" i="11"/>
  <c r="BG158" i="11"/>
  <c r="BS158" i="11"/>
  <c r="AW159" i="11"/>
  <c r="AY159" i="11"/>
  <c r="BC159" i="11"/>
  <c r="BE159" i="11"/>
  <c r="BG159" i="11"/>
  <c r="BS159" i="11"/>
  <c r="AW160" i="11"/>
  <c r="AY160" i="11"/>
  <c r="BA160" i="11"/>
  <c r="BC160" i="11"/>
  <c r="BE160" i="11"/>
  <c r="BG160" i="11"/>
  <c r="BS160" i="11"/>
  <c r="AW161" i="11"/>
  <c r="AY161" i="11"/>
  <c r="BC161" i="11"/>
  <c r="BE161" i="11"/>
  <c r="BG161" i="11"/>
  <c r="BS161" i="11"/>
  <c r="AW162" i="11"/>
  <c r="AY162" i="11"/>
  <c r="BA162" i="11"/>
  <c r="BC162" i="11"/>
  <c r="BE162" i="11"/>
  <c r="BG162" i="11"/>
  <c r="BS162" i="11"/>
  <c r="AW163" i="11"/>
  <c r="AY163" i="11"/>
  <c r="BC163" i="11"/>
  <c r="BE163" i="11"/>
  <c r="BG163" i="11"/>
  <c r="BS163" i="11"/>
  <c r="AW164" i="11"/>
  <c r="AY164" i="11"/>
  <c r="BC164" i="11"/>
  <c r="BE164" i="11"/>
  <c r="BG164" i="11"/>
  <c r="BS164" i="11"/>
  <c r="AW165" i="11"/>
  <c r="AY165" i="11"/>
  <c r="BC165" i="11"/>
  <c r="BE165" i="11"/>
  <c r="BG165" i="11"/>
  <c r="BS165" i="11"/>
  <c r="AW166" i="11"/>
  <c r="AY166" i="11"/>
  <c r="BC166" i="11"/>
  <c r="BE166" i="11"/>
  <c r="BG166" i="11"/>
  <c r="BS166" i="11"/>
  <c r="AW167" i="11"/>
  <c r="AY167" i="11"/>
  <c r="BC167" i="11"/>
  <c r="BE167" i="11"/>
  <c r="BG167" i="11"/>
  <c r="BS167" i="11"/>
  <c r="AW168" i="11"/>
  <c r="AY168" i="11"/>
  <c r="BC168" i="11"/>
  <c r="BE168" i="11"/>
  <c r="BG168" i="11"/>
  <c r="BS168" i="11"/>
  <c r="AW169" i="11"/>
  <c r="AY169" i="11"/>
  <c r="BA169" i="11"/>
  <c r="BC169" i="11"/>
  <c r="BE169" i="11"/>
  <c r="BG169" i="11"/>
  <c r="BS169" i="11"/>
  <c r="AW170" i="11"/>
  <c r="AY170" i="11"/>
  <c r="BC170" i="11"/>
  <c r="BE170" i="11"/>
  <c r="BG170" i="11"/>
  <c r="BS170" i="11"/>
  <c r="AW171" i="11"/>
  <c r="AY171" i="11"/>
  <c r="BC171" i="11"/>
  <c r="BE171" i="11"/>
  <c r="BG171" i="11"/>
  <c r="BS171" i="11"/>
  <c r="AW172" i="11"/>
  <c r="AY172" i="11"/>
  <c r="BC172" i="11"/>
  <c r="BE172" i="11"/>
  <c r="BG172" i="11"/>
  <c r="BS172" i="11"/>
  <c r="AW173" i="11"/>
  <c r="AY173" i="11"/>
  <c r="BA173" i="11"/>
  <c r="BC173" i="11"/>
  <c r="BE173" i="11"/>
  <c r="BG173" i="11"/>
  <c r="BS173" i="11"/>
  <c r="AW174" i="11"/>
  <c r="AY174" i="11"/>
  <c r="BC174" i="11"/>
  <c r="BE174" i="11"/>
  <c r="BG174" i="11"/>
  <c r="BS174" i="11"/>
  <c r="AW175" i="11"/>
  <c r="AY175" i="11"/>
  <c r="BC175" i="11"/>
  <c r="BE175" i="11"/>
  <c r="BG175" i="11"/>
  <c r="BS175" i="11"/>
  <c r="AW176" i="11"/>
  <c r="AY176" i="11"/>
  <c r="BA176" i="11"/>
  <c r="BC176" i="11"/>
  <c r="BE176" i="11"/>
  <c r="BG176" i="11"/>
  <c r="BS176" i="11"/>
  <c r="AW177" i="11"/>
  <c r="AY177" i="11"/>
  <c r="BA177" i="11"/>
  <c r="BC177" i="11"/>
  <c r="BE177" i="11"/>
  <c r="BG177" i="11"/>
  <c r="BS177" i="11"/>
  <c r="AW178" i="11"/>
  <c r="AY178" i="11"/>
  <c r="BA178" i="11"/>
  <c r="BC178" i="11"/>
  <c r="BE178" i="11"/>
  <c r="BG178" i="11"/>
  <c r="BS178" i="11"/>
  <c r="AW179" i="11"/>
  <c r="AY179" i="11"/>
  <c r="BC179" i="11"/>
  <c r="BE179" i="11"/>
  <c r="BG179" i="11"/>
  <c r="BS179" i="11"/>
  <c r="AW180" i="11"/>
  <c r="AY180" i="11"/>
  <c r="BC180" i="11"/>
  <c r="BE180" i="11"/>
  <c r="BG180" i="11"/>
  <c r="BS180" i="11"/>
  <c r="AW181" i="11"/>
  <c r="AY181" i="11"/>
  <c r="BC181" i="11"/>
  <c r="BE181" i="11"/>
  <c r="BG181" i="11"/>
  <c r="BS181" i="11"/>
  <c r="AW182" i="11"/>
  <c r="AY182" i="11"/>
  <c r="BC182" i="11"/>
  <c r="BE182" i="11"/>
  <c r="BG182" i="11"/>
  <c r="BS182" i="11"/>
  <c r="AW183" i="11"/>
  <c r="AY183" i="11"/>
  <c r="BC183" i="11"/>
  <c r="BE183" i="11"/>
  <c r="BG183" i="11"/>
  <c r="BS183" i="11"/>
  <c r="AW184" i="11"/>
  <c r="AY184" i="11"/>
  <c r="BA184" i="11"/>
  <c r="BC184" i="11"/>
  <c r="BE184" i="11"/>
  <c r="BG184" i="11"/>
  <c r="BS184" i="11"/>
  <c r="AW185" i="11"/>
  <c r="AY185" i="11"/>
  <c r="BC185" i="11"/>
  <c r="BE185" i="11"/>
  <c r="BG185" i="11"/>
  <c r="BS185" i="11"/>
  <c r="AW186" i="11"/>
  <c r="AY186" i="11"/>
  <c r="BC186" i="11"/>
  <c r="BE186" i="11"/>
  <c r="BG186" i="11"/>
  <c r="BS186" i="11"/>
  <c r="AW187" i="11"/>
  <c r="AY187" i="11"/>
  <c r="BA187" i="11"/>
  <c r="BC187" i="11"/>
  <c r="BE187" i="11"/>
  <c r="BG187" i="11"/>
  <c r="BS187" i="11"/>
  <c r="AW188" i="11"/>
  <c r="AY188" i="11"/>
  <c r="BC188" i="11"/>
  <c r="BE188" i="11"/>
  <c r="BG188" i="11"/>
  <c r="BS188" i="11"/>
  <c r="AW189" i="11"/>
  <c r="AY189" i="11"/>
  <c r="BC189" i="11"/>
  <c r="BE189" i="11"/>
  <c r="BG189" i="11"/>
  <c r="BS189" i="11"/>
  <c r="AW190" i="11"/>
  <c r="AY190" i="11"/>
  <c r="BC190" i="11"/>
  <c r="BE190" i="11"/>
  <c r="BG190" i="11"/>
  <c r="BS190" i="11"/>
  <c r="AW191" i="11"/>
  <c r="AY191" i="11"/>
  <c r="BA191" i="11"/>
  <c r="BC191" i="11"/>
  <c r="BE191" i="11"/>
  <c r="BG191" i="11"/>
  <c r="BS191" i="11"/>
  <c r="AW192" i="11"/>
  <c r="AY192" i="11"/>
  <c r="BA192" i="11"/>
  <c r="BC192" i="11"/>
  <c r="BE192" i="11"/>
  <c r="BG192" i="11"/>
  <c r="BS192" i="11"/>
  <c r="AW193" i="11"/>
  <c r="AY193" i="11"/>
  <c r="BC193" i="11"/>
  <c r="BE193" i="11"/>
  <c r="BG193" i="11"/>
  <c r="BS193" i="11"/>
  <c r="AW194" i="11"/>
  <c r="AY194" i="11"/>
  <c r="BA194" i="11"/>
  <c r="BC194" i="11"/>
  <c r="BE194" i="11"/>
  <c r="BG194" i="11"/>
  <c r="BS194" i="11"/>
  <c r="AW195" i="11"/>
  <c r="AY195" i="11"/>
  <c r="BC195" i="11"/>
  <c r="BE195" i="11"/>
  <c r="BG195" i="11"/>
  <c r="BS195" i="11"/>
  <c r="AW196" i="11"/>
  <c r="AY196" i="11"/>
  <c r="BC196" i="11"/>
  <c r="BE196" i="11"/>
  <c r="BG196" i="11"/>
  <c r="BS196" i="11"/>
  <c r="AW197" i="11"/>
  <c r="AY197" i="11"/>
  <c r="BC197" i="11"/>
  <c r="BE197" i="11"/>
  <c r="BG197" i="11"/>
  <c r="BS197" i="11"/>
  <c r="AW198" i="11"/>
  <c r="AY198" i="11"/>
  <c r="BA198" i="11"/>
  <c r="BC198" i="11"/>
  <c r="BE198" i="11"/>
  <c r="BG198" i="11"/>
  <c r="BS198" i="11"/>
  <c r="AW199" i="11"/>
  <c r="AY199" i="11"/>
  <c r="BC199" i="11"/>
  <c r="BE199" i="11"/>
  <c r="BG199" i="11"/>
  <c r="BS199" i="11"/>
  <c r="AW200" i="11"/>
  <c r="AY200" i="11"/>
  <c r="BA200" i="11"/>
  <c r="BC200" i="11"/>
  <c r="BE200" i="11"/>
  <c r="BG200" i="11"/>
  <c r="BS200" i="11"/>
  <c r="AW201" i="11"/>
  <c r="AY201" i="11"/>
  <c r="BA201" i="11"/>
  <c r="BC201" i="11"/>
  <c r="BE201" i="11"/>
  <c r="BG201" i="11"/>
  <c r="BS201" i="11"/>
  <c r="AW202" i="11"/>
  <c r="AY202" i="11"/>
  <c r="BC202" i="11"/>
  <c r="BE202" i="11"/>
  <c r="BG202" i="11"/>
  <c r="BS202" i="11"/>
  <c r="AW203" i="11"/>
  <c r="AY203" i="11"/>
  <c r="BC203" i="11"/>
  <c r="BE203" i="11"/>
  <c r="BG203" i="11"/>
  <c r="BS203" i="11"/>
  <c r="AW204" i="11"/>
  <c r="AY204" i="11"/>
  <c r="BC204" i="11"/>
  <c r="BE204" i="11"/>
  <c r="BG204" i="11"/>
  <c r="BS204" i="11"/>
  <c r="AW205" i="11"/>
  <c r="AY205" i="11"/>
  <c r="BC205" i="11"/>
  <c r="BE205" i="11"/>
  <c r="BG205" i="11"/>
  <c r="BS205" i="11"/>
  <c r="AW206" i="11"/>
  <c r="AY206" i="11"/>
  <c r="BC206" i="11"/>
  <c r="BE206" i="11"/>
  <c r="BG206" i="11"/>
  <c r="BS206" i="11"/>
  <c r="AW207" i="11"/>
  <c r="AY207" i="11"/>
  <c r="BA207" i="11"/>
  <c r="BC207" i="11"/>
  <c r="BE207" i="11"/>
  <c r="BG207" i="11"/>
  <c r="BS207" i="11"/>
  <c r="AW208" i="11"/>
  <c r="AY208" i="11"/>
  <c r="BA208" i="11"/>
  <c r="BC208" i="11"/>
  <c r="BE208" i="11"/>
  <c r="BG208" i="11"/>
  <c r="BS208" i="11"/>
  <c r="AW209" i="11"/>
  <c r="AY209" i="11"/>
  <c r="BA209" i="11"/>
  <c r="BC209" i="11"/>
  <c r="BE209" i="11"/>
  <c r="BG209" i="11"/>
  <c r="BS209" i="11"/>
  <c r="AW210" i="11"/>
  <c r="AY210" i="11"/>
  <c r="BC210" i="11"/>
  <c r="BE210" i="11"/>
  <c r="BG210" i="11"/>
  <c r="BS210" i="11"/>
  <c r="AW211" i="11"/>
  <c r="AY211" i="11"/>
  <c r="BC211" i="11"/>
  <c r="BE211" i="11"/>
  <c r="BG211" i="11"/>
  <c r="BS211" i="11"/>
  <c r="AW212" i="11"/>
  <c r="AY212" i="11"/>
  <c r="BC212" i="11"/>
  <c r="BE212" i="11"/>
  <c r="BG212" i="11"/>
  <c r="BS212" i="11"/>
  <c r="AW213" i="11"/>
  <c r="AY213" i="11"/>
  <c r="BA213" i="11"/>
  <c r="BC213" i="11"/>
  <c r="BE213" i="11"/>
  <c r="BG213" i="11"/>
  <c r="BS213" i="11"/>
  <c r="AW214" i="11"/>
  <c r="AY214" i="11"/>
  <c r="BA214" i="11"/>
  <c r="BC214" i="11"/>
  <c r="BE214" i="11"/>
  <c r="BG214" i="11"/>
  <c r="BS214" i="11"/>
  <c r="AW215" i="11"/>
  <c r="AY215" i="11"/>
  <c r="BC215" i="11"/>
  <c r="BE215" i="11"/>
  <c r="BG215" i="11"/>
  <c r="BS215" i="11"/>
  <c r="AW216" i="11"/>
  <c r="AY216" i="11"/>
  <c r="BA216" i="11"/>
  <c r="BC216" i="11"/>
  <c r="BE216" i="11"/>
  <c r="BG216" i="11"/>
  <c r="BS216" i="11"/>
  <c r="AW217" i="11"/>
  <c r="AY217" i="11"/>
  <c r="BC217" i="11"/>
  <c r="BE217" i="11"/>
  <c r="BG217" i="11"/>
  <c r="BS217" i="11"/>
  <c r="AW218" i="11"/>
  <c r="AY218" i="11"/>
  <c r="BC218" i="11"/>
  <c r="BE218" i="11"/>
  <c r="BG218" i="11"/>
  <c r="BS218" i="11"/>
  <c r="AW219" i="11"/>
  <c r="AY219" i="11"/>
  <c r="BC219" i="11"/>
  <c r="BE219" i="11"/>
  <c r="BG219" i="11"/>
  <c r="BS219" i="11"/>
  <c r="AW220" i="11"/>
  <c r="AY220" i="11"/>
  <c r="BC220" i="11"/>
  <c r="BE220" i="11"/>
  <c r="BG220" i="11"/>
  <c r="BS220" i="11"/>
  <c r="AW221" i="11"/>
  <c r="AY221" i="11"/>
  <c r="BC221" i="11"/>
  <c r="BE221" i="11"/>
  <c r="BG221" i="11"/>
  <c r="BS221" i="11"/>
  <c r="AW222" i="11"/>
  <c r="AY222" i="11"/>
  <c r="BA222" i="11"/>
  <c r="BC222" i="11"/>
  <c r="BE222" i="11"/>
  <c r="BG222" i="11"/>
  <c r="BS222" i="11"/>
  <c r="AW223" i="11"/>
  <c r="AY223" i="11"/>
  <c r="BC223" i="11"/>
  <c r="BE223" i="11"/>
  <c r="BG223" i="11"/>
  <c r="BS223" i="11"/>
  <c r="AW224" i="11"/>
  <c r="AY224" i="11"/>
  <c r="BA224" i="11"/>
  <c r="BC224" i="11"/>
  <c r="BE224" i="11"/>
  <c r="BG224" i="11"/>
  <c r="BS224" i="11"/>
  <c r="AW225" i="11"/>
  <c r="AY225" i="11"/>
  <c r="BC225" i="11"/>
  <c r="BE225" i="11"/>
  <c r="BG225" i="11"/>
  <c r="BS225" i="11"/>
  <c r="AW226" i="11"/>
  <c r="AY226" i="11"/>
  <c r="BC226" i="11"/>
  <c r="BE226" i="11"/>
  <c r="BG226" i="11"/>
  <c r="BS226" i="11"/>
  <c r="AW227" i="11"/>
  <c r="AY227" i="11"/>
  <c r="BC227" i="11"/>
  <c r="BE227" i="11"/>
  <c r="BG227" i="11"/>
  <c r="BS227" i="11"/>
  <c r="AW228" i="11"/>
  <c r="AY228" i="11"/>
  <c r="BC228" i="11"/>
  <c r="BE228" i="11"/>
  <c r="BG228" i="11"/>
  <c r="BS228" i="11"/>
  <c r="AW229" i="11"/>
  <c r="AY229" i="11"/>
  <c r="BC229" i="11"/>
  <c r="BE229" i="11"/>
  <c r="BG229" i="11"/>
  <c r="BS229" i="11"/>
  <c r="AW230" i="11"/>
  <c r="AY230" i="11"/>
  <c r="BC230" i="11"/>
  <c r="BE230" i="11"/>
  <c r="BG230" i="11"/>
  <c r="BS230" i="11"/>
  <c r="AW231" i="11"/>
  <c r="AY231" i="11"/>
  <c r="BC231" i="11"/>
  <c r="BE231" i="11"/>
  <c r="BG231" i="11"/>
  <c r="BS231" i="11"/>
  <c r="AW232" i="11"/>
  <c r="AY232" i="11"/>
  <c r="BC232" i="11"/>
  <c r="BE232" i="11"/>
  <c r="BG232" i="11"/>
  <c r="BS232" i="11"/>
  <c r="AW233" i="11"/>
  <c r="AY233" i="11"/>
  <c r="BC233" i="11"/>
  <c r="BE233" i="11"/>
  <c r="BG233" i="11"/>
  <c r="BS233" i="11"/>
  <c r="AW234" i="11"/>
  <c r="AY234" i="11"/>
  <c r="BC234" i="11"/>
  <c r="BE234" i="11"/>
  <c r="BG234" i="11"/>
  <c r="BS234" i="11"/>
  <c r="AW235" i="11"/>
  <c r="AY235" i="11"/>
  <c r="BC235" i="11"/>
  <c r="BE235" i="11"/>
  <c r="BG235" i="11"/>
  <c r="BS235" i="11"/>
  <c r="AW236" i="11"/>
  <c r="AY236" i="11"/>
  <c r="BA236" i="11"/>
  <c r="BC236" i="11"/>
  <c r="BE236" i="11"/>
  <c r="BG236" i="11"/>
  <c r="BS236" i="11"/>
  <c r="AW237" i="11"/>
  <c r="AY237" i="11"/>
  <c r="BA237" i="11"/>
  <c r="BC237" i="11"/>
  <c r="BE237" i="11"/>
  <c r="BG237" i="11"/>
  <c r="BS237" i="11"/>
  <c r="AW238" i="11"/>
  <c r="AY238" i="11"/>
  <c r="BC238" i="11"/>
  <c r="BE238" i="11"/>
  <c r="BG238" i="11"/>
  <c r="BS238" i="11"/>
  <c r="AW239" i="11"/>
  <c r="AY239" i="11"/>
  <c r="BA239" i="11"/>
  <c r="BC239" i="11"/>
  <c r="BE239" i="11"/>
  <c r="BG239" i="11"/>
  <c r="BS239" i="11"/>
  <c r="AW240" i="11"/>
  <c r="AY240" i="11"/>
  <c r="BC240" i="11"/>
  <c r="BE240" i="11"/>
  <c r="BG240" i="11"/>
  <c r="BS240" i="11"/>
  <c r="AW241" i="11"/>
  <c r="AY241" i="11"/>
  <c r="BC241" i="11"/>
  <c r="BE241" i="11"/>
  <c r="BG241" i="11"/>
  <c r="BS241" i="11"/>
  <c r="AW242" i="11"/>
  <c r="AY242" i="11"/>
  <c r="BA242" i="11"/>
  <c r="BC242" i="11"/>
  <c r="BE242" i="11"/>
  <c r="BG242" i="11"/>
  <c r="BS242" i="11"/>
  <c r="AW243" i="11"/>
  <c r="AY243" i="11"/>
  <c r="BC243" i="11"/>
  <c r="BE243" i="11"/>
  <c r="BG243" i="11"/>
  <c r="BS243" i="11"/>
  <c r="AW244" i="11"/>
  <c r="AY244" i="11"/>
  <c r="BC244" i="11"/>
  <c r="BE244" i="11"/>
  <c r="BG244" i="11"/>
  <c r="BS244" i="11"/>
  <c r="AW245" i="11"/>
  <c r="AY245" i="11"/>
  <c r="BC245" i="11"/>
  <c r="BE245" i="11"/>
  <c r="BG245" i="11"/>
  <c r="BS245" i="11"/>
  <c r="AW246" i="11"/>
  <c r="AY246" i="11"/>
  <c r="BC246" i="11"/>
  <c r="BE246" i="11"/>
  <c r="BG246" i="11"/>
  <c r="BS246" i="11"/>
  <c r="AW247" i="11"/>
  <c r="AY247" i="11"/>
  <c r="BC247" i="11"/>
  <c r="BE247" i="11"/>
  <c r="BG247" i="11"/>
  <c r="BS247" i="11"/>
  <c r="AW248" i="11"/>
  <c r="AY248" i="11"/>
  <c r="BC248" i="11"/>
  <c r="BE248" i="11"/>
  <c r="BG248" i="11"/>
  <c r="BS248" i="11"/>
  <c r="AW249" i="11"/>
  <c r="AY249" i="11"/>
  <c r="BA249" i="11"/>
  <c r="BC249" i="11"/>
  <c r="BE249" i="11"/>
  <c r="BG249" i="11"/>
  <c r="BS249" i="11"/>
  <c r="AW250" i="11"/>
  <c r="AY250" i="11"/>
  <c r="BC250" i="11"/>
  <c r="BE250" i="11"/>
  <c r="BG250" i="11"/>
  <c r="BS250" i="11"/>
  <c r="AW251" i="11"/>
  <c r="AY251" i="11"/>
  <c r="BC251" i="11"/>
  <c r="BE251" i="11"/>
  <c r="BG251" i="11"/>
  <c r="BS251" i="11"/>
  <c r="AW252" i="11"/>
  <c r="AY252" i="11"/>
  <c r="BC252" i="11"/>
  <c r="BE252" i="11"/>
  <c r="BG252" i="11"/>
  <c r="BS252" i="11"/>
  <c r="AW253" i="11"/>
  <c r="AY253" i="11"/>
  <c r="BA253" i="11"/>
  <c r="BC253" i="11"/>
  <c r="BE253" i="11"/>
  <c r="BG253" i="11"/>
  <c r="BS253" i="11"/>
  <c r="AW254" i="11"/>
  <c r="AY254" i="11"/>
  <c r="BA254" i="11"/>
  <c r="BC254" i="11"/>
  <c r="BE254" i="11"/>
  <c r="BG254" i="11"/>
  <c r="BS254" i="11"/>
  <c r="AW255" i="11"/>
  <c r="AY255" i="11"/>
  <c r="BA255" i="11"/>
  <c r="BC255" i="11"/>
  <c r="BE255" i="11"/>
  <c r="BG255" i="11"/>
  <c r="BS255" i="11"/>
  <c r="AW256" i="11"/>
  <c r="AY256" i="11"/>
  <c r="BC256" i="11"/>
  <c r="BE256" i="11"/>
  <c r="BG256" i="11"/>
  <c r="BS256" i="11"/>
  <c r="BS130" i="11"/>
  <c r="BG130" i="11"/>
  <c r="BE130" i="11"/>
  <c r="BC130" i="11"/>
  <c r="AY130" i="11"/>
  <c r="AW130" i="11"/>
  <c r="U129" i="11"/>
  <c r="AU101" i="11"/>
  <c r="AQ80" i="11"/>
  <c r="AQ81" i="11"/>
  <c r="AQ82" i="11"/>
  <c r="AQ83" i="11"/>
  <c r="AQ84" i="11"/>
  <c r="AQ85" i="11"/>
  <c r="AQ86" i="11"/>
  <c r="AQ87" i="11"/>
  <c r="AQ88" i="11"/>
  <c r="AQ89" i="11"/>
  <c r="AQ90" i="11"/>
  <c r="AQ91" i="11"/>
  <c r="AQ92" i="11"/>
  <c r="AQ93" i="11"/>
  <c r="AQ94" i="11"/>
  <c r="AQ95" i="11"/>
  <c r="AQ96" i="11"/>
  <c r="AQ79" i="11"/>
  <c r="I72" i="11"/>
  <c r="AW66" i="11"/>
  <c r="U5" i="11"/>
  <c r="U6" i="11" s="1"/>
  <c r="U4" i="11"/>
  <c r="U3" i="11"/>
  <c r="AZ21" i="11"/>
  <c r="BB21" i="11"/>
  <c r="BD21" i="11"/>
  <c r="BF21" i="11"/>
  <c r="BH21" i="11"/>
  <c r="BJ21" i="11"/>
  <c r="BL21" i="11"/>
  <c r="BN21" i="11"/>
  <c r="BP21" i="11"/>
  <c r="BR21" i="11"/>
  <c r="BT21" i="11"/>
  <c r="BV21" i="11"/>
  <c r="BZ21" i="11"/>
  <c r="AZ22" i="11"/>
  <c r="BB22" i="11"/>
  <c r="BD22" i="11"/>
  <c r="BF22" i="11"/>
  <c r="BH22" i="11"/>
  <c r="BJ22" i="11"/>
  <c r="BL22" i="11"/>
  <c r="BN22" i="11"/>
  <c r="BP22" i="11"/>
  <c r="BR22" i="11"/>
  <c r="BT22" i="11"/>
  <c r="BV22" i="11"/>
  <c r="BZ22" i="11"/>
  <c r="AZ23" i="11"/>
  <c r="BB23" i="11"/>
  <c r="BD23" i="11"/>
  <c r="BF23" i="11"/>
  <c r="BH23" i="11"/>
  <c r="BJ23" i="11"/>
  <c r="BL23" i="11"/>
  <c r="BN23" i="11"/>
  <c r="BP23" i="11"/>
  <c r="BR23" i="11"/>
  <c r="BT23" i="11"/>
  <c r="BV23" i="11"/>
  <c r="BZ23" i="11"/>
  <c r="AZ24" i="11"/>
  <c r="BB24" i="11"/>
  <c r="BD24" i="11"/>
  <c r="BF24" i="11"/>
  <c r="BH24" i="11"/>
  <c r="BJ24" i="11"/>
  <c r="BL24" i="11"/>
  <c r="BN24" i="11"/>
  <c r="BP24" i="11"/>
  <c r="BR24" i="11"/>
  <c r="BT24" i="11"/>
  <c r="BV24" i="11"/>
  <c r="BZ24" i="11"/>
  <c r="AZ25" i="11"/>
  <c r="BB25" i="11"/>
  <c r="BD25" i="11"/>
  <c r="BF25" i="11"/>
  <c r="BH25" i="11"/>
  <c r="BJ25" i="11"/>
  <c r="BL25" i="11"/>
  <c r="BN25" i="11"/>
  <c r="BP25" i="11"/>
  <c r="BR25" i="11"/>
  <c r="BT25" i="11"/>
  <c r="BV25" i="11"/>
  <c r="BZ25" i="11"/>
  <c r="AZ26" i="11"/>
  <c r="BB26" i="11"/>
  <c r="BD26" i="11"/>
  <c r="BF26" i="11"/>
  <c r="BH26" i="11"/>
  <c r="BJ26" i="11"/>
  <c r="BL26" i="11"/>
  <c r="BN26" i="11"/>
  <c r="BP26" i="11"/>
  <c r="BR26" i="11"/>
  <c r="BT26" i="11"/>
  <c r="BV26" i="11"/>
  <c r="BZ26" i="11"/>
  <c r="AZ27" i="11"/>
  <c r="BB27" i="11"/>
  <c r="BD27" i="11"/>
  <c r="BF27" i="11"/>
  <c r="BH27" i="11"/>
  <c r="BJ27" i="11"/>
  <c r="BL27" i="11"/>
  <c r="BN27" i="11"/>
  <c r="BP27" i="11"/>
  <c r="BR27" i="11"/>
  <c r="BT27" i="11"/>
  <c r="BV27" i="11"/>
  <c r="BZ27" i="11"/>
  <c r="BV20" i="11"/>
  <c r="BT20" i="11"/>
  <c r="BR20" i="11"/>
  <c r="BP20" i="11"/>
  <c r="BL20" i="11"/>
  <c r="BJ20" i="11"/>
  <c r="BH20" i="11"/>
  <c r="BF20" i="11"/>
  <c r="BD20" i="11"/>
  <c r="BB20" i="11"/>
  <c r="AZ20" i="11"/>
  <c r="F23" i="11"/>
  <c r="F24" i="11"/>
  <c r="F25" i="11" s="1"/>
  <c r="F26" i="11" s="1"/>
  <c r="F27" i="11" s="1"/>
  <c r="F28" i="11" s="1"/>
  <c r="F22" i="11"/>
  <c r="I5" i="11"/>
  <c r="I6" i="11"/>
  <c r="I7" i="11"/>
  <c r="I4" i="11"/>
  <c r="AU3" i="11" s="1"/>
  <c r="BC66" i="11"/>
  <c r="BC67" i="11"/>
  <c r="BC68" i="11"/>
  <c r="BC69" i="11"/>
  <c r="BC70" i="11"/>
  <c r="BC71" i="11"/>
  <c r="BC72" i="11"/>
  <c r="BC73" i="11"/>
  <c r="BC74" i="11"/>
  <c r="BE66" i="11"/>
  <c r="BE67" i="11"/>
  <c r="BE68" i="11"/>
  <c r="BE69" i="11"/>
  <c r="BE70" i="11"/>
  <c r="BE71" i="11"/>
  <c r="BE72" i="11"/>
  <c r="BE73" i="11"/>
  <c r="BE74" i="11"/>
  <c r="J438" i="11"/>
  <c r="J437" i="11"/>
  <c r="F436" i="11"/>
  <c r="F437" i="11" s="1"/>
  <c r="J435" i="11"/>
  <c r="J434" i="11"/>
  <c r="J433" i="11"/>
  <c r="F432" i="11"/>
  <c r="F433" i="11" s="1"/>
  <c r="F434" i="11" s="1"/>
  <c r="J431" i="11"/>
  <c r="J429" i="11"/>
  <c r="J428" i="11"/>
  <c r="F427" i="11"/>
  <c r="F428" i="11" s="1"/>
  <c r="J426" i="11"/>
  <c r="J424" i="11"/>
  <c r="J423" i="11"/>
  <c r="F422" i="11"/>
  <c r="F423" i="11" s="1"/>
  <c r="J421" i="11"/>
  <c r="J419" i="11"/>
  <c r="J418" i="11"/>
  <c r="F417" i="11"/>
  <c r="F418" i="11" s="1"/>
  <c r="F419" i="11" s="1"/>
  <c r="J416" i="11"/>
  <c r="J414" i="11"/>
  <c r="J413" i="11"/>
  <c r="F412" i="11"/>
  <c r="F413" i="11" s="1"/>
  <c r="J411" i="11"/>
  <c r="J409" i="11"/>
  <c r="J408" i="11"/>
  <c r="K407" i="11"/>
  <c r="K408" i="11" s="1"/>
  <c r="K409" i="11" s="1"/>
  <c r="F407" i="11"/>
  <c r="F408" i="11" s="1"/>
  <c r="J406" i="11"/>
  <c r="L406" i="11"/>
  <c r="S406" i="11" s="1"/>
  <c r="K402" i="11"/>
  <c r="K398" i="11"/>
  <c r="K397" i="11"/>
  <c r="K393" i="11"/>
  <c r="K392" i="11"/>
  <c r="F389" i="11"/>
  <c r="F390" i="11" s="1"/>
  <c r="K388" i="11"/>
  <c r="J385" i="11"/>
  <c r="J384" i="11"/>
  <c r="J383" i="11"/>
  <c r="J382" i="11"/>
  <c r="J381" i="11"/>
  <c r="J380" i="11"/>
  <c r="J379" i="11"/>
  <c r="J378" i="11"/>
  <c r="J377" i="11"/>
  <c r="J376" i="11"/>
  <c r="J375" i="11"/>
  <c r="J374" i="11"/>
  <c r="J373" i="11"/>
  <c r="F373" i="11"/>
  <c r="F374" i="11" s="1"/>
  <c r="J372" i="11"/>
  <c r="F356" i="11"/>
  <c r="F357" i="11" s="1"/>
  <c r="F358" i="11" s="1"/>
  <c r="M349" i="11"/>
  <c r="H349" i="11"/>
  <c r="H348" i="11"/>
  <c r="H347" i="11"/>
  <c r="H346" i="11"/>
  <c r="H345" i="11"/>
  <c r="H344" i="11"/>
  <c r="M343" i="11"/>
  <c r="M344" i="11" s="1"/>
  <c r="M345" i="11" s="1"/>
  <c r="M346" i="11" s="1"/>
  <c r="M347" i="11" s="1"/>
  <c r="H343" i="11"/>
  <c r="H342" i="11"/>
  <c r="H341" i="11"/>
  <c r="H340" i="11"/>
  <c r="H339" i="11"/>
  <c r="M338" i="11"/>
  <c r="M339" i="11" s="1"/>
  <c r="M340" i="11" s="1"/>
  <c r="M341" i="11" s="1"/>
  <c r="M342" i="11" s="1"/>
  <c r="H338" i="11"/>
  <c r="H337" i="11"/>
  <c r="H336" i="11"/>
  <c r="H335" i="11"/>
  <c r="H334" i="11"/>
  <c r="H333" i="11"/>
  <c r="H332" i="11"/>
  <c r="H331" i="11"/>
  <c r="H330" i="11"/>
  <c r="H329" i="11"/>
  <c r="H328" i="11"/>
  <c r="M327" i="11"/>
  <c r="M328" i="11" s="1"/>
  <c r="H327" i="11"/>
  <c r="M326" i="11"/>
  <c r="H326" i="11"/>
  <c r="H325" i="11"/>
  <c r="H324" i="11"/>
  <c r="H323" i="11"/>
  <c r="H322" i="11"/>
  <c r="H321" i="11"/>
  <c r="H320" i="11"/>
  <c r="H319" i="11"/>
  <c r="H318" i="11"/>
  <c r="H317" i="11"/>
  <c r="H316" i="11"/>
  <c r="H315" i="11"/>
  <c r="M314" i="11"/>
  <c r="M315" i="11" s="1"/>
  <c r="M316" i="11" s="1"/>
  <c r="M317" i="11" s="1"/>
  <c r="M318" i="11" s="1"/>
  <c r="M319" i="11" s="1"/>
  <c r="H314" i="11"/>
  <c r="H313" i="11"/>
  <c r="H312" i="11"/>
  <c r="H311" i="11"/>
  <c r="H310" i="11"/>
  <c r="H309" i="11"/>
  <c r="H308" i="11"/>
  <c r="H307" i="11"/>
  <c r="H306" i="11"/>
  <c r="H305" i="11"/>
  <c r="H304" i="11"/>
  <c r="H303" i="11"/>
  <c r="M302" i="11"/>
  <c r="M303" i="11" s="1"/>
  <c r="M304" i="11" s="1"/>
  <c r="H302" i="11"/>
  <c r="H301" i="11"/>
  <c r="H300" i="11"/>
  <c r="H299" i="11"/>
  <c r="H298" i="11"/>
  <c r="H297" i="11"/>
  <c r="H296" i="11"/>
  <c r="H295" i="11"/>
  <c r="H294" i="11"/>
  <c r="H293" i="11"/>
  <c r="H292" i="11"/>
  <c r="H291" i="11"/>
  <c r="M290" i="11"/>
  <c r="M291" i="11" s="1"/>
  <c r="H290" i="11"/>
  <c r="H289" i="11"/>
  <c r="H288" i="11"/>
  <c r="H287" i="11"/>
  <c r="H286" i="11"/>
  <c r="H285" i="11"/>
  <c r="H284" i="11"/>
  <c r="H283" i="11"/>
  <c r="H282" i="11"/>
  <c r="H281" i="11"/>
  <c r="H280" i="11"/>
  <c r="H279" i="11"/>
  <c r="M278" i="11"/>
  <c r="M279" i="11" s="1"/>
  <c r="M280" i="11" s="1"/>
  <c r="M281" i="11" s="1"/>
  <c r="M282" i="11" s="1"/>
  <c r="H278" i="11"/>
  <c r="I278" i="11" s="1"/>
  <c r="AM278" i="11" s="1"/>
  <c r="H277" i="11"/>
  <c r="H276" i="11"/>
  <c r="H275" i="11"/>
  <c r="H274" i="11"/>
  <c r="H273" i="11"/>
  <c r="H272" i="11"/>
  <c r="H271" i="11"/>
  <c r="H270" i="11"/>
  <c r="H269" i="11"/>
  <c r="H268" i="11"/>
  <c r="H267" i="11"/>
  <c r="H266" i="11"/>
  <c r="F266" i="11"/>
  <c r="K265" i="11"/>
  <c r="H265" i="11"/>
  <c r="I256" i="11"/>
  <c r="BA256" i="11" s="1"/>
  <c r="I255" i="11"/>
  <c r="I254" i="11"/>
  <c r="I253" i="11"/>
  <c r="I252" i="11"/>
  <c r="BA252" i="11" s="1"/>
  <c r="I251" i="11"/>
  <c r="BA251" i="11" s="1"/>
  <c r="I250" i="11"/>
  <c r="BA250" i="11" s="1"/>
  <c r="I249" i="11"/>
  <c r="I248" i="11"/>
  <c r="BA248" i="11" s="1"/>
  <c r="I247" i="11"/>
  <c r="BA247" i="11" s="1"/>
  <c r="I246" i="11"/>
  <c r="BA246" i="11" s="1"/>
  <c r="I245" i="11"/>
  <c r="BA245" i="11" s="1"/>
  <c r="I244" i="11"/>
  <c r="BA244" i="11" s="1"/>
  <c r="I243" i="11"/>
  <c r="BA243" i="11" s="1"/>
  <c r="I242" i="11"/>
  <c r="I241" i="11"/>
  <c r="BA241" i="11" s="1"/>
  <c r="I240" i="11"/>
  <c r="BA240" i="11" s="1"/>
  <c r="S239" i="11"/>
  <c r="R239" i="11"/>
  <c r="R240" i="11" s="1"/>
  <c r="R241" i="11" s="1"/>
  <c r="I239" i="11"/>
  <c r="G239" i="11"/>
  <c r="G240" i="11" s="1"/>
  <c r="G241" i="11" s="1"/>
  <c r="G242" i="11" s="1"/>
  <c r="G243" i="11" s="1"/>
  <c r="G244" i="11" s="1"/>
  <c r="G245" i="11" s="1"/>
  <c r="G246" i="11" s="1"/>
  <c r="G247" i="11" s="1"/>
  <c r="G248" i="11" s="1"/>
  <c r="G249" i="11" s="1"/>
  <c r="G250" i="11" s="1"/>
  <c r="G251" i="11" s="1"/>
  <c r="G252" i="11" s="1"/>
  <c r="G253" i="11" s="1"/>
  <c r="G254" i="11" s="1"/>
  <c r="G255" i="11" s="1"/>
  <c r="G256" i="11" s="1"/>
  <c r="S238" i="11"/>
  <c r="I238" i="11"/>
  <c r="BA238" i="11" s="1"/>
  <c r="I237" i="11"/>
  <c r="I236" i="11"/>
  <c r="I235" i="11"/>
  <c r="BA235" i="11" s="1"/>
  <c r="I234" i="11"/>
  <c r="BA234" i="11" s="1"/>
  <c r="I233" i="11"/>
  <c r="BA233" i="11" s="1"/>
  <c r="I232" i="11"/>
  <c r="BA232" i="11" s="1"/>
  <c r="I231" i="11"/>
  <c r="BA231" i="11" s="1"/>
  <c r="I230" i="11"/>
  <c r="BA230" i="11" s="1"/>
  <c r="I229" i="11"/>
  <c r="BA229" i="11" s="1"/>
  <c r="I228" i="11"/>
  <c r="BA228" i="11" s="1"/>
  <c r="I227" i="11"/>
  <c r="BA227" i="11" s="1"/>
  <c r="I226" i="11"/>
  <c r="BA226" i="11" s="1"/>
  <c r="I225" i="11"/>
  <c r="BA225" i="11" s="1"/>
  <c r="I224" i="11"/>
  <c r="I223" i="11"/>
  <c r="BA223" i="11" s="1"/>
  <c r="I222" i="11"/>
  <c r="R221" i="11"/>
  <c r="R222" i="11" s="1"/>
  <c r="R223" i="11" s="1"/>
  <c r="R224" i="11" s="1"/>
  <c r="R225" i="11" s="1"/>
  <c r="R226" i="11" s="1"/>
  <c r="R227" i="11" s="1"/>
  <c r="R228" i="11" s="1"/>
  <c r="R229" i="11" s="1"/>
  <c r="R230" i="11" s="1"/>
  <c r="R231" i="11" s="1"/>
  <c r="R232" i="11" s="1"/>
  <c r="R233" i="11" s="1"/>
  <c r="R234" i="11" s="1"/>
  <c r="R235" i="11" s="1"/>
  <c r="R236" i="11" s="1"/>
  <c r="R237" i="11" s="1"/>
  <c r="I221" i="11"/>
  <c r="BA221" i="11" s="1"/>
  <c r="G221" i="11"/>
  <c r="G222" i="11" s="1"/>
  <c r="G223" i="11" s="1"/>
  <c r="G224" i="11" s="1"/>
  <c r="G225" i="11" s="1"/>
  <c r="G226" i="11" s="1"/>
  <c r="G227" i="11" s="1"/>
  <c r="G228" i="11" s="1"/>
  <c r="G229" i="11" s="1"/>
  <c r="G230" i="11" s="1"/>
  <c r="G231" i="11" s="1"/>
  <c r="G232" i="11" s="1"/>
  <c r="G233" i="11" s="1"/>
  <c r="G234" i="11" s="1"/>
  <c r="G235" i="11" s="1"/>
  <c r="G236" i="11" s="1"/>
  <c r="G237" i="11" s="1"/>
  <c r="Q220" i="11"/>
  <c r="M221" i="11" s="1"/>
  <c r="P220" i="11"/>
  <c r="O220" i="11"/>
  <c r="N220" i="11"/>
  <c r="I220" i="11"/>
  <c r="BA220" i="11" s="1"/>
  <c r="I219" i="11"/>
  <c r="BA219" i="11" s="1"/>
  <c r="I218" i="11"/>
  <c r="BA218" i="11" s="1"/>
  <c r="I217" i="11"/>
  <c r="BA217" i="11" s="1"/>
  <c r="I216" i="11"/>
  <c r="I215" i="11"/>
  <c r="BA215" i="11" s="1"/>
  <c r="I214" i="11"/>
  <c r="I213" i="11"/>
  <c r="I212" i="11"/>
  <c r="BA212" i="11" s="1"/>
  <c r="I211" i="11"/>
  <c r="BA211" i="11" s="1"/>
  <c r="I210" i="11"/>
  <c r="BA210" i="11" s="1"/>
  <c r="I209" i="11"/>
  <c r="I208" i="11"/>
  <c r="I207" i="11"/>
  <c r="I206" i="11"/>
  <c r="BA206" i="11" s="1"/>
  <c r="I205" i="11"/>
  <c r="BA205" i="11" s="1"/>
  <c r="I204" i="11"/>
  <c r="BA204" i="11" s="1"/>
  <c r="R203" i="11"/>
  <c r="R204" i="11" s="1"/>
  <c r="R205" i="11" s="1"/>
  <c r="R206" i="11" s="1"/>
  <c r="R207" i="11" s="1"/>
  <c r="R208" i="11" s="1"/>
  <c r="R209" i="11" s="1"/>
  <c r="R210" i="11" s="1"/>
  <c r="R211" i="11" s="1"/>
  <c r="R212" i="11" s="1"/>
  <c r="R213" i="11" s="1"/>
  <c r="R214" i="11" s="1"/>
  <c r="R215" i="11" s="1"/>
  <c r="R216" i="11" s="1"/>
  <c r="R217" i="11" s="1"/>
  <c r="R218" i="11" s="1"/>
  <c r="R219" i="11" s="1"/>
  <c r="I203" i="11"/>
  <c r="BA203" i="11" s="1"/>
  <c r="G203" i="11"/>
  <c r="G204" i="11" s="1"/>
  <c r="G205" i="11" s="1"/>
  <c r="G206" i="11" s="1"/>
  <c r="G207" i="11" s="1"/>
  <c r="G208" i="11" s="1"/>
  <c r="G209" i="11" s="1"/>
  <c r="G210" i="11" s="1"/>
  <c r="G211" i="11" s="1"/>
  <c r="G212" i="11" s="1"/>
  <c r="G213" i="11" s="1"/>
  <c r="G214" i="11" s="1"/>
  <c r="G215" i="11" s="1"/>
  <c r="G216" i="11" s="1"/>
  <c r="G217" i="11" s="1"/>
  <c r="G218" i="11" s="1"/>
  <c r="G219" i="11" s="1"/>
  <c r="Q202" i="11"/>
  <c r="M203" i="11" s="1"/>
  <c r="O203" i="11" s="1"/>
  <c r="P202" i="11"/>
  <c r="O202" i="11"/>
  <c r="N202" i="11"/>
  <c r="S202" i="11" s="1"/>
  <c r="I202" i="11"/>
  <c r="BA202" i="11" s="1"/>
  <c r="I201" i="11"/>
  <c r="I200" i="11"/>
  <c r="I199" i="11"/>
  <c r="BA199" i="11" s="1"/>
  <c r="I198" i="11"/>
  <c r="I197" i="11"/>
  <c r="BA197" i="11" s="1"/>
  <c r="I196" i="11"/>
  <c r="BA196" i="11" s="1"/>
  <c r="I195" i="11"/>
  <c r="BA195" i="11" s="1"/>
  <c r="I194" i="11"/>
  <c r="I193" i="11"/>
  <c r="BA193" i="11" s="1"/>
  <c r="I192" i="11"/>
  <c r="I191" i="11"/>
  <c r="I190" i="11"/>
  <c r="BA190" i="11" s="1"/>
  <c r="I189" i="11"/>
  <c r="BA189" i="11" s="1"/>
  <c r="I188" i="11"/>
  <c r="BA188" i="11" s="1"/>
  <c r="I187" i="11"/>
  <c r="I186" i="11"/>
  <c r="BA186" i="11" s="1"/>
  <c r="G186" i="11"/>
  <c r="G187" i="11" s="1"/>
  <c r="G188" i="11" s="1"/>
  <c r="G189" i="11" s="1"/>
  <c r="G190" i="11" s="1"/>
  <c r="G191" i="11" s="1"/>
  <c r="G192" i="11" s="1"/>
  <c r="G193" i="11" s="1"/>
  <c r="G194" i="11" s="1"/>
  <c r="G195" i="11" s="1"/>
  <c r="G196" i="11" s="1"/>
  <c r="G197" i="11" s="1"/>
  <c r="G198" i="11" s="1"/>
  <c r="G199" i="11" s="1"/>
  <c r="G200" i="11" s="1"/>
  <c r="G201" i="11" s="1"/>
  <c r="I185" i="11"/>
  <c r="BA185" i="11" s="1"/>
  <c r="G185" i="11"/>
  <c r="Q184" i="11"/>
  <c r="S184" i="11" s="1"/>
  <c r="P184" i="11"/>
  <c r="O184" i="11"/>
  <c r="N184" i="11"/>
  <c r="I184" i="11"/>
  <c r="I183" i="11"/>
  <c r="BA183" i="11" s="1"/>
  <c r="I182" i="11"/>
  <c r="BA182" i="11" s="1"/>
  <c r="I181" i="11"/>
  <c r="BA181" i="11" s="1"/>
  <c r="I180" i="11"/>
  <c r="BA180" i="11" s="1"/>
  <c r="I179" i="11"/>
  <c r="BA179" i="11" s="1"/>
  <c r="I178" i="11"/>
  <c r="I177" i="11"/>
  <c r="I176" i="11"/>
  <c r="I175" i="11"/>
  <c r="BA175" i="11" s="1"/>
  <c r="I174" i="11"/>
  <c r="BA174" i="11" s="1"/>
  <c r="I173" i="11"/>
  <c r="I172" i="11"/>
  <c r="BA172" i="11" s="1"/>
  <c r="I171" i="11"/>
  <c r="BA171" i="11" s="1"/>
  <c r="I170" i="11"/>
  <c r="BA170" i="11" s="1"/>
  <c r="I169" i="11"/>
  <c r="I168" i="11"/>
  <c r="BA168" i="11" s="1"/>
  <c r="I167" i="11"/>
  <c r="BA167" i="11" s="1"/>
  <c r="G167" i="11"/>
  <c r="G168" i="11" s="1"/>
  <c r="G169" i="11" s="1"/>
  <c r="G170" i="11" s="1"/>
  <c r="G171" i="11" s="1"/>
  <c r="G172" i="11" s="1"/>
  <c r="G173" i="11" s="1"/>
  <c r="G174" i="11" s="1"/>
  <c r="G175" i="11" s="1"/>
  <c r="G176" i="11" s="1"/>
  <c r="G177" i="11" s="1"/>
  <c r="G178" i="11" s="1"/>
  <c r="G179" i="11" s="1"/>
  <c r="G180" i="11" s="1"/>
  <c r="G181" i="11" s="1"/>
  <c r="G182" i="11" s="1"/>
  <c r="G183" i="11" s="1"/>
  <c r="Q166" i="11"/>
  <c r="M167" i="11" s="1"/>
  <c r="P166" i="11"/>
  <c r="O166" i="11"/>
  <c r="N166" i="11"/>
  <c r="I166" i="11"/>
  <c r="BA166" i="11" s="1"/>
  <c r="I165" i="11"/>
  <c r="BA165" i="11" s="1"/>
  <c r="I164" i="11"/>
  <c r="BA164" i="11" s="1"/>
  <c r="I163" i="11"/>
  <c r="BA163" i="11" s="1"/>
  <c r="I162" i="11"/>
  <c r="I161" i="11"/>
  <c r="BA161" i="11" s="1"/>
  <c r="I160" i="11"/>
  <c r="I159" i="11"/>
  <c r="BA159" i="11" s="1"/>
  <c r="I158" i="11"/>
  <c r="I157" i="11"/>
  <c r="BA157" i="11" s="1"/>
  <c r="I156" i="11"/>
  <c r="I155" i="11"/>
  <c r="BA155" i="11" s="1"/>
  <c r="I154" i="11"/>
  <c r="BA154" i="11" s="1"/>
  <c r="G154" i="11"/>
  <c r="G155" i="11" s="1"/>
  <c r="G156" i="11" s="1"/>
  <c r="G157" i="11" s="1"/>
  <c r="G158" i="11" s="1"/>
  <c r="G159" i="11" s="1"/>
  <c r="G160" i="11" s="1"/>
  <c r="G161" i="11" s="1"/>
  <c r="G162" i="11" s="1"/>
  <c r="G163" i="11" s="1"/>
  <c r="G164" i="11" s="1"/>
  <c r="G165" i="11" s="1"/>
  <c r="I153" i="11"/>
  <c r="BA153" i="11" s="1"/>
  <c r="I152" i="11"/>
  <c r="BA152" i="11" s="1"/>
  <c r="I151" i="11"/>
  <c r="BA151" i="11" s="1"/>
  <c r="I150" i="11"/>
  <c r="BA150" i="11" s="1"/>
  <c r="I149" i="11"/>
  <c r="BA149" i="11" s="1"/>
  <c r="G149" i="11"/>
  <c r="G150" i="11" s="1"/>
  <c r="G151" i="11" s="1"/>
  <c r="G152" i="11" s="1"/>
  <c r="G153" i="11" s="1"/>
  <c r="Q148" i="11"/>
  <c r="M149" i="11" s="1"/>
  <c r="Q149" i="11" s="1"/>
  <c r="M150" i="11" s="1"/>
  <c r="P148" i="11"/>
  <c r="O148" i="11"/>
  <c r="N148" i="11"/>
  <c r="I148" i="11"/>
  <c r="BA148" i="11" s="1"/>
  <c r="S147" i="11"/>
  <c r="I147" i="11"/>
  <c r="S146" i="11"/>
  <c r="I146" i="11"/>
  <c r="BA146" i="11" s="1"/>
  <c r="S145" i="11"/>
  <c r="I145" i="11"/>
  <c r="S144" i="11"/>
  <c r="I144" i="11"/>
  <c r="BA144" i="11" s="1"/>
  <c r="S143" i="11"/>
  <c r="I143" i="11"/>
  <c r="BA143" i="11" s="1"/>
  <c r="S142" i="11"/>
  <c r="I142" i="11"/>
  <c r="S141" i="11"/>
  <c r="I141" i="11"/>
  <c r="S140" i="11"/>
  <c r="I140" i="11"/>
  <c r="BA140" i="11" s="1"/>
  <c r="S139" i="11"/>
  <c r="I139" i="11"/>
  <c r="S138" i="11"/>
  <c r="I138" i="11"/>
  <c r="BA138" i="11" s="1"/>
  <c r="S137" i="11"/>
  <c r="I137" i="11"/>
  <c r="BA137" i="11" s="1"/>
  <c r="S136" i="11"/>
  <c r="I136" i="11"/>
  <c r="S135" i="11"/>
  <c r="I135" i="11"/>
  <c r="BA135" i="11" s="1"/>
  <c r="S134" i="11"/>
  <c r="I134" i="11"/>
  <c r="S133" i="11"/>
  <c r="I133" i="11"/>
  <c r="BA133" i="11" s="1"/>
  <c r="S132" i="11"/>
  <c r="I132" i="11"/>
  <c r="BA132" i="11" s="1"/>
  <c r="S131" i="11"/>
  <c r="I131" i="11"/>
  <c r="BA131" i="11" s="1"/>
  <c r="G131" i="11"/>
  <c r="G132" i="11" s="1"/>
  <c r="G133" i="11" s="1"/>
  <c r="G134" i="11" s="1"/>
  <c r="G135" i="11" s="1"/>
  <c r="G136" i="11" s="1"/>
  <c r="G137" i="11" s="1"/>
  <c r="G138" i="11" s="1"/>
  <c r="G139" i="11" s="1"/>
  <c r="G140" i="11" s="1"/>
  <c r="G141" i="11" s="1"/>
  <c r="G142" i="11" s="1"/>
  <c r="G143" i="11" s="1"/>
  <c r="G144" i="11" s="1"/>
  <c r="G145" i="11" s="1"/>
  <c r="G146" i="11" s="1"/>
  <c r="G147" i="11" s="1"/>
  <c r="F131" i="11"/>
  <c r="F132" i="11" s="1"/>
  <c r="F133" i="11" s="1"/>
  <c r="F134" i="11" s="1"/>
  <c r="F135" i="11" s="1"/>
  <c r="F136" i="11" s="1"/>
  <c r="F137" i="11" s="1"/>
  <c r="F138" i="11" s="1"/>
  <c r="F139" i="11" s="1"/>
  <c r="F140" i="11" s="1"/>
  <c r="F141" i="11" s="1"/>
  <c r="F142" i="11" s="1"/>
  <c r="F143" i="11" s="1"/>
  <c r="F144" i="11" s="1"/>
  <c r="F145" i="11" s="1"/>
  <c r="F146" i="11" s="1"/>
  <c r="F147" i="11" s="1"/>
  <c r="F148" i="11" s="1"/>
  <c r="F149" i="11" s="1"/>
  <c r="F150" i="11" s="1"/>
  <c r="F151" i="11" s="1"/>
  <c r="F152" i="11" s="1"/>
  <c r="F153" i="11" s="1"/>
  <c r="F154" i="11" s="1"/>
  <c r="F155" i="11" s="1"/>
  <c r="F156" i="11" s="1"/>
  <c r="F157" i="11" s="1"/>
  <c r="F158" i="11" s="1"/>
  <c r="F159" i="11" s="1"/>
  <c r="F160" i="11" s="1"/>
  <c r="F161" i="11" s="1"/>
  <c r="F162" i="11" s="1"/>
  <c r="F163" i="11" s="1"/>
  <c r="F164" i="11" s="1"/>
  <c r="F165" i="11" s="1"/>
  <c r="F166" i="11" s="1"/>
  <c r="F167" i="11" s="1"/>
  <c r="F168" i="11" s="1"/>
  <c r="F169" i="11" s="1"/>
  <c r="F170" i="11" s="1"/>
  <c r="F171" i="11" s="1"/>
  <c r="F172" i="11" s="1"/>
  <c r="F173" i="11" s="1"/>
  <c r="F174" i="11" s="1"/>
  <c r="F175" i="11" s="1"/>
  <c r="F176" i="11" s="1"/>
  <c r="F177" i="11" s="1"/>
  <c r="F178" i="11" s="1"/>
  <c r="F179" i="11" s="1"/>
  <c r="F180" i="11" s="1"/>
  <c r="F181" i="11" s="1"/>
  <c r="F182" i="11" s="1"/>
  <c r="F183" i="11" s="1"/>
  <c r="F184" i="11" s="1"/>
  <c r="F185" i="11" s="1"/>
  <c r="F186" i="11" s="1"/>
  <c r="F187" i="11" s="1"/>
  <c r="F188" i="11" s="1"/>
  <c r="F189" i="11" s="1"/>
  <c r="F190" i="11" s="1"/>
  <c r="F191" i="11" s="1"/>
  <c r="F192" i="11" s="1"/>
  <c r="F193" i="11" s="1"/>
  <c r="F194" i="11" s="1"/>
  <c r="F195" i="11" s="1"/>
  <c r="F196" i="11" s="1"/>
  <c r="F197" i="11" s="1"/>
  <c r="F198" i="11" s="1"/>
  <c r="F199" i="11" s="1"/>
  <c r="F200" i="11" s="1"/>
  <c r="F201" i="11" s="1"/>
  <c r="F202" i="11" s="1"/>
  <c r="F203" i="11" s="1"/>
  <c r="F204" i="11" s="1"/>
  <c r="F205" i="11" s="1"/>
  <c r="F206" i="11" s="1"/>
  <c r="F207" i="11" s="1"/>
  <c r="F208" i="11" s="1"/>
  <c r="F209" i="11" s="1"/>
  <c r="F210" i="11" s="1"/>
  <c r="F211" i="11" s="1"/>
  <c r="F212" i="11" s="1"/>
  <c r="F213" i="11" s="1"/>
  <c r="F214" i="11" s="1"/>
  <c r="F215" i="11" s="1"/>
  <c r="F216" i="11" s="1"/>
  <c r="F217" i="11" s="1"/>
  <c r="F218" i="11" s="1"/>
  <c r="F219" i="11" s="1"/>
  <c r="F220" i="11" s="1"/>
  <c r="F221" i="11" s="1"/>
  <c r="F222" i="11" s="1"/>
  <c r="F223" i="11" s="1"/>
  <c r="F224" i="11" s="1"/>
  <c r="F225" i="11" s="1"/>
  <c r="F226" i="11" s="1"/>
  <c r="F227" i="11" s="1"/>
  <c r="F228" i="11" s="1"/>
  <c r="F229" i="11" s="1"/>
  <c r="F230" i="11" s="1"/>
  <c r="F231" i="11" s="1"/>
  <c r="F232" i="11" s="1"/>
  <c r="F233" i="11" s="1"/>
  <c r="F234" i="11" s="1"/>
  <c r="F235" i="11" s="1"/>
  <c r="F236" i="11" s="1"/>
  <c r="F237" i="11" s="1"/>
  <c r="F238" i="11" s="1"/>
  <c r="F239" i="11" s="1"/>
  <c r="F240" i="11" s="1"/>
  <c r="F241" i="11" s="1"/>
  <c r="F242" i="11" s="1"/>
  <c r="F243" i="11" s="1"/>
  <c r="F244" i="11" s="1"/>
  <c r="F245" i="11" s="1"/>
  <c r="F246" i="11" s="1"/>
  <c r="F247" i="11" s="1"/>
  <c r="F248" i="11" s="1"/>
  <c r="F249" i="11" s="1"/>
  <c r="F250" i="11" s="1"/>
  <c r="F251" i="11" s="1"/>
  <c r="F252" i="11" s="1"/>
  <c r="F253" i="11" s="1"/>
  <c r="F254" i="11" s="1"/>
  <c r="F255" i="11" s="1"/>
  <c r="F256" i="11" s="1"/>
  <c r="S130" i="11"/>
  <c r="I130" i="11"/>
  <c r="BA130" i="11" s="1"/>
  <c r="G124" i="11"/>
  <c r="AY123" i="11" s="1"/>
  <c r="BU123" i="11"/>
  <c r="BQ123" i="11"/>
  <c r="BK123" i="11"/>
  <c r="BE123" i="11"/>
  <c r="BC123" i="11"/>
  <c r="BA123" i="11"/>
  <c r="G123" i="11"/>
  <c r="BU122" i="11"/>
  <c r="BQ122" i="11"/>
  <c r="BK122" i="11"/>
  <c r="BE122" i="11"/>
  <c r="BC122" i="11"/>
  <c r="BA122" i="11"/>
  <c r="G122" i="11"/>
  <c r="AY121" i="11" s="1"/>
  <c r="BU121" i="11"/>
  <c r="BQ121" i="11"/>
  <c r="BK121" i="11"/>
  <c r="BG121" i="11"/>
  <c r="BE121" i="11"/>
  <c r="BC121" i="11"/>
  <c r="BA121" i="11"/>
  <c r="G121" i="11"/>
  <c r="BU120" i="11"/>
  <c r="BQ120" i="11"/>
  <c r="BK120" i="11"/>
  <c r="BI120" i="11"/>
  <c r="BG120" i="11"/>
  <c r="BE120" i="11"/>
  <c r="BC120" i="11"/>
  <c r="BA120" i="11"/>
  <c r="AY120" i="11"/>
  <c r="L120" i="11"/>
  <c r="G120" i="11"/>
  <c r="AY119" i="11" s="1"/>
  <c r="BU119" i="11"/>
  <c r="BQ119" i="11"/>
  <c r="BK119" i="11"/>
  <c r="BI119" i="11"/>
  <c r="BG119" i="11"/>
  <c r="BE119" i="11"/>
  <c r="BC119" i="11"/>
  <c r="BA119" i="11"/>
  <c r="L119" i="11"/>
  <c r="G119" i="11"/>
  <c r="AY118" i="11" s="1"/>
  <c r="BU118" i="11"/>
  <c r="BQ118" i="11"/>
  <c r="BK118" i="11"/>
  <c r="BG118" i="11"/>
  <c r="BE118" i="11"/>
  <c r="BC118" i="11"/>
  <c r="BA118" i="11"/>
  <c r="L118" i="11"/>
  <c r="BI117" i="11" s="1"/>
  <c r="G118" i="11"/>
  <c r="AY117" i="11" s="1"/>
  <c r="BU117" i="11"/>
  <c r="BQ117" i="11"/>
  <c r="BK117" i="11"/>
  <c r="BG117" i="11"/>
  <c r="BE117" i="11"/>
  <c r="BC117" i="11"/>
  <c r="BA117" i="11"/>
  <c r="G117" i="11"/>
  <c r="I272" i="11" s="1"/>
  <c r="AM272" i="11" s="1"/>
  <c r="BU116" i="11"/>
  <c r="BQ116" i="11"/>
  <c r="BK116" i="11"/>
  <c r="BI116" i="11"/>
  <c r="BG116" i="11"/>
  <c r="BC116" i="11"/>
  <c r="BA116" i="11"/>
  <c r="AS109" i="11"/>
  <c r="AQ109" i="11"/>
  <c r="AO109" i="11"/>
  <c r="AM109" i="11"/>
  <c r="AK109" i="11"/>
  <c r="AS108" i="11"/>
  <c r="AQ108" i="11"/>
  <c r="AO108" i="11"/>
  <c r="AM108" i="11"/>
  <c r="AK108" i="11"/>
  <c r="AS107" i="11"/>
  <c r="AQ107" i="11"/>
  <c r="AO107" i="11"/>
  <c r="AM107" i="11"/>
  <c r="AK107" i="11"/>
  <c r="AS106" i="11"/>
  <c r="AQ106" i="11"/>
  <c r="AO106" i="11"/>
  <c r="AM106" i="11"/>
  <c r="AK106" i="11"/>
  <c r="AS105" i="11"/>
  <c r="AQ105" i="11"/>
  <c r="AO105" i="11"/>
  <c r="AM105" i="11"/>
  <c r="AK105" i="11"/>
  <c r="AS104" i="11"/>
  <c r="AQ104" i="11"/>
  <c r="AO104" i="11"/>
  <c r="AM104" i="11"/>
  <c r="AK104" i="11"/>
  <c r="F104" i="11"/>
  <c r="F105" i="11" s="1"/>
  <c r="F106" i="11" s="1"/>
  <c r="AS103" i="11"/>
  <c r="AQ103" i="11"/>
  <c r="AO103" i="11"/>
  <c r="AM103" i="11"/>
  <c r="AK103" i="11"/>
  <c r="AS102" i="11"/>
  <c r="AQ102" i="11"/>
  <c r="AO102" i="11"/>
  <c r="AM102" i="11"/>
  <c r="AK102" i="11"/>
  <c r="AS101" i="11"/>
  <c r="AQ101" i="11"/>
  <c r="AO101" i="11"/>
  <c r="AM101" i="11"/>
  <c r="AK101" i="11"/>
  <c r="AO96" i="11"/>
  <c r="AM96" i="11"/>
  <c r="AK96" i="11"/>
  <c r="AI96" i="11"/>
  <c r="AO95" i="11"/>
  <c r="AM95" i="11"/>
  <c r="AK95" i="11"/>
  <c r="AI95" i="11"/>
  <c r="AO94" i="11"/>
  <c r="AM94" i="11"/>
  <c r="AK94" i="11"/>
  <c r="AI94" i="11"/>
  <c r="AO93" i="11"/>
  <c r="AM93" i="11"/>
  <c r="AK93" i="11"/>
  <c r="AI93" i="11"/>
  <c r="AO92" i="11"/>
  <c r="AM92" i="11"/>
  <c r="AK92" i="11"/>
  <c r="AI92" i="11"/>
  <c r="AO91" i="11"/>
  <c r="AM91" i="11"/>
  <c r="AK91" i="11"/>
  <c r="AI91" i="11"/>
  <c r="AO90" i="11"/>
  <c r="AM90" i="11"/>
  <c r="AK90" i="11"/>
  <c r="AI90" i="11"/>
  <c r="AO89" i="11"/>
  <c r="AM89" i="11"/>
  <c r="AK89" i="11"/>
  <c r="AI89" i="11"/>
  <c r="AO88" i="11"/>
  <c r="AM88" i="11"/>
  <c r="AK88" i="11"/>
  <c r="AI88" i="11"/>
  <c r="AO87" i="11"/>
  <c r="AM87" i="11"/>
  <c r="AK87" i="11"/>
  <c r="AI87" i="11"/>
  <c r="AO86" i="11"/>
  <c r="AM86" i="11"/>
  <c r="AK86" i="11"/>
  <c r="AI86" i="11"/>
  <c r="AO85" i="11"/>
  <c r="AM85" i="11"/>
  <c r="AK85" i="11"/>
  <c r="AI85" i="11"/>
  <c r="AO84" i="11"/>
  <c r="AM84" i="11"/>
  <c r="AK84" i="11"/>
  <c r="AI84" i="11"/>
  <c r="AO83" i="11"/>
  <c r="AM83" i="11"/>
  <c r="AK83" i="11"/>
  <c r="AI83" i="11"/>
  <c r="AO82" i="11"/>
  <c r="AM82" i="11"/>
  <c r="AK82" i="11"/>
  <c r="AI82" i="11"/>
  <c r="AO81" i="11"/>
  <c r="AM81" i="11"/>
  <c r="AK81" i="11"/>
  <c r="F81" i="11"/>
  <c r="G81" i="11" s="1"/>
  <c r="AI80" i="11" s="1"/>
  <c r="AO80" i="11"/>
  <c r="AM80" i="11"/>
  <c r="AK80" i="11"/>
  <c r="G80" i="11"/>
  <c r="AI79" i="11" s="1"/>
  <c r="AO79" i="11"/>
  <c r="AM79" i="11"/>
  <c r="AK79" i="11"/>
  <c r="BY74" i="11"/>
  <c r="CB74" i="11" s="1"/>
  <c r="BG74" i="11"/>
  <c r="BA74" i="11"/>
  <c r="AY74" i="11"/>
  <c r="AS74" i="11"/>
  <c r="L74" i="11"/>
  <c r="I74" i="11"/>
  <c r="AU74" i="11" s="1"/>
  <c r="CA73" i="11"/>
  <c r="BY73" i="11"/>
  <c r="CB73" i="11" s="1"/>
  <c r="BG73" i="11"/>
  <c r="AY73" i="11"/>
  <c r="AS73" i="11"/>
  <c r="L73" i="11"/>
  <c r="I73" i="11"/>
  <c r="AU73" i="11" s="1"/>
  <c r="BY72" i="11"/>
  <c r="CA72" i="11" s="1"/>
  <c r="BG72" i="11"/>
  <c r="AY72" i="11"/>
  <c r="AS72" i="11"/>
  <c r="L72" i="11"/>
  <c r="BA72" i="11" s="1"/>
  <c r="AU72" i="11"/>
  <c r="BZ71" i="11"/>
  <c r="BY71" i="11"/>
  <c r="CB71" i="11" s="1"/>
  <c r="BG71" i="11"/>
  <c r="BA71" i="11"/>
  <c r="AY71" i="11"/>
  <c r="AS71" i="11"/>
  <c r="L71" i="11"/>
  <c r="O122" i="11" s="1"/>
  <c r="BO121" i="11" s="1"/>
  <c r="I71" i="11"/>
  <c r="AU71" i="11" s="1"/>
  <c r="BY70" i="11"/>
  <c r="CB70" i="11" s="1"/>
  <c r="BG70" i="11"/>
  <c r="AY70" i="11"/>
  <c r="AS70" i="11"/>
  <c r="L70" i="11"/>
  <c r="O121" i="11" s="1"/>
  <c r="BO120" i="11" s="1"/>
  <c r="I70" i="11"/>
  <c r="AU70" i="11" s="1"/>
  <c r="CB69" i="11"/>
  <c r="CA69" i="11"/>
  <c r="BY69" i="11"/>
  <c r="BZ69" i="11" s="1"/>
  <c r="BG69" i="11"/>
  <c r="AY69" i="11"/>
  <c r="AS69" i="11"/>
  <c r="L69" i="11"/>
  <c r="I69" i="11"/>
  <c r="AU69" i="11" s="1"/>
  <c r="BY68" i="11"/>
  <c r="CB68" i="11" s="1"/>
  <c r="BG68" i="11"/>
  <c r="AY68" i="11"/>
  <c r="AS68" i="11"/>
  <c r="L68" i="11"/>
  <c r="I68" i="11"/>
  <c r="AU68" i="11" s="1"/>
  <c r="BY67" i="11"/>
  <c r="CB67" i="11" s="1"/>
  <c r="BG67" i="11"/>
  <c r="BA67" i="11"/>
  <c r="AY67" i="11"/>
  <c r="AS67" i="11"/>
  <c r="L67" i="11"/>
  <c r="O118" i="11" s="1"/>
  <c r="BO117" i="11" s="1"/>
  <c r="I67" i="11"/>
  <c r="AU67" i="11" s="1"/>
  <c r="CB66" i="11"/>
  <c r="CA66" i="11"/>
  <c r="BZ66" i="11"/>
  <c r="BY66" i="11"/>
  <c r="BG66" i="11"/>
  <c r="BA66" i="11"/>
  <c r="AY66" i="11"/>
  <c r="AS66" i="11"/>
  <c r="L66" i="11"/>
  <c r="I66" i="11"/>
  <c r="AU66" i="11" s="1"/>
  <c r="AC59" i="11"/>
  <c r="AC57" i="11"/>
  <c r="AA56" i="11"/>
  <c r="U57" i="11"/>
  <c r="U58" i="11" s="1"/>
  <c r="AE58" i="11" s="1"/>
  <c r="L54" i="11"/>
  <c r="K54" i="11"/>
  <c r="J54" i="11"/>
  <c r="AG53" i="11"/>
  <c r="L53" i="11"/>
  <c r="K53" i="11"/>
  <c r="J53" i="11"/>
  <c r="AS52" i="11"/>
  <c r="AG52" i="11"/>
  <c r="L52" i="11"/>
  <c r="K52" i="11"/>
  <c r="J52" i="11"/>
  <c r="AS51" i="11"/>
  <c r="AG51" i="11"/>
  <c r="L51" i="11"/>
  <c r="K51" i="11"/>
  <c r="J51" i="11"/>
  <c r="AS50" i="11"/>
  <c r="AG50" i="11"/>
  <c r="L50" i="11"/>
  <c r="K50" i="11"/>
  <c r="J50" i="11"/>
  <c r="AS49" i="11"/>
  <c r="AG49" i="11"/>
  <c r="L49" i="11"/>
  <c r="K49" i="11"/>
  <c r="J49" i="11"/>
  <c r="AS48" i="11"/>
  <c r="AG48" i="11"/>
  <c r="L48" i="11"/>
  <c r="K48" i="11"/>
  <c r="J48" i="11"/>
  <c r="AS47" i="11"/>
  <c r="AG47" i="11"/>
  <c r="L47" i="11"/>
  <c r="K47" i="11"/>
  <c r="J47" i="11"/>
  <c r="AS46" i="11"/>
  <c r="AG46" i="11"/>
  <c r="L46" i="11"/>
  <c r="K46" i="11"/>
  <c r="J46" i="11"/>
  <c r="M46" i="11" s="1"/>
  <c r="AE45" i="11" s="1"/>
  <c r="AI45" i="11" s="1"/>
  <c r="AS45" i="11"/>
  <c r="AG45" i="11"/>
  <c r="L45" i="11"/>
  <c r="K45" i="11"/>
  <c r="J45" i="11"/>
  <c r="AS44" i="11"/>
  <c r="AG44" i="11"/>
  <c r="L44" i="11"/>
  <c r="K44" i="11"/>
  <c r="J44" i="11"/>
  <c r="AS43" i="11"/>
  <c r="AG43" i="11"/>
  <c r="L43" i="11"/>
  <c r="K43" i="11"/>
  <c r="J43" i="11"/>
  <c r="AS42" i="11"/>
  <c r="AG42" i="11"/>
  <c r="L42" i="11"/>
  <c r="K42" i="11"/>
  <c r="J42" i="11"/>
  <c r="AS41" i="11"/>
  <c r="AG41" i="11"/>
  <c r="L41" i="11"/>
  <c r="K41" i="11"/>
  <c r="M41" i="11" s="1"/>
  <c r="AE40" i="11" s="1"/>
  <c r="AI40" i="11" s="1"/>
  <c r="J41" i="11"/>
  <c r="AS40" i="11"/>
  <c r="AG40" i="11"/>
  <c r="L40" i="11"/>
  <c r="K40" i="11"/>
  <c r="J40" i="11"/>
  <c r="AS39" i="11"/>
  <c r="AG39" i="11"/>
  <c r="L39" i="11"/>
  <c r="K39" i="11"/>
  <c r="J39" i="11"/>
  <c r="M39" i="11" s="1"/>
  <c r="AE38" i="11" s="1"/>
  <c r="AI38" i="11" s="1"/>
  <c r="AS38" i="11"/>
  <c r="AG38" i="11"/>
  <c r="L38" i="11"/>
  <c r="K38" i="11"/>
  <c r="J38" i="11"/>
  <c r="M38" i="11" s="1"/>
  <c r="AE37" i="11" s="1"/>
  <c r="AI37" i="11" s="1"/>
  <c r="AS37" i="11"/>
  <c r="AG37" i="11"/>
  <c r="L37" i="11"/>
  <c r="K37" i="11"/>
  <c r="J37" i="11"/>
  <c r="M37" i="11" s="1"/>
  <c r="AE36" i="11" s="1"/>
  <c r="AI36" i="11" s="1"/>
  <c r="AS36" i="11"/>
  <c r="AG36" i="11"/>
  <c r="L36" i="11"/>
  <c r="K36" i="11"/>
  <c r="J36" i="11"/>
  <c r="AS35" i="11"/>
  <c r="AG35" i="11"/>
  <c r="L35" i="11"/>
  <c r="K35" i="11"/>
  <c r="J35" i="11"/>
  <c r="AG34" i="11"/>
  <c r="L34" i="11"/>
  <c r="K34" i="11"/>
  <c r="J34" i="11"/>
  <c r="AG33" i="11"/>
  <c r="L33" i="11"/>
  <c r="K33" i="11"/>
  <c r="J33" i="11"/>
  <c r="F33" i="11"/>
  <c r="AG32" i="11"/>
  <c r="L32" i="11"/>
  <c r="K32" i="11"/>
  <c r="J32" i="11"/>
  <c r="AG31" i="11"/>
  <c r="BO28" i="11"/>
  <c r="V27" i="11"/>
  <c r="O27" i="11"/>
  <c r="V26" i="11"/>
  <c r="O26" i="11"/>
  <c r="V25" i="11"/>
  <c r="O25" i="11"/>
  <c r="V24" i="11"/>
  <c r="O24" i="11"/>
  <c r="V23" i="11"/>
  <c r="O23" i="11"/>
  <c r="V22" i="11"/>
  <c r="O22" i="11"/>
  <c r="V21" i="11"/>
  <c r="O21" i="11"/>
  <c r="BZ20" i="11"/>
  <c r="V20" i="11"/>
  <c r="N7" i="11"/>
  <c r="K28" i="11"/>
  <c r="K27" i="11"/>
  <c r="K26" i="11"/>
  <c r="K25" i="11"/>
  <c r="K24" i="11"/>
  <c r="N6" i="11"/>
  <c r="K23" i="11"/>
  <c r="K22" i="11"/>
  <c r="K21" i="11"/>
  <c r="N5" i="11"/>
  <c r="F5" i="11"/>
  <c r="F6" i="11" s="1"/>
  <c r="F7" i="11" s="1"/>
  <c r="N4" i="11"/>
  <c r="BE3" i="11" s="1"/>
  <c r="BG3" i="11"/>
  <c r="BC3" i="11"/>
  <c r="BA3" i="11"/>
  <c r="AS3" i="11"/>
  <c r="AQ3" i="11"/>
  <c r="N128" i="7"/>
  <c r="N129" i="7"/>
  <c r="N122" i="7"/>
  <c r="N123" i="7"/>
  <c r="N124" i="7"/>
  <c r="N125" i="7"/>
  <c r="N126" i="7"/>
  <c r="N127" i="7"/>
  <c r="BI122" i="7"/>
  <c r="BI123" i="7"/>
  <c r="BI124" i="7"/>
  <c r="BI125" i="7"/>
  <c r="BI121" i="7"/>
  <c r="BU134" i="7" s="1"/>
  <c r="BG122" i="7"/>
  <c r="BG123" i="7"/>
  <c r="BG124" i="7"/>
  <c r="BG125" i="7"/>
  <c r="BG126" i="7"/>
  <c r="BG121" i="7"/>
  <c r="BS135" i="7" s="1"/>
  <c r="BE121" i="7"/>
  <c r="BQ135" i="7" s="1"/>
  <c r="BE122" i="7"/>
  <c r="BE123" i="7"/>
  <c r="BE124" i="7"/>
  <c r="BE125" i="7"/>
  <c r="BE126" i="7"/>
  <c r="BE127" i="7"/>
  <c r="BE128" i="7"/>
  <c r="BR133" i="7"/>
  <c r="BT133" i="7"/>
  <c r="BR134" i="7"/>
  <c r="BT134" i="7"/>
  <c r="BR135" i="7"/>
  <c r="BT135" i="7"/>
  <c r="BM119" i="11" l="1"/>
  <c r="BW119" i="11" s="1"/>
  <c r="BU131" i="11"/>
  <c r="BW116" i="11"/>
  <c r="BU210" i="11"/>
  <c r="BU194" i="11"/>
  <c r="BU178" i="11"/>
  <c r="BU162" i="11"/>
  <c r="BU247" i="11"/>
  <c r="BU237" i="11"/>
  <c r="BU221" i="11"/>
  <c r="BU205" i="11"/>
  <c r="BU189" i="11"/>
  <c r="BU173" i="11"/>
  <c r="BU146" i="11"/>
  <c r="BU133" i="11"/>
  <c r="BU149" i="11"/>
  <c r="BU213" i="11"/>
  <c r="BU197" i="11"/>
  <c r="BU165" i="11"/>
  <c r="BU229" i="11"/>
  <c r="BU181" i="11"/>
  <c r="BU157" i="11"/>
  <c r="BU235" i="11"/>
  <c r="BU219" i="11"/>
  <c r="BU203" i="11"/>
  <c r="BU187" i="11"/>
  <c r="BU171" i="11"/>
  <c r="BU155" i="11"/>
  <c r="BU139" i="11"/>
  <c r="BU248" i="11"/>
  <c r="BU238" i="11"/>
  <c r="BU222" i="11"/>
  <c r="BU206" i="11"/>
  <c r="BU190" i="11"/>
  <c r="BU174" i="11"/>
  <c r="BU158" i="11"/>
  <c r="BU142" i="11"/>
  <c r="BU256" i="11"/>
  <c r="BU232" i="11"/>
  <c r="BU251" i="11"/>
  <c r="BU241" i="11"/>
  <c r="BU225" i="11"/>
  <c r="BU209" i="11"/>
  <c r="BU193" i="11"/>
  <c r="BU177" i="11"/>
  <c r="BU161" i="11"/>
  <c r="BU145" i="11"/>
  <c r="BU168" i="11"/>
  <c r="BU228" i="11"/>
  <c r="BU212" i="11"/>
  <c r="BU196" i="11"/>
  <c r="BU180" i="11"/>
  <c r="BU164" i="11"/>
  <c r="BU148" i="11"/>
  <c r="BU132" i="11"/>
  <c r="BU200" i="11"/>
  <c r="BU244" i="11"/>
  <c r="BU231" i="11"/>
  <c r="BU215" i="11"/>
  <c r="BU199" i="11"/>
  <c r="BU183" i="11"/>
  <c r="BU167" i="11"/>
  <c r="BU151" i="11"/>
  <c r="BU135" i="11"/>
  <c r="BU255" i="11"/>
  <c r="BU234" i="11"/>
  <c r="BU218" i="11"/>
  <c r="BU202" i="11"/>
  <c r="BU186" i="11"/>
  <c r="BU170" i="11"/>
  <c r="BU154" i="11"/>
  <c r="BU138" i="11"/>
  <c r="BU141" i="11"/>
  <c r="BU216" i="11"/>
  <c r="BU250" i="11"/>
  <c r="BU240" i="11"/>
  <c r="BU224" i="11"/>
  <c r="BU208" i="11"/>
  <c r="BU192" i="11"/>
  <c r="BU176" i="11"/>
  <c r="BU160" i="11"/>
  <c r="BU144" i="11"/>
  <c r="BU243" i="11"/>
  <c r="BU227" i="11"/>
  <c r="BU211" i="11"/>
  <c r="BU195" i="11"/>
  <c r="BU179" i="11"/>
  <c r="BU163" i="11"/>
  <c r="BU147" i="11"/>
  <c r="BU136" i="11"/>
  <c r="BU230" i="11"/>
  <c r="BU214" i="11"/>
  <c r="BU198" i="11"/>
  <c r="BU182" i="11"/>
  <c r="BU166" i="11"/>
  <c r="BU150" i="11"/>
  <c r="BU134" i="11"/>
  <c r="BU245" i="11"/>
  <c r="BU233" i="11"/>
  <c r="BU217" i="11"/>
  <c r="BU201" i="11"/>
  <c r="BU185" i="11"/>
  <c r="BU169" i="11"/>
  <c r="BU153" i="11"/>
  <c r="BU137" i="11"/>
  <c r="BU246" i="11"/>
  <c r="BU236" i="11"/>
  <c r="BU220" i="11"/>
  <c r="BU204" i="11"/>
  <c r="BU188" i="11"/>
  <c r="BU172" i="11"/>
  <c r="BU156" i="11"/>
  <c r="BU140" i="11"/>
  <c r="BU184" i="11"/>
  <c r="BU249" i="11"/>
  <c r="BU239" i="11"/>
  <c r="BU223" i="11"/>
  <c r="BU207" i="11"/>
  <c r="BU191" i="11"/>
  <c r="BU175" i="11"/>
  <c r="BU159" i="11"/>
  <c r="BU143" i="11"/>
  <c r="BU152" i="11"/>
  <c r="BU242" i="11"/>
  <c r="BU226" i="11"/>
  <c r="BU130" i="11"/>
  <c r="BM118" i="11"/>
  <c r="BW118" i="11" s="1"/>
  <c r="BO252" i="11"/>
  <c r="Q252" i="11"/>
  <c r="BQ252" i="11" s="1"/>
  <c r="S252" i="11"/>
  <c r="BM253" i="11"/>
  <c r="P253" i="11"/>
  <c r="BO253" i="11" s="1"/>
  <c r="S253" i="11"/>
  <c r="BM254" i="11"/>
  <c r="P254" i="11"/>
  <c r="BO254" i="11" s="1"/>
  <c r="S254" i="11"/>
  <c r="AY272" i="11"/>
  <c r="U408" i="11"/>
  <c r="U391" i="11"/>
  <c r="AQ373" i="11"/>
  <c r="U374" i="11"/>
  <c r="AQ374" i="11" s="1"/>
  <c r="I338" i="11"/>
  <c r="AM338" i="11" s="1"/>
  <c r="AY338" i="11" s="1"/>
  <c r="AY282" i="11"/>
  <c r="AY278" i="11"/>
  <c r="AY313" i="11"/>
  <c r="U267" i="11"/>
  <c r="U134" i="11"/>
  <c r="M47" i="11"/>
  <c r="AE46" i="11" s="1"/>
  <c r="AI46" i="11" s="1"/>
  <c r="M34" i="11"/>
  <c r="AE33" i="11" s="1"/>
  <c r="AI33" i="11" s="1"/>
  <c r="AY122" i="11"/>
  <c r="M32" i="11"/>
  <c r="AE31" i="11" s="1"/>
  <c r="BZ67" i="11"/>
  <c r="I273" i="11"/>
  <c r="AM273" i="11" s="1"/>
  <c r="AY273" i="11" s="1"/>
  <c r="L407" i="11"/>
  <c r="S407" i="11" s="1"/>
  <c r="M49" i="11"/>
  <c r="AE48" i="11" s="1"/>
  <c r="AI48" i="11" s="1"/>
  <c r="M43" i="11"/>
  <c r="AE42" i="11" s="1"/>
  <c r="AI42" i="11" s="1"/>
  <c r="CC66" i="11"/>
  <c r="BA70" i="11"/>
  <c r="M40" i="11"/>
  <c r="AE39" i="11" s="1"/>
  <c r="AI39" i="11" s="1"/>
  <c r="F82" i="11"/>
  <c r="BZ72" i="11"/>
  <c r="M305" i="11"/>
  <c r="M306" i="11" s="1"/>
  <c r="M307" i="11" s="1"/>
  <c r="M308" i="11" s="1"/>
  <c r="M309" i="11" s="1"/>
  <c r="I304" i="11"/>
  <c r="AM304" i="11" s="1"/>
  <c r="AY304" i="11" s="1"/>
  <c r="F375" i="11"/>
  <c r="S374" i="11"/>
  <c r="I306" i="11"/>
  <c r="AM306" i="11" s="1"/>
  <c r="AY306" i="11" s="1"/>
  <c r="S166" i="11"/>
  <c r="I268" i="11"/>
  <c r="AM268" i="11" s="1"/>
  <c r="AY268" i="11" s="1"/>
  <c r="BM117" i="11"/>
  <c r="BW117" i="11" s="1"/>
  <c r="M53" i="11"/>
  <c r="AE52" i="11" s="1"/>
  <c r="AI52" i="11" s="1"/>
  <c r="I270" i="11"/>
  <c r="AM270" i="11" s="1"/>
  <c r="AY270" i="11" s="1"/>
  <c r="AE57" i="11"/>
  <c r="M35" i="11"/>
  <c r="AE34" i="11" s="1"/>
  <c r="AI34" i="11" s="1"/>
  <c r="M44" i="11"/>
  <c r="AE43" i="11" s="1"/>
  <c r="AI43" i="11" s="1"/>
  <c r="M50" i="11"/>
  <c r="AE49" i="11" s="1"/>
  <c r="AI49" i="11" s="1"/>
  <c r="I279" i="11"/>
  <c r="AM279" i="11" s="1"/>
  <c r="AY279" i="11" s="1"/>
  <c r="BZ70" i="11"/>
  <c r="CC70" i="11" s="1"/>
  <c r="AW70" i="11" s="1"/>
  <c r="I314" i="11"/>
  <c r="AM314" i="11" s="1"/>
  <c r="AY314" i="11" s="1"/>
  <c r="S373" i="11"/>
  <c r="BI118" i="11"/>
  <c r="I302" i="11"/>
  <c r="AM302" i="11" s="1"/>
  <c r="AY302" i="11" s="1"/>
  <c r="M45" i="11"/>
  <c r="AE44" i="11" s="1"/>
  <c r="AI44" i="11" s="1"/>
  <c r="M48" i="11"/>
  <c r="AE47" i="11" s="1"/>
  <c r="AI47" i="11" s="1"/>
  <c r="M51" i="11"/>
  <c r="AE50" i="11" s="1"/>
  <c r="AI50" i="11" s="1"/>
  <c r="M54" i="11"/>
  <c r="AE53" i="11" s="1"/>
  <c r="AI53" i="11" s="1"/>
  <c r="I318" i="11"/>
  <c r="AM318" i="11" s="1"/>
  <c r="AY318" i="11" s="1"/>
  <c r="I276" i="11"/>
  <c r="AM276" i="11" s="1"/>
  <c r="AY276" i="11" s="1"/>
  <c r="I303" i="11"/>
  <c r="AM303" i="11" s="1"/>
  <c r="AY303" i="11" s="1"/>
  <c r="S389" i="11"/>
  <c r="M36" i="11"/>
  <c r="AE35" i="11" s="1"/>
  <c r="AI35" i="11" s="1"/>
  <c r="M42" i="11"/>
  <c r="AE41" i="11" s="1"/>
  <c r="AI41" i="11" s="1"/>
  <c r="CB72" i="11"/>
  <c r="CC72" i="11" s="1"/>
  <c r="AW72" i="11" s="1"/>
  <c r="I277" i="11"/>
  <c r="AM277" i="11" s="1"/>
  <c r="AY277" i="11" s="1"/>
  <c r="M33" i="11"/>
  <c r="AE32" i="11" s="1"/>
  <c r="AI32" i="11" s="1"/>
  <c r="CC69" i="11"/>
  <c r="AW69" i="11" s="1"/>
  <c r="CA74" i="11"/>
  <c r="M185" i="11"/>
  <c r="Q185" i="11" s="1"/>
  <c r="M186" i="11" s="1"/>
  <c r="I291" i="11"/>
  <c r="AM291" i="11" s="1"/>
  <c r="AY291" i="11" s="1"/>
  <c r="P150" i="11"/>
  <c r="O150" i="11"/>
  <c r="N150" i="11"/>
  <c r="Q150" i="11"/>
  <c r="M151" i="11" s="1"/>
  <c r="U59" i="11"/>
  <c r="AE59" i="11" s="1"/>
  <c r="L368" i="11"/>
  <c r="O124" i="11"/>
  <c r="BO123" i="11" s="1"/>
  <c r="BA73" i="11"/>
  <c r="BZ68" i="11"/>
  <c r="P149" i="11"/>
  <c r="O149" i="11"/>
  <c r="N149" i="11"/>
  <c r="S149" i="11" s="1"/>
  <c r="Q167" i="11"/>
  <c r="M168" i="11" s="1"/>
  <c r="P167" i="11"/>
  <c r="O167" i="11"/>
  <c r="N167" i="11"/>
  <c r="L355" i="11"/>
  <c r="L356" i="11"/>
  <c r="O117" i="11"/>
  <c r="BO116" i="11" s="1"/>
  <c r="CA68" i="11"/>
  <c r="R242" i="11"/>
  <c r="R243" i="11" s="1"/>
  <c r="R244" i="11" s="1"/>
  <c r="AQ66" i="11"/>
  <c r="F83" i="11"/>
  <c r="CA70" i="11"/>
  <c r="L360" i="11"/>
  <c r="L359" i="11"/>
  <c r="O119" i="11"/>
  <c r="BO118" i="11" s="1"/>
  <c r="F34" i="11"/>
  <c r="G355" i="11" s="1"/>
  <c r="M52" i="11"/>
  <c r="AE51" i="11" s="1"/>
  <c r="AI51" i="11" s="1"/>
  <c r="L361" i="11"/>
  <c r="L362" i="11"/>
  <c r="BA69" i="11"/>
  <c r="BZ73" i="11"/>
  <c r="CC73" i="11" s="1"/>
  <c r="AW73" i="11" s="1"/>
  <c r="F107" i="11"/>
  <c r="O120" i="11"/>
  <c r="BO119" i="11" s="1"/>
  <c r="L367" i="11"/>
  <c r="O123" i="11"/>
  <c r="BO122" i="11" s="1"/>
  <c r="BZ74" i="11"/>
  <c r="M283" i="11"/>
  <c r="M284" i="11" s="1"/>
  <c r="M285" i="11" s="1"/>
  <c r="I282" i="11"/>
  <c r="AM282" i="11" s="1"/>
  <c r="I309" i="11"/>
  <c r="AM309" i="11" s="1"/>
  <c r="AY309" i="11" s="1"/>
  <c r="M310" i="11"/>
  <c r="M311" i="11" s="1"/>
  <c r="M312" i="11" s="1"/>
  <c r="I312" i="11" s="1"/>
  <c r="AM312" i="11" s="1"/>
  <c r="AY312" i="11" s="1"/>
  <c r="M320" i="11"/>
  <c r="M321" i="11" s="1"/>
  <c r="M322" i="11" s="1"/>
  <c r="M323" i="11" s="1"/>
  <c r="M324" i="11" s="1"/>
  <c r="I324" i="11" s="1"/>
  <c r="AM324" i="11" s="1"/>
  <c r="AY324" i="11" s="1"/>
  <c r="I319" i="11"/>
  <c r="AM319" i="11" s="1"/>
  <c r="AY319" i="11" s="1"/>
  <c r="BA68" i="11"/>
  <c r="K277" i="11"/>
  <c r="G82" i="11"/>
  <c r="AI81" i="11" s="1"/>
  <c r="O221" i="11"/>
  <c r="Q221" i="11"/>
  <c r="M222" i="11" s="1"/>
  <c r="P221" i="11"/>
  <c r="N221" i="11"/>
  <c r="I325" i="11"/>
  <c r="AM325" i="11" s="1"/>
  <c r="AY325" i="11" s="1"/>
  <c r="F409" i="11"/>
  <c r="F424" i="11"/>
  <c r="I289" i="11"/>
  <c r="AM289" i="11" s="1"/>
  <c r="AY289" i="11" s="1"/>
  <c r="I326" i="11"/>
  <c r="AM326" i="11" s="1"/>
  <c r="AY326" i="11" s="1"/>
  <c r="M292" i="11"/>
  <c r="I317" i="11"/>
  <c r="AM317" i="11" s="1"/>
  <c r="AY317" i="11" s="1"/>
  <c r="I341" i="11"/>
  <c r="AM341" i="11" s="1"/>
  <c r="AY341" i="11" s="1"/>
  <c r="F359" i="11"/>
  <c r="S220" i="11"/>
  <c r="I274" i="11"/>
  <c r="AM274" i="11" s="1"/>
  <c r="AY274" i="11" s="1"/>
  <c r="I313" i="11"/>
  <c r="AM313" i="11" s="1"/>
  <c r="I269" i="11"/>
  <c r="AM269" i="11" s="1"/>
  <c r="AY269" i="11" s="1"/>
  <c r="I305" i="11"/>
  <c r="AM305" i="11" s="1"/>
  <c r="AY305" i="11" s="1"/>
  <c r="I342" i="11"/>
  <c r="AM342" i="11" s="1"/>
  <c r="AY342" i="11" s="1"/>
  <c r="L409" i="11"/>
  <c r="K410" i="11"/>
  <c r="F429" i="11"/>
  <c r="I265" i="11"/>
  <c r="AM265" i="11" s="1"/>
  <c r="AY265" i="11" s="1"/>
  <c r="I275" i="11"/>
  <c r="AM275" i="11" s="1"/>
  <c r="AY275" i="11" s="1"/>
  <c r="I290" i="11"/>
  <c r="AM290" i="11" s="1"/>
  <c r="AY290" i="11" s="1"/>
  <c r="I301" i="11"/>
  <c r="AM301" i="11" s="1"/>
  <c r="AY301" i="11" s="1"/>
  <c r="I327" i="11"/>
  <c r="AM327" i="11" s="1"/>
  <c r="AY327" i="11" s="1"/>
  <c r="I343" i="11"/>
  <c r="AM343" i="11" s="1"/>
  <c r="AY343" i="11" s="1"/>
  <c r="L363" i="11"/>
  <c r="L364" i="11"/>
  <c r="I328" i="11"/>
  <c r="AM328" i="11" s="1"/>
  <c r="AY328" i="11" s="1"/>
  <c r="I337" i="11"/>
  <c r="AM337" i="11" s="1"/>
  <c r="AY337" i="11" s="1"/>
  <c r="S390" i="11"/>
  <c r="F391" i="11"/>
  <c r="F414" i="11"/>
  <c r="I344" i="11"/>
  <c r="AM344" i="11" s="1"/>
  <c r="AY344" i="11" s="1"/>
  <c r="AY116" i="11"/>
  <c r="N203" i="11"/>
  <c r="I271" i="11"/>
  <c r="AM271" i="11" s="1"/>
  <c r="AY271" i="11" s="1"/>
  <c r="I280" i="11"/>
  <c r="AM280" i="11" s="1"/>
  <c r="AY280" i="11" s="1"/>
  <c r="I345" i="11"/>
  <c r="AM345" i="11" s="1"/>
  <c r="AY345" i="11" s="1"/>
  <c r="CA67" i="11"/>
  <c r="CC67" i="11" s="1"/>
  <c r="AW67" i="11" s="1"/>
  <c r="CA71" i="11"/>
  <c r="CC71" i="11" s="1"/>
  <c r="AW71" i="11" s="1"/>
  <c r="P185" i="11"/>
  <c r="P203" i="11"/>
  <c r="I266" i="11"/>
  <c r="AM266" i="11" s="1"/>
  <c r="AY266" i="11" s="1"/>
  <c r="I315" i="11"/>
  <c r="AM315" i="11" s="1"/>
  <c r="AY315" i="11" s="1"/>
  <c r="L358" i="11"/>
  <c r="L357" i="11"/>
  <c r="L366" i="11"/>
  <c r="L365" i="11"/>
  <c r="Q203" i="11"/>
  <c r="M204" i="11" s="1"/>
  <c r="I307" i="11"/>
  <c r="AM307" i="11" s="1"/>
  <c r="AY307" i="11" s="1"/>
  <c r="S148" i="11"/>
  <c r="F267" i="11"/>
  <c r="I346" i="11"/>
  <c r="AM346" i="11" s="1"/>
  <c r="AY346" i="11" s="1"/>
  <c r="F420" i="11"/>
  <c r="I267" i="11"/>
  <c r="AM267" i="11" s="1"/>
  <c r="AY267" i="11" s="1"/>
  <c r="I281" i="11"/>
  <c r="AM281" i="11" s="1"/>
  <c r="AY281" i="11" s="1"/>
  <c r="M329" i="11"/>
  <c r="M330" i="11" s="1"/>
  <c r="I347" i="11"/>
  <c r="AM347" i="11" s="1"/>
  <c r="AY347" i="11" s="1"/>
  <c r="F438" i="11"/>
  <c r="I316" i="11"/>
  <c r="AM316" i="11" s="1"/>
  <c r="AY316" i="11" s="1"/>
  <c r="I339" i="11"/>
  <c r="AM339" i="11" s="1"/>
  <c r="AY339" i="11" s="1"/>
  <c r="I348" i="11"/>
  <c r="AM348" i="11" s="1"/>
  <c r="AY348" i="11" s="1"/>
  <c r="I308" i="11"/>
  <c r="AM308" i="11" s="1"/>
  <c r="AY308" i="11" s="1"/>
  <c r="I340" i="11"/>
  <c r="AM340" i="11" s="1"/>
  <c r="AY340" i="11" s="1"/>
  <c r="I349" i="11"/>
  <c r="AM349" i="11" s="1"/>
  <c r="AY349" i="11" s="1"/>
  <c r="L408" i="11"/>
  <c r="S408" i="11" s="1"/>
  <c r="BU133" i="7"/>
  <c r="BU135" i="7"/>
  <c r="BS133" i="7"/>
  <c r="BS134" i="7"/>
  <c r="BQ133" i="7"/>
  <c r="BQ134" i="7"/>
  <c r="AW122" i="7"/>
  <c r="AY122" i="7"/>
  <c r="BA122" i="7"/>
  <c r="BC122" i="7"/>
  <c r="BK122" i="7"/>
  <c r="BM122" i="7"/>
  <c r="BW122" i="7" s="1"/>
  <c r="BO122" i="7"/>
  <c r="BQ122" i="7"/>
  <c r="BS122" i="7"/>
  <c r="BU122" i="7"/>
  <c r="AW123" i="7"/>
  <c r="AY123" i="7"/>
  <c r="BA123" i="7"/>
  <c r="BC123" i="7"/>
  <c r="BK123" i="7"/>
  <c r="BM123" i="7"/>
  <c r="BW123" i="7" s="1"/>
  <c r="BO123" i="7"/>
  <c r="BQ123" i="7"/>
  <c r="BS123" i="7"/>
  <c r="BU123" i="7"/>
  <c r="AW124" i="7"/>
  <c r="AY124" i="7"/>
  <c r="BA124" i="7"/>
  <c r="BC124" i="7"/>
  <c r="BK124" i="7"/>
  <c r="BM124" i="7"/>
  <c r="BW124" i="7" s="1"/>
  <c r="BO124" i="7"/>
  <c r="BQ124" i="7"/>
  <c r="BS124" i="7"/>
  <c r="BU124" i="7"/>
  <c r="AW125" i="7"/>
  <c r="AY125" i="7"/>
  <c r="BA125" i="7"/>
  <c r="BC125" i="7"/>
  <c r="BK125" i="7"/>
  <c r="BM125" i="7"/>
  <c r="BW125" i="7" s="1"/>
  <c r="BO125" i="7"/>
  <c r="BQ125" i="7"/>
  <c r="BS125" i="7"/>
  <c r="BU125" i="7"/>
  <c r="AW126" i="7"/>
  <c r="AY126" i="7"/>
  <c r="BA126" i="7"/>
  <c r="BC126" i="7"/>
  <c r="BK126" i="7"/>
  <c r="BM126" i="7"/>
  <c r="BW126" i="7" s="1"/>
  <c r="BO126" i="7"/>
  <c r="BQ126" i="7"/>
  <c r="BS126" i="7"/>
  <c r="BU126" i="7"/>
  <c r="AW127" i="7"/>
  <c r="AY127" i="7"/>
  <c r="BA127" i="7"/>
  <c r="BC127" i="7"/>
  <c r="BK127" i="7"/>
  <c r="BM127" i="7"/>
  <c r="BW127" i="7" s="1"/>
  <c r="BO127" i="7"/>
  <c r="BQ127" i="7"/>
  <c r="BS127" i="7"/>
  <c r="BU127" i="7"/>
  <c r="AW128" i="7"/>
  <c r="AY128" i="7"/>
  <c r="BA128" i="7"/>
  <c r="BC128" i="7"/>
  <c r="BK128" i="7"/>
  <c r="BM128" i="7"/>
  <c r="BW128" i="7" s="1"/>
  <c r="BO128" i="7"/>
  <c r="BQ128" i="7"/>
  <c r="BS128" i="7"/>
  <c r="BU128" i="7"/>
  <c r="BU121" i="7"/>
  <c r="BS121" i="7"/>
  <c r="BQ121" i="7"/>
  <c r="BO121" i="7"/>
  <c r="BM121" i="7"/>
  <c r="BW121" i="7" s="1"/>
  <c r="BK121" i="7"/>
  <c r="BC121" i="7"/>
  <c r="BA121" i="7"/>
  <c r="AY121" i="7"/>
  <c r="AW121" i="7"/>
  <c r="AI107" i="7"/>
  <c r="AK107" i="7"/>
  <c r="AM107" i="7"/>
  <c r="AU107" i="7" s="1"/>
  <c r="AO107" i="7"/>
  <c r="AQ107" i="7"/>
  <c r="AS107" i="7"/>
  <c r="AI108" i="7"/>
  <c r="AK108" i="7"/>
  <c r="AM108" i="7"/>
  <c r="AO108" i="7"/>
  <c r="AQ108" i="7"/>
  <c r="AS108" i="7"/>
  <c r="AU108" i="7"/>
  <c r="AI109" i="7"/>
  <c r="AU109" i="7" s="1"/>
  <c r="AK109" i="7"/>
  <c r="AM109" i="7"/>
  <c r="AO109" i="7"/>
  <c r="AQ109" i="7"/>
  <c r="AS109" i="7"/>
  <c r="AI110" i="7"/>
  <c r="AK110" i="7"/>
  <c r="AM110" i="7"/>
  <c r="AO110" i="7"/>
  <c r="AQ110" i="7"/>
  <c r="AS110" i="7"/>
  <c r="AU110" i="7" s="1"/>
  <c r="AI111" i="7"/>
  <c r="AU111" i="7" s="1"/>
  <c r="AK111" i="7"/>
  <c r="AM111" i="7"/>
  <c r="AO111" i="7"/>
  <c r="AQ111" i="7"/>
  <c r="AS111" i="7"/>
  <c r="AI112" i="7"/>
  <c r="AK112" i="7"/>
  <c r="AM112" i="7"/>
  <c r="AO112" i="7"/>
  <c r="AQ112" i="7"/>
  <c r="AS112" i="7"/>
  <c r="AU112" i="7"/>
  <c r="AI113" i="7"/>
  <c r="AU113" i="7" s="1"/>
  <c r="AK113" i="7"/>
  <c r="AM113" i="7"/>
  <c r="AO113" i="7"/>
  <c r="AQ113" i="7"/>
  <c r="AS113" i="7"/>
  <c r="AI114" i="7"/>
  <c r="AK114" i="7"/>
  <c r="AU114" i="7" s="1"/>
  <c r="AM114" i="7"/>
  <c r="AO114" i="7"/>
  <c r="AQ114" i="7"/>
  <c r="AS114" i="7"/>
  <c r="AU106" i="7"/>
  <c r="AS106" i="7"/>
  <c r="AQ106" i="7"/>
  <c r="AO106" i="7"/>
  <c r="AM106" i="7"/>
  <c r="AK106" i="7"/>
  <c r="AI106" i="7"/>
  <c r="AQ85" i="7"/>
  <c r="AQ86" i="7"/>
  <c r="AQ87" i="7"/>
  <c r="AQ88" i="7"/>
  <c r="AQ89" i="7"/>
  <c r="AQ90" i="7"/>
  <c r="AQ91" i="7"/>
  <c r="AQ92" i="7"/>
  <c r="AQ93" i="7"/>
  <c r="AQ94" i="7"/>
  <c r="AQ95" i="7"/>
  <c r="AQ96" i="7"/>
  <c r="AQ97" i="7"/>
  <c r="AQ98" i="7"/>
  <c r="AQ99" i="7"/>
  <c r="AQ100" i="7"/>
  <c r="AQ101" i="7"/>
  <c r="BO72" i="7"/>
  <c r="BO73" i="7"/>
  <c r="BO74" i="7"/>
  <c r="BO75" i="7"/>
  <c r="BO76" i="7"/>
  <c r="BO77" i="7"/>
  <c r="BO78" i="7"/>
  <c r="BO79" i="7"/>
  <c r="BO71" i="7"/>
  <c r="BM72" i="7"/>
  <c r="BM73" i="7"/>
  <c r="BM74" i="7"/>
  <c r="BM75" i="7"/>
  <c r="BM76" i="7"/>
  <c r="BM77" i="7"/>
  <c r="BM78" i="7"/>
  <c r="BM79" i="7"/>
  <c r="BM71" i="7"/>
  <c r="BI72" i="7"/>
  <c r="BI73" i="7"/>
  <c r="BI74" i="7"/>
  <c r="BI75" i="7"/>
  <c r="BI76" i="7"/>
  <c r="BI77" i="7"/>
  <c r="BI78" i="7"/>
  <c r="BI79" i="7"/>
  <c r="BI71" i="7"/>
  <c r="BG72" i="7"/>
  <c r="BG73" i="7"/>
  <c r="BG74" i="7"/>
  <c r="BG75" i="7"/>
  <c r="BG76" i="7"/>
  <c r="BG77" i="7"/>
  <c r="BG78" i="7"/>
  <c r="BG79" i="7"/>
  <c r="BG71" i="7"/>
  <c r="AG84" i="7"/>
  <c r="AG85" i="7"/>
  <c r="AI85" i="7"/>
  <c r="AK85" i="7"/>
  <c r="AM85" i="7"/>
  <c r="AO85" i="7"/>
  <c r="AG86" i="7"/>
  <c r="AI86" i="7"/>
  <c r="AK86" i="7"/>
  <c r="AM86" i="7"/>
  <c r="AO86" i="7"/>
  <c r="AG87" i="7"/>
  <c r="AI87" i="7"/>
  <c r="AK87" i="7"/>
  <c r="AM87" i="7"/>
  <c r="AO87" i="7"/>
  <c r="AG88" i="7"/>
  <c r="AI88" i="7"/>
  <c r="AK88" i="7"/>
  <c r="AM88" i="7"/>
  <c r="AO88" i="7"/>
  <c r="AG89" i="7"/>
  <c r="AI89" i="7"/>
  <c r="AK89" i="7"/>
  <c r="AM89" i="7"/>
  <c r="AO89" i="7"/>
  <c r="AG90" i="7"/>
  <c r="AI90" i="7"/>
  <c r="AK90" i="7"/>
  <c r="AM90" i="7"/>
  <c r="AO90" i="7"/>
  <c r="AG91" i="7"/>
  <c r="AI91" i="7"/>
  <c r="AK91" i="7"/>
  <c r="AM91" i="7"/>
  <c r="AO91" i="7"/>
  <c r="AG92" i="7"/>
  <c r="AI92" i="7"/>
  <c r="AK92" i="7"/>
  <c r="AM92" i="7"/>
  <c r="AO92" i="7"/>
  <c r="AG93" i="7"/>
  <c r="AI93" i="7"/>
  <c r="AK93" i="7"/>
  <c r="AM93" i="7"/>
  <c r="AO93" i="7"/>
  <c r="AG94" i="7"/>
  <c r="AI94" i="7"/>
  <c r="AK94" i="7"/>
  <c r="AM94" i="7"/>
  <c r="AO94" i="7"/>
  <c r="AG95" i="7"/>
  <c r="AI95" i="7"/>
  <c r="AK95" i="7"/>
  <c r="AM95" i="7"/>
  <c r="AO95" i="7"/>
  <c r="AG96" i="7"/>
  <c r="AI96" i="7"/>
  <c r="AK96" i="7"/>
  <c r="AM96" i="7"/>
  <c r="AO96" i="7"/>
  <c r="AG97" i="7"/>
  <c r="AI97" i="7"/>
  <c r="AK97" i="7"/>
  <c r="AM97" i="7"/>
  <c r="AO97" i="7"/>
  <c r="AG98" i="7"/>
  <c r="AI98" i="7"/>
  <c r="AK98" i="7"/>
  <c r="AM98" i="7"/>
  <c r="AO98" i="7"/>
  <c r="AG99" i="7"/>
  <c r="AI99" i="7"/>
  <c r="AK99" i="7"/>
  <c r="AM99" i="7"/>
  <c r="AO99" i="7"/>
  <c r="AG100" i="7"/>
  <c r="AI100" i="7"/>
  <c r="AK100" i="7"/>
  <c r="AM100" i="7"/>
  <c r="AO100" i="7"/>
  <c r="AG101" i="7"/>
  <c r="AI101" i="7"/>
  <c r="AK101" i="7"/>
  <c r="AM101" i="7"/>
  <c r="AO101" i="7"/>
  <c r="AO84" i="7"/>
  <c r="AM84" i="7"/>
  <c r="AK84" i="7"/>
  <c r="AQ84" i="7" s="1"/>
  <c r="AI84" i="7"/>
  <c r="BZ79" i="7"/>
  <c r="CA79" i="7"/>
  <c r="CB79" i="7"/>
  <c r="BY79" i="7"/>
  <c r="BI61" i="7"/>
  <c r="BI62" i="7"/>
  <c r="BI63" i="7"/>
  <c r="BI64" i="7"/>
  <c r="BI65" i="7"/>
  <c r="BI66" i="7"/>
  <c r="BI67" i="7"/>
  <c r="BI68" i="7"/>
  <c r="BI69" i="7"/>
  <c r="BK70" i="7"/>
  <c r="BZ72" i="7"/>
  <c r="CC72" i="7" s="1"/>
  <c r="BA72" i="7" s="1"/>
  <c r="CA72" i="7"/>
  <c r="CB72" i="7"/>
  <c r="BZ73" i="7"/>
  <c r="CC73" i="7" s="1"/>
  <c r="BA73" i="7" s="1"/>
  <c r="CA73" i="7"/>
  <c r="CB73" i="7"/>
  <c r="BZ74" i="7"/>
  <c r="CC74" i="7" s="1"/>
  <c r="BA74" i="7" s="1"/>
  <c r="CA74" i="7"/>
  <c r="CB74" i="7"/>
  <c r="BZ75" i="7"/>
  <c r="CC75" i="7" s="1"/>
  <c r="BA75" i="7" s="1"/>
  <c r="CA75" i="7"/>
  <c r="CB75" i="7"/>
  <c r="BZ76" i="7"/>
  <c r="CC76" i="7" s="1"/>
  <c r="BA76" i="7" s="1"/>
  <c r="CA76" i="7"/>
  <c r="CB76" i="7"/>
  <c r="BZ77" i="7"/>
  <c r="CA77" i="7"/>
  <c r="CB77" i="7"/>
  <c r="BZ78" i="7"/>
  <c r="CC78" i="7" s="1"/>
  <c r="BA78" i="7" s="1"/>
  <c r="CA78" i="7"/>
  <c r="CB78" i="7"/>
  <c r="CB71" i="7"/>
  <c r="CA71" i="7"/>
  <c r="BZ71" i="7"/>
  <c r="CC71" i="7" s="1"/>
  <c r="BA71" i="7" s="1"/>
  <c r="BY72" i="7"/>
  <c r="BY73" i="7"/>
  <c r="BY74" i="7"/>
  <c r="BY75" i="7"/>
  <c r="BY76" i="7"/>
  <c r="BY77" i="7"/>
  <c r="BY78" i="7"/>
  <c r="BY71" i="7"/>
  <c r="G72" i="7"/>
  <c r="AU72" i="7" s="1"/>
  <c r="G73" i="7"/>
  <c r="AU73" i="7" s="1"/>
  <c r="G74" i="7"/>
  <c r="AU74" i="7" s="1"/>
  <c r="G75" i="7"/>
  <c r="AU75" i="7" s="1"/>
  <c r="G76" i="7"/>
  <c r="AU76" i="7" s="1"/>
  <c r="G77" i="7"/>
  <c r="AU77" i="7" s="1"/>
  <c r="G78" i="7"/>
  <c r="AU78" i="7" s="1"/>
  <c r="G79" i="7"/>
  <c r="AU79" i="7" s="1"/>
  <c r="G71" i="7"/>
  <c r="AU71" i="7" s="1"/>
  <c r="M28" i="7"/>
  <c r="M29" i="7" s="1"/>
  <c r="M27" i="7"/>
  <c r="AW72" i="7"/>
  <c r="AY72" i="7"/>
  <c r="BC72" i="7"/>
  <c r="BE72" i="7"/>
  <c r="BK72" i="7"/>
  <c r="AW73" i="7"/>
  <c r="AY73" i="7"/>
  <c r="BC73" i="7"/>
  <c r="BE73" i="7"/>
  <c r="BK73" i="7"/>
  <c r="AW74" i="7"/>
  <c r="AY74" i="7"/>
  <c r="BC74" i="7"/>
  <c r="BE74" i="7"/>
  <c r="BK74" i="7"/>
  <c r="AW75" i="7"/>
  <c r="AY75" i="7"/>
  <c r="BC75" i="7"/>
  <c r="BE75" i="7"/>
  <c r="BK75" i="7"/>
  <c r="AW76" i="7"/>
  <c r="AY76" i="7"/>
  <c r="BC76" i="7"/>
  <c r="BE76" i="7"/>
  <c r="BK76" i="7"/>
  <c r="AW77" i="7"/>
  <c r="AY77" i="7"/>
  <c r="BC77" i="7"/>
  <c r="BE77" i="7"/>
  <c r="BK77" i="7"/>
  <c r="AW78" i="7"/>
  <c r="AY78" i="7"/>
  <c r="BC78" i="7"/>
  <c r="BE78" i="7"/>
  <c r="BK78" i="7"/>
  <c r="AW79" i="7"/>
  <c r="AY79" i="7"/>
  <c r="BC79" i="7"/>
  <c r="BE79" i="7"/>
  <c r="BK79" i="7"/>
  <c r="BK71" i="7"/>
  <c r="BE71" i="7"/>
  <c r="BC71" i="7"/>
  <c r="AY71" i="7"/>
  <c r="AW71" i="7"/>
  <c r="U64" i="7"/>
  <c r="AE64" i="7" s="1"/>
  <c r="U63" i="7"/>
  <c r="AE63" i="7" s="1"/>
  <c r="AA63" i="7"/>
  <c r="AC63" i="7"/>
  <c r="AA64" i="7"/>
  <c r="AC64" i="7"/>
  <c r="AE62" i="7"/>
  <c r="AC62" i="7"/>
  <c r="AA62" i="7"/>
  <c r="U62" i="7"/>
  <c r="AE37" i="7"/>
  <c r="AE38" i="7"/>
  <c r="AI38" i="7" s="1"/>
  <c r="AE39" i="7"/>
  <c r="AI39" i="7" s="1"/>
  <c r="AE40" i="7"/>
  <c r="AE41" i="7"/>
  <c r="AE42" i="7"/>
  <c r="AE43" i="7"/>
  <c r="AE44" i="7"/>
  <c r="AE45" i="7"/>
  <c r="AE46" i="7"/>
  <c r="AE47" i="7"/>
  <c r="AE48" i="7"/>
  <c r="AE49" i="7"/>
  <c r="AE50" i="7"/>
  <c r="AI50" i="7" s="1"/>
  <c r="AE51" i="7"/>
  <c r="AI51" i="7" s="1"/>
  <c r="AE52" i="7"/>
  <c r="AI52" i="7" s="1"/>
  <c r="AE53" i="7"/>
  <c r="AE54" i="7"/>
  <c r="AI54" i="7" s="1"/>
  <c r="AE55" i="7"/>
  <c r="AI55" i="7" s="1"/>
  <c r="AE56" i="7"/>
  <c r="AE57" i="7"/>
  <c r="AE58" i="7"/>
  <c r="AE36" i="7"/>
  <c r="AI36" i="7" s="1"/>
  <c r="M38" i="7"/>
  <c r="M39" i="7"/>
  <c r="M40" i="7"/>
  <c r="M41" i="7"/>
  <c r="M42" i="7"/>
  <c r="M43" i="7"/>
  <c r="M44" i="7"/>
  <c r="M45" i="7"/>
  <c r="M46" i="7"/>
  <c r="M47" i="7"/>
  <c r="M48" i="7"/>
  <c r="M49" i="7"/>
  <c r="M50" i="7"/>
  <c r="M51" i="7"/>
  <c r="M52" i="7"/>
  <c r="M53" i="7"/>
  <c r="M54" i="7"/>
  <c r="M55" i="7"/>
  <c r="M56" i="7"/>
  <c r="M57" i="7"/>
  <c r="M58" i="7"/>
  <c r="M59" i="7"/>
  <c r="M37" i="7"/>
  <c r="J38" i="7"/>
  <c r="K38" i="7"/>
  <c r="L38" i="7"/>
  <c r="J39" i="7"/>
  <c r="K39" i="7"/>
  <c r="L39" i="7"/>
  <c r="J40" i="7"/>
  <c r="K40" i="7"/>
  <c r="L40" i="7"/>
  <c r="J41" i="7"/>
  <c r="K41" i="7"/>
  <c r="L41" i="7"/>
  <c r="J42" i="7"/>
  <c r="K42" i="7"/>
  <c r="L42" i="7"/>
  <c r="J43" i="7"/>
  <c r="K43" i="7"/>
  <c r="L43" i="7"/>
  <c r="J44" i="7"/>
  <c r="K44" i="7"/>
  <c r="L44" i="7"/>
  <c r="J45" i="7"/>
  <c r="K45" i="7"/>
  <c r="L45" i="7"/>
  <c r="J46" i="7"/>
  <c r="K46" i="7"/>
  <c r="L46" i="7"/>
  <c r="J47" i="7"/>
  <c r="K47" i="7"/>
  <c r="L47" i="7"/>
  <c r="J48" i="7"/>
  <c r="K48" i="7"/>
  <c r="L48" i="7"/>
  <c r="J49" i="7"/>
  <c r="K49" i="7"/>
  <c r="L49" i="7"/>
  <c r="J50" i="7"/>
  <c r="K50" i="7"/>
  <c r="L50" i="7"/>
  <c r="J51" i="7"/>
  <c r="K51" i="7"/>
  <c r="L51" i="7"/>
  <c r="J52" i="7"/>
  <c r="K52" i="7"/>
  <c r="L52" i="7"/>
  <c r="J53" i="7"/>
  <c r="K53" i="7"/>
  <c r="L53" i="7"/>
  <c r="J54" i="7"/>
  <c r="K54" i="7"/>
  <c r="L54" i="7"/>
  <c r="J55" i="7"/>
  <c r="K55" i="7"/>
  <c r="L55" i="7"/>
  <c r="J56" i="7"/>
  <c r="K56" i="7"/>
  <c r="L56" i="7"/>
  <c r="J57" i="7"/>
  <c r="K57" i="7"/>
  <c r="L57" i="7"/>
  <c r="J58" i="7"/>
  <c r="K58" i="7"/>
  <c r="L58" i="7"/>
  <c r="J59" i="7"/>
  <c r="K59" i="7"/>
  <c r="L59" i="7"/>
  <c r="L37" i="7"/>
  <c r="K37" i="7"/>
  <c r="J37" i="7"/>
  <c r="AI37" i="7"/>
  <c r="AI40" i="7"/>
  <c r="AI41" i="7"/>
  <c r="AI42" i="7"/>
  <c r="AI43" i="7"/>
  <c r="AI44" i="7"/>
  <c r="AI45" i="7"/>
  <c r="AI46" i="7"/>
  <c r="AI47" i="7"/>
  <c r="AI48" i="7"/>
  <c r="AI49" i="7"/>
  <c r="AI53" i="7"/>
  <c r="AI56" i="7"/>
  <c r="AI57" i="7"/>
  <c r="AI58" i="7"/>
  <c r="AG37" i="7"/>
  <c r="AG38" i="7"/>
  <c r="AG39" i="7"/>
  <c r="AG40" i="7"/>
  <c r="AG41" i="7"/>
  <c r="AG42" i="7"/>
  <c r="AG43" i="7"/>
  <c r="AG44" i="7"/>
  <c r="AG45" i="7"/>
  <c r="AG46" i="7"/>
  <c r="AG47" i="7"/>
  <c r="AG48" i="7"/>
  <c r="AG49" i="7"/>
  <c r="AG50" i="7"/>
  <c r="AG51" i="7"/>
  <c r="AG52" i="7"/>
  <c r="AG53" i="7"/>
  <c r="AG54" i="7"/>
  <c r="AG55" i="7"/>
  <c r="AG56" i="7"/>
  <c r="AG57" i="7"/>
  <c r="AG58" i="7"/>
  <c r="AG36" i="7"/>
  <c r="AS40" i="7"/>
  <c r="AS41" i="7"/>
  <c r="AS42" i="7"/>
  <c r="AS43" i="7"/>
  <c r="AS44" i="7"/>
  <c r="AS45" i="7"/>
  <c r="AS46" i="7"/>
  <c r="AS47" i="7"/>
  <c r="AS48" i="7"/>
  <c r="AS49" i="7"/>
  <c r="AS50" i="7"/>
  <c r="AS51" i="7"/>
  <c r="AS52" i="7"/>
  <c r="AS53" i="7"/>
  <c r="AS54" i="7"/>
  <c r="AS55" i="7"/>
  <c r="AS56" i="7"/>
  <c r="AS57" i="7"/>
  <c r="O4" i="7"/>
  <c r="BG33" i="7"/>
  <c r="AO26" i="7"/>
  <c r="AO27" i="7"/>
  <c r="AO28" i="7"/>
  <c r="AO29" i="7"/>
  <c r="AO30" i="7"/>
  <c r="AO31" i="7"/>
  <c r="AO32" i="7"/>
  <c r="AO25" i="7"/>
  <c r="AQ26" i="7"/>
  <c r="AQ27" i="7"/>
  <c r="AQ28" i="7"/>
  <c r="AQ29" i="7"/>
  <c r="AQ30" i="7"/>
  <c r="AQ31" i="7"/>
  <c r="U26" i="7"/>
  <c r="AU26" i="7"/>
  <c r="AW26" i="7"/>
  <c r="AY26" i="7"/>
  <c r="BA26" i="7"/>
  <c r="BC26" i="7"/>
  <c r="BE26" i="7"/>
  <c r="U27" i="7"/>
  <c r="AU27" i="7"/>
  <c r="AW27" i="7"/>
  <c r="AY27" i="7"/>
  <c r="BA27" i="7"/>
  <c r="BC27" i="7"/>
  <c r="BE27" i="7"/>
  <c r="U28" i="7"/>
  <c r="AU28" i="7"/>
  <c r="AW28" i="7"/>
  <c r="AY28" i="7"/>
  <c r="BA28" i="7"/>
  <c r="BE28" i="7"/>
  <c r="U29" i="7"/>
  <c r="AU29" i="7"/>
  <c r="AW29" i="7"/>
  <c r="AY29" i="7"/>
  <c r="BA29" i="7"/>
  <c r="BE29" i="7"/>
  <c r="U30" i="7"/>
  <c r="AU30" i="7"/>
  <c r="AW30" i="7"/>
  <c r="AY30" i="7"/>
  <c r="BA30" i="7"/>
  <c r="BE30" i="7"/>
  <c r="U31" i="7"/>
  <c r="AU31" i="7"/>
  <c r="AW31" i="7"/>
  <c r="AY31" i="7"/>
  <c r="BA31" i="7"/>
  <c r="BE31" i="7"/>
  <c r="U32" i="7"/>
  <c r="AS32" i="7"/>
  <c r="AU32" i="7"/>
  <c r="AW32" i="7"/>
  <c r="AY32" i="7"/>
  <c r="BA32" i="7"/>
  <c r="BE32" i="7"/>
  <c r="U25" i="7"/>
  <c r="AQ25" i="7"/>
  <c r="BE25" i="7"/>
  <c r="BC25" i="7"/>
  <c r="BA25" i="7"/>
  <c r="AY25" i="7"/>
  <c r="AW25" i="7"/>
  <c r="AU25" i="7"/>
  <c r="W21" i="7"/>
  <c r="Y21" i="7"/>
  <c r="AJ21" i="7"/>
  <c r="W22" i="7"/>
  <c r="Y22" i="7"/>
  <c r="AJ22" i="7"/>
  <c r="AJ20" i="7"/>
  <c r="Y20" i="7"/>
  <c r="W20" i="7"/>
  <c r="AM4" i="7"/>
  <c r="AO4" i="7"/>
  <c r="AQ4" i="7"/>
  <c r="AS4" i="7"/>
  <c r="AU4" i="7"/>
  <c r="AY4" i="7"/>
  <c r="BA4" i="7"/>
  <c r="AM5" i="7"/>
  <c r="AO5" i="7"/>
  <c r="AQ5" i="7"/>
  <c r="AS5" i="7"/>
  <c r="AU5" i="7"/>
  <c r="AY5" i="7"/>
  <c r="BA5" i="7"/>
  <c r="AM6" i="7"/>
  <c r="AO6" i="7"/>
  <c r="AQ6" i="7"/>
  <c r="AS6" i="7"/>
  <c r="AU6" i="7"/>
  <c r="AY6" i="7"/>
  <c r="BA6" i="7"/>
  <c r="AM7" i="7"/>
  <c r="AO7" i="7"/>
  <c r="AQ7" i="7"/>
  <c r="AS7" i="7"/>
  <c r="AU7" i="7"/>
  <c r="AY7" i="7"/>
  <c r="BA7" i="7"/>
  <c r="AM8" i="7"/>
  <c r="AO8" i="7"/>
  <c r="AQ8" i="7"/>
  <c r="AS8" i="7"/>
  <c r="AU8" i="7"/>
  <c r="AY8" i="7"/>
  <c r="BA8" i="7"/>
  <c r="AM9" i="7"/>
  <c r="AO9" i="7"/>
  <c r="AQ9" i="7"/>
  <c r="AS9" i="7"/>
  <c r="AU9" i="7"/>
  <c r="AY9" i="7"/>
  <c r="BA9" i="7"/>
  <c r="AM10" i="7"/>
  <c r="AO10" i="7"/>
  <c r="AQ10" i="7"/>
  <c r="AS10" i="7"/>
  <c r="AU10" i="7"/>
  <c r="AY10" i="7"/>
  <c r="BA10" i="7"/>
  <c r="AM11" i="7"/>
  <c r="AO11" i="7"/>
  <c r="AQ11" i="7"/>
  <c r="AS11" i="7"/>
  <c r="AU11" i="7"/>
  <c r="AY11" i="7"/>
  <c r="BA11" i="7"/>
  <c r="AM12" i="7"/>
  <c r="AO12" i="7"/>
  <c r="AQ12" i="7"/>
  <c r="AS12" i="7"/>
  <c r="AU12" i="7"/>
  <c r="AY12" i="7"/>
  <c r="BA12" i="7"/>
  <c r="AM13" i="7"/>
  <c r="AO13" i="7"/>
  <c r="AQ13" i="7"/>
  <c r="AS13" i="7"/>
  <c r="AU13" i="7"/>
  <c r="AY13" i="7"/>
  <c r="BA13" i="7"/>
  <c r="AM14" i="7"/>
  <c r="AO14" i="7"/>
  <c r="AQ14" i="7"/>
  <c r="AS14" i="7"/>
  <c r="AU14" i="7"/>
  <c r="AY14" i="7"/>
  <c r="BA14" i="7"/>
  <c r="F5" i="7"/>
  <c r="F6" i="7" s="1"/>
  <c r="F7" i="7" s="1"/>
  <c r="BA3" i="7"/>
  <c r="AM3" i="7"/>
  <c r="AO3" i="7"/>
  <c r="AQ3" i="7"/>
  <c r="AS3" i="7"/>
  <c r="AU3" i="7"/>
  <c r="AY3" i="7"/>
  <c r="H411" i="7"/>
  <c r="J443" i="7"/>
  <c r="J442" i="7"/>
  <c r="F441" i="7"/>
  <c r="F442" i="7" s="1"/>
  <c r="J440" i="7"/>
  <c r="K412" i="7"/>
  <c r="K413" i="7" s="1"/>
  <c r="K414" i="7" s="1"/>
  <c r="K415" i="7" s="1"/>
  <c r="K416" i="7" s="1"/>
  <c r="K417" i="7" s="1"/>
  <c r="K418" i="7" s="1"/>
  <c r="K419" i="7" s="1"/>
  <c r="K420" i="7" s="1"/>
  <c r="K421" i="7" s="1"/>
  <c r="K422" i="7" s="1"/>
  <c r="K423" i="7" s="1"/>
  <c r="K424" i="7" s="1"/>
  <c r="K425" i="7" s="1"/>
  <c r="K426" i="7" s="1"/>
  <c r="K427" i="7" s="1"/>
  <c r="K428" i="7" s="1"/>
  <c r="K429" i="7" s="1"/>
  <c r="K430" i="7" s="1"/>
  <c r="K431" i="7" s="1"/>
  <c r="K432" i="7" s="1"/>
  <c r="K433" i="7" s="1"/>
  <c r="K434" i="7" s="1"/>
  <c r="K435" i="7" s="1"/>
  <c r="K436" i="7" s="1"/>
  <c r="K437" i="7" s="1"/>
  <c r="H437" i="7" s="1"/>
  <c r="J439" i="7"/>
  <c r="J438" i="7"/>
  <c r="F437" i="7"/>
  <c r="F438" i="7" s="1"/>
  <c r="J436" i="7"/>
  <c r="J434" i="7"/>
  <c r="J433" i="7"/>
  <c r="F432" i="7"/>
  <c r="F433" i="7" s="1"/>
  <c r="J431" i="7"/>
  <c r="J429" i="7"/>
  <c r="J428" i="7"/>
  <c r="F427" i="7"/>
  <c r="F428" i="7" s="1"/>
  <c r="J426" i="7"/>
  <c r="J424" i="7"/>
  <c r="J423" i="7"/>
  <c r="F422" i="7"/>
  <c r="F423" i="7" s="1"/>
  <c r="J421" i="7"/>
  <c r="M354" i="7"/>
  <c r="H354" i="7"/>
  <c r="H353" i="7"/>
  <c r="H352" i="7"/>
  <c r="H351" i="7"/>
  <c r="H350" i="7"/>
  <c r="H349" i="7"/>
  <c r="H348" i="7"/>
  <c r="H347" i="7"/>
  <c r="H346" i="7"/>
  <c r="H345" i="7"/>
  <c r="H344" i="7"/>
  <c r="M343" i="7"/>
  <c r="M344" i="7" s="1"/>
  <c r="M345" i="7" s="1"/>
  <c r="M346" i="7" s="1"/>
  <c r="M347" i="7" s="1"/>
  <c r="M348" i="7" s="1"/>
  <c r="M349" i="7" s="1"/>
  <c r="M350" i="7" s="1"/>
  <c r="M351" i="7" s="1"/>
  <c r="H343" i="7"/>
  <c r="H342" i="7"/>
  <c r="H341" i="7"/>
  <c r="H340" i="7"/>
  <c r="H339" i="7"/>
  <c r="H338" i="7"/>
  <c r="H337" i="7"/>
  <c r="H336" i="7"/>
  <c r="H335" i="7"/>
  <c r="H334" i="7"/>
  <c r="H333" i="7"/>
  <c r="H332" i="7"/>
  <c r="M331" i="7"/>
  <c r="M332" i="7" s="1"/>
  <c r="M333" i="7" s="1"/>
  <c r="M334" i="7" s="1"/>
  <c r="M335" i="7" s="1"/>
  <c r="M336" i="7" s="1"/>
  <c r="M337" i="7" s="1"/>
  <c r="M338" i="7" s="1"/>
  <c r="M339" i="7" s="1"/>
  <c r="M340" i="7" s="1"/>
  <c r="M341" i="7" s="1"/>
  <c r="H331" i="7"/>
  <c r="H330" i="7"/>
  <c r="H329" i="7"/>
  <c r="H328" i="7"/>
  <c r="H327" i="7"/>
  <c r="H326" i="7"/>
  <c r="H325" i="7"/>
  <c r="H324" i="7"/>
  <c r="H323" i="7"/>
  <c r="H322" i="7"/>
  <c r="H321" i="7"/>
  <c r="H320" i="7"/>
  <c r="M319" i="7"/>
  <c r="M320" i="7" s="1"/>
  <c r="M321" i="7" s="1"/>
  <c r="M322" i="7" s="1"/>
  <c r="M323" i="7" s="1"/>
  <c r="M324" i="7" s="1"/>
  <c r="M325" i="7" s="1"/>
  <c r="M326" i="7" s="1"/>
  <c r="M327" i="7" s="1"/>
  <c r="M328" i="7" s="1"/>
  <c r="M329" i="7" s="1"/>
  <c r="H319" i="7"/>
  <c r="H318" i="7"/>
  <c r="H317" i="7"/>
  <c r="H316" i="7"/>
  <c r="H315" i="7"/>
  <c r="H314" i="7"/>
  <c r="H313" i="7"/>
  <c r="H312" i="7"/>
  <c r="H311" i="7"/>
  <c r="H310" i="7"/>
  <c r="H309" i="7"/>
  <c r="H308" i="7"/>
  <c r="M307" i="7"/>
  <c r="M308" i="7" s="1"/>
  <c r="M309" i="7" s="1"/>
  <c r="H307" i="7"/>
  <c r="H306" i="7"/>
  <c r="H305" i="7"/>
  <c r="H304" i="7"/>
  <c r="H303" i="7"/>
  <c r="H302" i="7"/>
  <c r="H301" i="7"/>
  <c r="H300" i="7"/>
  <c r="H299" i="7"/>
  <c r="H298" i="7"/>
  <c r="H297" i="7"/>
  <c r="H296" i="7"/>
  <c r="M295" i="7"/>
  <c r="M296" i="7" s="1"/>
  <c r="M297" i="7" s="1"/>
  <c r="M298" i="7" s="1"/>
  <c r="M299" i="7" s="1"/>
  <c r="M300" i="7" s="1"/>
  <c r="M301" i="7" s="1"/>
  <c r="M302" i="7" s="1"/>
  <c r="M303" i="7" s="1"/>
  <c r="M304" i="7" s="1"/>
  <c r="M305" i="7" s="1"/>
  <c r="H295" i="7"/>
  <c r="H294" i="7"/>
  <c r="K270" i="7"/>
  <c r="M283" i="7"/>
  <c r="M284" i="7" s="1"/>
  <c r="M285" i="7" s="1"/>
  <c r="M286" i="7" s="1"/>
  <c r="M287" i="7" s="1"/>
  <c r="M288" i="7" s="1"/>
  <c r="M289" i="7" s="1"/>
  <c r="M290" i="7" s="1"/>
  <c r="M291" i="7" s="1"/>
  <c r="M292" i="7" s="1"/>
  <c r="M293" i="7" s="1"/>
  <c r="H293" i="7"/>
  <c r="H292" i="7"/>
  <c r="H291" i="7"/>
  <c r="H290" i="7"/>
  <c r="H289" i="7"/>
  <c r="H288" i="7"/>
  <c r="H287" i="7"/>
  <c r="H286" i="7"/>
  <c r="H285" i="7"/>
  <c r="H284" i="7"/>
  <c r="H283" i="7"/>
  <c r="H282" i="7"/>
  <c r="J416" i="7"/>
  <c r="J411" i="7"/>
  <c r="S243" i="7"/>
  <c r="S244" i="7"/>
  <c r="S136" i="7"/>
  <c r="S137" i="7"/>
  <c r="S138" i="7"/>
  <c r="S139" i="7"/>
  <c r="S140" i="7"/>
  <c r="S141" i="7"/>
  <c r="S142" i="7"/>
  <c r="S143" i="7"/>
  <c r="S144" i="7"/>
  <c r="S145" i="7"/>
  <c r="S146" i="7"/>
  <c r="S147" i="7"/>
  <c r="S148" i="7"/>
  <c r="S149" i="7"/>
  <c r="S150" i="7"/>
  <c r="S151" i="7"/>
  <c r="S152" i="7"/>
  <c r="S135" i="7"/>
  <c r="J419" i="7"/>
  <c r="J418" i="7"/>
  <c r="F417" i="7"/>
  <c r="F418" i="7" s="1"/>
  <c r="F419" i="7" s="1"/>
  <c r="F420" i="7" s="1"/>
  <c r="J413" i="7"/>
  <c r="J414" i="7"/>
  <c r="F412" i="7"/>
  <c r="F413" i="7" s="1"/>
  <c r="K403" i="7"/>
  <c r="K398" i="7"/>
  <c r="K407" i="7"/>
  <c r="K402" i="7"/>
  <c r="K397" i="7"/>
  <c r="K393" i="7"/>
  <c r="J390" i="7"/>
  <c r="J389" i="7"/>
  <c r="J388" i="7"/>
  <c r="J387" i="7"/>
  <c r="J386" i="7"/>
  <c r="J385" i="7"/>
  <c r="J384" i="7"/>
  <c r="J383" i="7"/>
  <c r="J382" i="7"/>
  <c r="J381" i="7"/>
  <c r="J380" i="7"/>
  <c r="J379" i="7"/>
  <c r="J378" i="7"/>
  <c r="J377" i="7"/>
  <c r="F394" i="7"/>
  <c r="F395" i="7" s="1"/>
  <c r="F396" i="7" s="1"/>
  <c r="F397" i="7" s="1"/>
  <c r="F398" i="7" s="1"/>
  <c r="F399" i="7" s="1"/>
  <c r="F400" i="7" s="1"/>
  <c r="F401" i="7" s="1"/>
  <c r="F402" i="7" s="1"/>
  <c r="F403" i="7" s="1"/>
  <c r="F404" i="7" s="1"/>
  <c r="F405" i="7" s="1"/>
  <c r="F406" i="7" s="1"/>
  <c r="F407" i="7" s="1"/>
  <c r="F378" i="7"/>
  <c r="F379" i="7" s="1"/>
  <c r="F380" i="7" s="1"/>
  <c r="F381" i="7" s="1"/>
  <c r="F382" i="7" s="1"/>
  <c r="F383" i="7" s="1"/>
  <c r="F384" i="7" s="1"/>
  <c r="F385" i="7" s="1"/>
  <c r="F386" i="7" s="1"/>
  <c r="F387" i="7" s="1"/>
  <c r="F388" i="7" s="1"/>
  <c r="F389" i="7" s="1"/>
  <c r="F390" i="7" s="1"/>
  <c r="F361" i="7"/>
  <c r="F362" i="7" s="1"/>
  <c r="F363" i="7" s="1"/>
  <c r="H281" i="7"/>
  <c r="H272" i="7"/>
  <c r="H273" i="7"/>
  <c r="H274" i="7"/>
  <c r="H275" i="7"/>
  <c r="H276" i="7"/>
  <c r="H277" i="7"/>
  <c r="H278" i="7"/>
  <c r="H279" i="7"/>
  <c r="H280" i="7"/>
  <c r="H271" i="7"/>
  <c r="H270" i="7"/>
  <c r="I79" i="7"/>
  <c r="F271" i="7"/>
  <c r="F272" i="7" s="1"/>
  <c r="F273" i="7" s="1"/>
  <c r="F274" i="7" s="1"/>
  <c r="F275" i="7" s="1"/>
  <c r="F276" i="7" s="1"/>
  <c r="F277" i="7" s="1"/>
  <c r="F278" i="7" s="1"/>
  <c r="F279" i="7" s="1"/>
  <c r="F280" i="7" s="1"/>
  <c r="F281" i="7" s="1"/>
  <c r="F282" i="7" s="1"/>
  <c r="F283" i="7" s="1"/>
  <c r="F284" i="7" s="1"/>
  <c r="F285" i="7" s="1"/>
  <c r="F286" i="7" s="1"/>
  <c r="F287" i="7" s="1"/>
  <c r="F288" i="7" s="1"/>
  <c r="F289" i="7" s="1"/>
  <c r="F290" i="7" s="1"/>
  <c r="F291" i="7" s="1"/>
  <c r="F292" i="7" s="1"/>
  <c r="F293" i="7" s="1"/>
  <c r="F294" i="7" s="1"/>
  <c r="F295" i="7" s="1"/>
  <c r="F296" i="7" s="1"/>
  <c r="F297" i="7" s="1"/>
  <c r="F298" i="7" s="1"/>
  <c r="F299" i="7" s="1"/>
  <c r="F300" i="7" s="1"/>
  <c r="F301" i="7" s="1"/>
  <c r="F302" i="7" s="1"/>
  <c r="F303" i="7" s="1"/>
  <c r="F304" i="7" s="1"/>
  <c r="F305" i="7" s="1"/>
  <c r="F306" i="7" s="1"/>
  <c r="F307" i="7" s="1"/>
  <c r="F308" i="7" s="1"/>
  <c r="F309" i="7" s="1"/>
  <c r="F310" i="7" s="1"/>
  <c r="F311" i="7" s="1"/>
  <c r="F312" i="7" s="1"/>
  <c r="F313" i="7" s="1"/>
  <c r="F314" i="7" s="1"/>
  <c r="F315" i="7" s="1"/>
  <c r="F316" i="7" s="1"/>
  <c r="F317" i="7" s="1"/>
  <c r="F318" i="7" s="1"/>
  <c r="F319" i="7" s="1"/>
  <c r="F320" i="7" s="1"/>
  <c r="F321" i="7" s="1"/>
  <c r="F322" i="7" s="1"/>
  <c r="F323" i="7" s="1"/>
  <c r="F324" i="7" s="1"/>
  <c r="F325" i="7" s="1"/>
  <c r="F326" i="7" s="1"/>
  <c r="F327" i="7" s="1"/>
  <c r="F328" i="7" s="1"/>
  <c r="F329" i="7" s="1"/>
  <c r="F330" i="7" s="1"/>
  <c r="F331" i="7" s="1"/>
  <c r="F332" i="7" s="1"/>
  <c r="F333" i="7" s="1"/>
  <c r="F334" i="7" s="1"/>
  <c r="F335" i="7" s="1"/>
  <c r="F336" i="7" s="1"/>
  <c r="F337" i="7" s="1"/>
  <c r="F338" i="7" s="1"/>
  <c r="F339" i="7" s="1"/>
  <c r="F340" i="7" s="1"/>
  <c r="F341" i="7" s="1"/>
  <c r="F342" i="7" s="1"/>
  <c r="F343" i="7" s="1"/>
  <c r="F344" i="7" s="1"/>
  <c r="F345" i="7" s="1"/>
  <c r="F346" i="7" s="1"/>
  <c r="F347" i="7" s="1"/>
  <c r="F348" i="7" s="1"/>
  <c r="F349" i="7" s="1"/>
  <c r="F350" i="7" s="1"/>
  <c r="F351" i="7" s="1"/>
  <c r="F352" i="7" s="1"/>
  <c r="F353" i="7" s="1"/>
  <c r="F354" i="7" s="1"/>
  <c r="I244" i="7"/>
  <c r="G244" i="7"/>
  <c r="G245" i="7" s="1"/>
  <c r="G246" i="7" s="1"/>
  <c r="G247" i="7" s="1"/>
  <c r="G248" i="7" s="1"/>
  <c r="G249" i="7" s="1"/>
  <c r="G250" i="7" s="1"/>
  <c r="G251" i="7" s="1"/>
  <c r="G252" i="7" s="1"/>
  <c r="G253" i="7" s="1"/>
  <c r="G254" i="7" s="1"/>
  <c r="G255" i="7" s="1"/>
  <c r="G256" i="7" s="1"/>
  <c r="G257" i="7" s="1"/>
  <c r="G258" i="7" s="1"/>
  <c r="G259" i="7" s="1"/>
  <c r="G260" i="7" s="1"/>
  <c r="G261" i="7" s="1"/>
  <c r="I255" i="7"/>
  <c r="R244" i="7"/>
  <c r="R245" i="7" s="1"/>
  <c r="R246" i="7" s="1"/>
  <c r="R247" i="7" s="1"/>
  <c r="R248" i="7" s="1"/>
  <c r="R249" i="7" s="1"/>
  <c r="R250" i="7" s="1"/>
  <c r="R251" i="7" s="1"/>
  <c r="R252" i="7" s="1"/>
  <c r="R253" i="7" s="1"/>
  <c r="R254" i="7" s="1"/>
  <c r="R255" i="7" s="1"/>
  <c r="R256" i="7" s="1"/>
  <c r="R257" i="7" s="1"/>
  <c r="R258" i="7" s="1"/>
  <c r="R259" i="7" s="1"/>
  <c r="R260" i="7" s="1"/>
  <c r="R261" i="7" s="1"/>
  <c r="I261" i="7"/>
  <c r="I260" i="7"/>
  <c r="I259" i="7"/>
  <c r="I258" i="7"/>
  <c r="I257" i="7"/>
  <c r="I256" i="7"/>
  <c r="I254" i="7"/>
  <c r="I253" i="7"/>
  <c r="I252" i="7"/>
  <c r="I251" i="7"/>
  <c r="I250" i="7"/>
  <c r="I249" i="7"/>
  <c r="I248" i="7"/>
  <c r="I247" i="7"/>
  <c r="I246" i="7"/>
  <c r="I245" i="7"/>
  <c r="U245" i="7" s="1"/>
  <c r="I243" i="7"/>
  <c r="U243" i="7" s="1"/>
  <c r="R226" i="7"/>
  <c r="R227" i="7" s="1"/>
  <c r="R228" i="7" s="1"/>
  <c r="R229" i="7" s="1"/>
  <c r="R230" i="7" s="1"/>
  <c r="R231" i="7" s="1"/>
  <c r="R232" i="7" s="1"/>
  <c r="R233" i="7" s="1"/>
  <c r="R234" i="7" s="1"/>
  <c r="R235" i="7" s="1"/>
  <c r="R236" i="7" s="1"/>
  <c r="R237" i="7" s="1"/>
  <c r="R238" i="7" s="1"/>
  <c r="R239" i="7" s="1"/>
  <c r="R240" i="7" s="1"/>
  <c r="R241" i="7" s="1"/>
  <c r="R242" i="7" s="1"/>
  <c r="I242" i="7"/>
  <c r="I241" i="7"/>
  <c r="I240" i="7"/>
  <c r="I239" i="7"/>
  <c r="I238" i="7"/>
  <c r="I237" i="7"/>
  <c r="I236" i="7"/>
  <c r="I235" i="7"/>
  <c r="I234" i="7"/>
  <c r="I233" i="7"/>
  <c r="I232" i="7"/>
  <c r="I231" i="7"/>
  <c r="I230" i="7"/>
  <c r="I229" i="7"/>
  <c r="I228" i="7"/>
  <c r="I227" i="7"/>
  <c r="I226" i="7"/>
  <c r="G226" i="7"/>
  <c r="G227" i="7" s="1"/>
  <c r="G228" i="7" s="1"/>
  <c r="G229" i="7" s="1"/>
  <c r="G230" i="7" s="1"/>
  <c r="G231" i="7" s="1"/>
  <c r="G232" i="7" s="1"/>
  <c r="G233" i="7" s="1"/>
  <c r="G234" i="7" s="1"/>
  <c r="G235" i="7" s="1"/>
  <c r="G236" i="7" s="1"/>
  <c r="G237" i="7" s="1"/>
  <c r="G238" i="7" s="1"/>
  <c r="G239" i="7" s="1"/>
  <c r="G240" i="7" s="1"/>
  <c r="G241" i="7" s="1"/>
  <c r="G242" i="7" s="1"/>
  <c r="Q225" i="7"/>
  <c r="M226" i="7" s="1"/>
  <c r="P225" i="7"/>
  <c r="O225" i="7"/>
  <c r="N225" i="7"/>
  <c r="I225" i="7"/>
  <c r="R208" i="7"/>
  <c r="R209" i="7" s="1"/>
  <c r="R210" i="7" s="1"/>
  <c r="R211" i="7" s="1"/>
  <c r="R212" i="7" s="1"/>
  <c r="R213" i="7" s="1"/>
  <c r="R214" i="7" s="1"/>
  <c r="R215" i="7" s="1"/>
  <c r="R216" i="7" s="1"/>
  <c r="R217" i="7" s="1"/>
  <c r="R218" i="7" s="1"/>
  <c r="R219" i="7" s="1"/>
  <c r="R220" i="7" s="1"/>
  <c r="R221" i="7" s="1"/>
  <c r="R222" i="7" s="1"/>
  <c r="R223" i="7" s="1"/>
  <c r="R224" i="7" s="1"/>
  <c r="I224" i="7"/>
  <c r="I223" i="7"/>
  <c r="I222" i="7"/>
  <c r="I221" i="7"/>
  <c r="I220" i="7"/>
  <c r="I219" i="7"/>
  <c r="I218" i="7"/>
  <c r="I217" i="7"/>
  <c r="I216" i="7"/>
  <c r="I215" i="7"/>
  <c r="I214" i="7"/>
  <c r="I213" i="7"/>
  <c r="I212" i="7"/>
  <c r="I211" i="7"/>
  <c r="I210" i="7"/>
  <c r="I209" i="7"/>
  <c r="I208" i="7"/>
  <c r="G208" i="7"/>
  <c r="G209" i="7" s="1"/>
  <c r="G210" i="7" s="1"/>
  <c r="G211" i="7" s="1"/>
  <c r="G212" i="7" s="1"/>
  <c r="G213" i="7" s="1"/>
  <c r="G214" i="7" s="1"/>
  <c r="G215" i="7" s="1"/>
  <c r="G216" i="7" s="1"/>
  <c r="G217" i="7" s="1"/>
  <c r="G218" i="7" s="1"/>
  <c r="G219" i="7" s="1"/>
  <c r="G220" i="7" s="1"/>
  <c r="G221" i="7" s="1"/>
  <c r="G222" i="7" s="1"/>
  <c r="G223" i="7" s="1"/>
  <c r="G224" i="7" s="1"/>
  <c r="Q207" i="7"/>
  <c r="M208" i="7" s="1"/>
  <c r="P207" i="7"/>
  <c r="O207" i="7"/>
  <c r="N207" i="7"/>
  <c r="I207" i="7"/>
  <c r="I206" i="7"/>
  <c r="I205" i="7"/>
  <c r="I204" i="7"/>
  <c r="I203" i="7"/>
  <c r="I202" i="7"/>
  <c r="I201" i="7"/>
  <c r="I200" i="7"/>
  <c r="I199" i="7"/>
  <c r="I198" i="7"/>
  <c r="I197" i="7"/>
  <c r="I196" i="7"/>
  <c r="I195" i="7"/>
  <c r="I194" i="7"/>
  <c r="I193" i="7"/>
  <c r="I192" i="7"/>
  <c r="I191" i="7"/>
  <c r="I190" i="7"/>
  <c r="G190" i="7"/>
  <c r="G191" i="7" s="1"/>
  <c r="G192" i="7" s="1"/>
  <c r="G193" i="7" s="1"/>
  <c r="G194" i="7" s="1"/>
  <c r="G195" i="7" s="1"/>
  <c r="G196" i="7" s="1"/>
  <c r="G197" i="7" s="1"/>
  <c r="G198" i="7" s="1"/>
  <c r="G199" i="7" s="1"/>
  <c r="G200" i="7" s="1"/>
  <c r="G201" i="7" s="1"/>
  <c r="G202" i="7" s="1"/>
  <c r="G203" i="7" s="1"/>
  <c r="G204" i="7" s="1"/>
  <c r="G205" i="7" s="1"/>
  <c r="G206" i="7" s="1"/>
  <c r="Q189" i="7"/>
  <c r="M190" i="7" s="1"/>
  <c r="P189" i="7"/>
  <c r="O189" i="7"/>
  <c r="N189" i="7"/>
  <c r="I189" i="7"/>
  <c r="I188" i="7"/>
  <c r="I187" i="7"/>
  <c r="I186" i="7"/>
  <c r="I185" i="7"/>
  <c r="I184" i="7"/>
  <c r="I183" i="7"/>
  <c r="I182" i="7"/>
  <c r="I181" i="7"/>
  <c r="I180" i="7"/>
  <c r="I179" i="7"/>
  <c r="I178" i="7"/>
  <c r="I177" i="7"/>
  <c r="I176" i="7"/>
  <c r="I175" i="7"/>
  <c r="I174" i="7"/>
  <c r="I173" i="7"/>
  <c r="I172" i="7"/>
  <c r="G172" i="7"/>
  <c r="G173" i="7" s="1"/>
  <c r="G174" i="7" s="1"/>
  <c r="G175" i="7" s="1"/>
  <c r="G176" i="7" s="1"/>
  <c r="G177" i="7" s="1"/>
  <c r="G178" i="7" s="1"/>
  <c r="G179" i="7" s="1"/>
  <c r="G180" i="7" s="1"/>
  <c r="G181" i="7" s="1"/>
  <c r="G182" i="7" s="1"/>
  <c r="G183" i="7" s="1"/>
  <c r="G184" i="7" s="1"/>
  <c r="G185" i="7" s="1"/>
  <c r="G186" i="7" s="1"/>
  <c r="G187" i="7" s="1"/>
  <c r="G188" i="7" s="1"/>
  <c r="Q171" i="7"/>
  <c r="M172" i="7" s="1"/>
  <c r="P171" i="7"/>
  <c r="O171" i="7"/>
  <c r="N171" i="7"/>
  <c r="I171" i="7"/>
  <c r="Q153" i="7"/>
  <c r="M154" i="7" s="1"/>
  <c r="P153" i="7"/>
  <c r="O153" i="7"/>
  <c r="N153" i="7"/>
  <c r="I170" i="7"/>
  <c r="I169" i="7"/>
  <c r="I168" i="7"/>
  <c r="I167" i="7"/>
  <c r="I166" i="7"/>
  <c r="I165" i="7"/>
  <c r="I164" i="7"/>
  <c r="I163" i="7"/>
  <c r="I162" i="7"/>
  <c r="I161" i="7"/>
  <c r="I160" i="7"/>
  <c r="I159" i="7"/>
  <c r="I158" i="7"/>
  <c r="I157" i="7"/>
  <c r="I156" i="7"/>
  <c r="I155" i="7"/>
  <c r="I154" i="7"/>
  <c r="G154" i="7"/>
  <c r="G155" i="7" s="1"/>
  <c r="G156" i="7" s="1"/>
  <c r="G157" i="7" s="1"/>
  <c r="G158" i="7" s="1"/>
  <c r="G159" i="7" s="1"/>
  <c r="G160" i="7" s="1"/>
  <c r="G161" i="7" s="1"/>
  <c r="G162" i="7" s="1"/>
  <c r="G163" i="7" s="1"/>
  <c r="G164" i="7" s="1"/>
  <c r="G165" i="7" s="1"/>
  <c r="G166" i="7" s="1"/>
  <c r="G167" i="7" s="1"/>
  <c r="G168" i="7" s="1"/>
  <c r="G169" i="7" s="1"/>
  <c r="G170" i="7" s="1"/>
  <c r="I153" i="7"/>
  <c r="I135" i="7"/>
  <c r="U135" i="7" s="1"/>
  <c r="I136" i="7"/>
  <c r="U136" i="7" s="1"/>
  <c r="I137" i="7"/>
  <c r="U137" i="7" s="1"/>
  <c r="I138" i="7"/>
  <c r="U138" i="7" s="1"/>
  <c r="I139" i="7"/>
  <c r="U139" i="7" s="1"/>
  <c r="I140" i="7"/>
  <c r="U140" i="7" s="1"/>
  <c r="I141" i="7"/>
  <c r="U141" i="7" s="1"/>
  <c r="I142" i="7"/>
  <c r="U142" i="7" s="1"/>
  <c r="I143" i="7"/>
  <c r="U143" i="7" s="1"/>
  <c r="I144" i="7"/>
  <c r="U144" i="7" s="1"/>
  <c r="I145" i="7"/>
  <c r="U145" i="7" s="1"/>
  <c r="I146" i="7"/>
  <c r="U146" i="7" s="1"/>
  <c r="I147" i="7"/>
  <c r="U147" i="7" s="1"/>
  <c r="I148" i="7"/>
  <c r="U148" i="7" s="1"/>
  <c r="I149" i="7"/>
  <c r="U149" i="7" s="1"/>
  <c r="I150" i="7"/>
  <c r="U150" i="7" s="1"/>
  <c r="I151" i="7"/>
  <c r="U151" i="7" s="1"/>
  <c r="I152" i="7"/>
  <c r="U152" i="7" s="1"/>
  <c r="G136" i="7"/>
  <c r="G137" i="7" s="1"/>
  <c r="G138" i="7" s="1"/>
  <c r="G139" i="7" s="1"/>
  <c r="G140" i="7" s="1"/>
  <c r="G141" i="7" s="1"/>
  <c r="G142" i="7" s="1"/>
  <c r="G143" i="7" s="1"/>
  <c r="G144" i="7" s="1"/>
  <c r="G145" i="7" s="1"/>
  <c r="G146" i="7" s="1"/>
  <c r="G147" i="7" s="1"/>
  <c r="G148" i="7" s="1"/>
  <c r="G149" i="7" s="1"/>
  <c r="G150" i="7" s="1"/>
  <c r="G151" i="7" s="1"/>
  <c r="G152" i="7" s="1"/>
  <c r="F136" i="7"/>
  <c r="F137" i="7" s="1"/>
  <c r="F138" i="7" s="1"/>
  <c r="F139" i="7" s="1"/>
  <c r="F140" i="7" s="1"/>
  <c r="F141" i="7" s="1"/>
  <c r="F142" i="7" s="1"/>
  <c r="F143" i="7" s="1"/>
  <c r="F144" i="7" s="1"/>
  <c r="F145" i="7" s="1"/>
  <c r="F146" i="7" s="1"/>
  <c r="F147" i="7" s="1"/>
  <c r="F148" i="7" s="1"/>
  <c r="F149" i="7" s="1"/>
  <c r="F150" i="7" s="1"/>
  <c r="F151" i="7" s="1"/>
  <c r="F152" i="7" s="1"/>
  <c r="F153" i="7" s="1"/>
  <c r="F154" i="7" s="1"/>
  <c r="F155" i="7" s="1"/>
  <c r="F156" i="7" s="1"/>
  <c r="F157" i="7" s="1"/>
  <c r="F158" i="7" s="1"/>
  <c r="F159" i="7" s="1"/>
  <c r="F160" i="7" s="1"/>
  <c r="F161" i="7" s="1"/>
  <c r="F162" i="7" s="1"/>
  <c r="F163" i="7" s="1"/>
  <c r="F164" i="7" s="1"/>
  <c r="F165" i="7" s="1"/>
  <c r="F166" i="7" s="1"/>
  <c r="F167" i="7" s="1"/>
  <c r="F168" i="7" s="1"/>
  <c r="F169" i="7" s="1"/>
  <c r="F170" i="7" s="1"/>
  <c r="F171" i="7" s="1"/>
  <c r="F172" i="7" s="1"/>
  <c r="F173" i="7" s="1"/>
  <c r="F174" i="7" s="1"/>
  <c r="F175" i="7" s="1"/>
  <c r="F176" i="7" s="1"/>
  <c r="F177" i="7" s="1"/>
  <c r="F178" i="7" s="1"/>
  <c r="F179" i="7" s="1"/>
  <c r="F180" i="7" s="1"/>
  <c r="F181" i="7" s="1"/>
  <c r="F182" i="7" s="1"/>
  <c r="F183" i="7" s="1"/>
  <c r="F184" i="7" s="1"/>
  <c r="F185" i="7" s="1"/>
  <c r="F186" i="7" s="1"/>
  <c r="F187" i="7" s="1"/>
  <c r="F188" i="7" s="1"/>
  <c r="F189" i="7" s="1"/>
  <c r="F190" i="7" s="1"/>
  <c r="F191" i="7" s="1"/>
  <c r="F192" i="7" s="1"/>
  <c r="F193" i="7" s="1"/>
  <c r="F194" i="7" s="1"/>
  <c r="F195" i="7" s="1"/>
  <c r="F196" i="7" s="1"/>
  <c r="F197" i="7" s="1"/>
  <c r="F198" i="7" s="1"/>
  <c r="F199" i="7" s="1"/>
  <c r="F200" i="7" s="1"/>
  <c r="F201" i="7" s="1"/>
  <c r="F202" i="7" s="1"/>
  <c r="F203" i="7" s="1"/>
  <c r="F204" i="7" s="1"/>
  <c r="F205" i="7" s="1"/>
  <c r="F206" i="7" s="1"/>
  <c r="F207" i="7" s="1"/>
  <c r="F208" i="7" s="1"/>
  <c r="F209" i="7" s="1"/>
  <c r="F210" i="7" s="1"/>
  <c r="F211" i="7" s="1"/>
  <c r="F212" i="7" s="1"/>
  <c r="F213" i="7" s="1"/>
  <c r="F214" i="7" s="1"/>
  <c r="F215" i="7" s="1"/>
  <c r="F216" i="7" s="1"/>
  <c r="F217" i="7" s="1"/>
  <c r="F218" i="7" s="1"/>
  <c r="F219" i="7" s="1"/>
  <c r="F220" i="7" s="1"/>
  <c r="F221" i="7" s="1"/>
  <c r="F222" i="7" s="1"/>
  <c r="F223" i="7" s="1"/>
  <c r="F224" i="7" s="1"/>
  <c r="F225" i="7" s="1"/>
  <c r="F226" i="7" s="1"/>
  <c r="F227" i="7" s="1"/>
  <c r="F228" i="7" s="1"/>
  <c r="F229" i="7" s="1"/>
  <c r="F230" i="7" s="1"/>
  <c r="F231" i="7" s="1"/>
  <c r="F232" i="7" s="1"/>
  <c r="F233" i="7" s="1"/>
  <c r="F234" i="7" s="1"/>
  <c r="F235" i="7" s="1"/>
  <c r="F236" i="7" s="1"/>
  <c r="F237" i="7" s="1"/>
  <c r="F238" i="7" s="1"/>
  <c r="F239" i="7" s="1"/>
  <c r="F240" i="7" s="1"/>
  <c r="F241" i="7" s="1"/>
  <c r="F242" i="7" s="1"/>
  <c r="F243" i="7" s="1"/>
  <c r="F244" i="7" s="1"/>
  <c r="F245" i="7" s="1"/>
  <c r="F246" i="7" s="1"/>
  <c r="F247" i="7" s="1"/>
  <c r="F248" i="7" s="1"/>
  <c r="F249" i="7" s="1"/>
  <c r="F250" i="7" s="1"/>
  <c r="F251" i="7" s="1"/>
  <c r="F252" i="7" s="1"/>
  <c r="F253" i="7" s="1"/>
  <c r="F254" i="7" s="1"/>
  <c r="F255" i="7" s="1"/>
  <c r="F256" i="7" s="1"/>
  <c r="F257" i="7" s="1"/>
  <c r="F258" i="7" s="1"/>
  <c r="F259" i="7" s="1"/>
  <c r="F260" i="7" s="1"/>
  <c r="F261" i="7" s="1"/>
  <c r="L79" i="7"/>
  <c r="I78" i="7"/>
  <c r="I76" i="7"/>
  <c r="I77" i="7"/>
  <c r="L15" i="7"/>
  <c r="AW14" i="7" s="1"/>
  <c r="L14" i="7"/>
  <c r="AW13" i="7" s="1"/>
  <c r="L78" i="7"/>
  <c r="L373" i="7" s="1"/>
  <c r="L77" i="7"/>
  <c r="L372" i="7" s="1"/>
  <c r="L76" i="7"/>
  <c r="L370" i="7" s="1"/>
  <c r="L75" i="7"/>
  <c r="L369" i="7" s="1"/>
  <c r="L74" i="7"/>
  <c r="L367" i="7" s="1"/>
  <c r="L73" i="7"/>
  <c r="L364" i="7" s="1"/>
  <c r="L72" i="7"/>
  <c r="L362" i="7" s="1"/>
  <c r="F86" i="7"/>
  <c r="F87" i="7" s="1"/>
  <c r="F88" i="7" s="1"/>
  <c r="F109" i="7"/>
  <c r="I75" i="7"/>
  <c r="I74" i="7"/>
  <c r="I73" i="7"/>
  <c r="I72" i="7"/>
  <c r="F38" i="7"/>
  <c r="F39" i="7" s="1"/>
  <c r="F40" i="7" s="1"/>
  <c r="F41" i="7" s="1"/>
  <c r="F42" i="7" s="1"/>
  <c r="F43" i="7" s="1"/>
  <c r="F44" i="7" s="1"/>
  <c r="F45" i="7" s="1"/>
  <c r="F46" i="7" s="1"/>
  <c r="F47" i="7" s="1"/>
  <c r="F48" i="7" s="1"/>
  <c r="F49" i="7" s="1"/>
  <c r="F50" i="7" s="1"/>
  <c r="F51" i="7" s="1"/>
  <c r="F52" i="7" s="1"/>
  <c r="F53" i="7" s="1"/>
  <c r="F54" i="7" s="1"/>
  <c r="F55" i="7" s="1"/>
  <c r="F56" i="7" s="1"/>
  <c r="F57" i="7" s="1"/>
  <c r="F58" i="7" s="1"/>
  <c r="F59" i="7" s="1"/>
  <c r="L71" i="7"/>
  <c r="L360" i="7" s="1"/>
  <c r="G85" i="7"/>
  <c r="I71" i="7"/>
  <c r="G129" i="7"/>
  <c r="L124" i="7"/>
  <c r="L125" i="7"/>
  <c r="H430" i="7" s="1"/>
  <c r="L123" i="7"/>
  <c r="G123" i="7"/>
  <c r="G124" i="7"/>
  <c r="G125" i="7"/>
  <c r="G126" i="7"/>
  <c r="G127" i="7"/>
  <c r="G128" i="7"/>
  <c r="G122" i="7"/>
  <c r="H32" i="7"/>
  <c r="AS31" i="7" s="1"/>
  <c r="H31" i="7"/>
  <c r="AS30" i="7" s="1"/>
  <c r="H27" i="7"/>
  <c r="AS26" i="7" s="1"/>
  <c r="H28" i="7"/>
  <c r="AS27" i="7" s="1"/>
  <c r="H29" i="7"/>
  <c r="AS28" i="7" s="1"/>
  <c r="H30" i="7"/>
  <c r="AS29" i="7" s="1"/>
  <c r="H26" i="7"/>
  <c r="AS25" i="7" s="1"/>
  <c r="I21" i="7"/>
  <c r="I22" i="7"/>
  <c r="I20" i="7"/>
  <c r="F21" i="7"/>
  <c r="AH21" i="7" s="1"/>
  <c r="F20" i="7"/>
  <c r="AH20" i="7" s="1"/>
  <c r="H12" i="10"/>
  <c r="G12" i="10"/>
  <c r="H11" i="10"/>
  <c r="G11" i="10"/>
  <c r="H10" i="10"/>
  <c r="G10" i="10"/>
  <c r="H9" i="10"/>
  <c r="G9" i="10"/>
  <c r="H8" i="10"/>
  <c r="G8" i="10"/>
  <c r="H7" i="10"/>
  <c r="G7" i="10"/>
  <c r="H6" i="10"/>
  <c r="G6" i="10"/>
  <c r="H5" i="10"/>
  <c r="G5" i="10"/>
  <c r="H4" i="10"/>
  <c r="G4" i="10"/>
  <c r="H3" i="10"/>
  <c r="G3" i="10"/>
  <c r="H4" i="5"/>
  <c r="H5" i="5"/>
  <c r="H6" i="5"/>
  <c r="H7" i="5"/>
  <c r="H8" i="5"/>
  <c r="H9" i="5"/>
  <c r="H10" i="5"/>
  <c r="H11" i="5"/>
  <c r="H12" i="5"/>
  <c r="H3" i="5"/>
  <c r="L13" i="7"/>
  <c r="AW12" i="7" s="1"/>
  <c r="L12" i="7"/>
  <c r="AW11" i="7" s="1"/>
  <c r="L11" i="7"/>
  <c r="AW10" i="7" s="1"/>
  <c r="BC10" i="7" s="1"/>
  <c r="L10" i="7"/>
  <c r="AW9" i="7" s="1"/>
  <c r="L9" i="7"/>
  <c r="AW8" i="7" s="1"/>
  <c r="L8" i="7"/>
  <c r="AW7" i="7" s="1"/>
  <c r="L7" i="7"/>
  <c r="AW6" i="7" s="1"/>
  <c r="L6" i="7"/>
  <c r="AW5" i="7" s="1"/>
  <c r="L5" i="7"/>
  <c r="AW4" i="7" s="1"/>
  <c r="L4" i="7"/>
  <c r="AW3" i="7" s="1"/>
  <c r="G4" i="5"/>
  <c r="G5" i="5"/>
  <c r="G6" i="5"/>
  <c r="G7" i="5"/>
  <c r="G8" i="5"/>
  <c r="G9" i="5"/>
  <c r="G10" i="5"/>
  <c r="G11" i="5"/>
  <c r="G12" i="5"/>
  <c r="G3" i="5"/>
  <c r="A74" i="6"/>
  <c r="A99" i="6"/>
  <c r="A91" i="6"/>
  <c r="A15" i="6"/>
  <c r="A59" i="6"/>
  <c r="A131" i="6"/>
  <c r="A126" i="6"/>
  <c r="A117" i="6"/>
  <c r="A109" i="6"/>
  <c r="A84" i="6"/>
  <c r="A68" i="6"/>
  <c r="A49" i="6"/>
  <c r="A34" i="6"/>
  <c r="A22" i="6"/>
  <c r="A2" i="6"/>
  <c r="BU254" i="11" l="1"/>
  <c r="BU252" i="11"/>
  <c r="BU253" i="11"/>
  <c r="AO355" i="11"/>
  <c r="I372" i="11"/>
  <c r="AK372" i="11" s="1"/>
  <c r="U409" i="11"/>
  <c r="U392" i="11"/>
  <c r="U375" i="11"/>
  <c r="AQ375" i="11" s="1"/>
  <c r="U268" i="11"/>
  <c r="U135" i="11"/>
  <c r="I283" i="11"/>
  <c r="AM283" i="11" s="1"/>
  <c r="AY283" i="11" s="1"/>
  <c r="CC74" i="11"/>
  <c r="AW74" i="11" s="1"/>
  <c r="I311" i="11"/>
  <c r="AM311" i="11" s="1"/>
  <c r="AY311" i="11" s="1"/>
  <c r="O185" i="11"/>
  <c r="K266" i="11"/>
  <c r="I321" i="11"/>
  <c r="AM321" i="11" s="1"/>
  <c r="AY321" i="11" s="1"/>
  <c r="I322" i="11"/>
  <c r="AM322" i="11" s="1"/>
  <c r="AY322" i="11" s="1"/>
  <c r="I320" i="11"/>
  <c r="AM320" i="11" s="1"/>
  <c r="AY320" i="11" s="1"/>
  <c r="I323" i="11"/>
  <c r="AM323" i="11" s="1"/>
  <c r="AY323" i="11" s="1"/>
  <c r="N185" i="11"/>
  <c r="S150" i="11"/>
  <c r="F376" i="11"/>
  <c r="F377" i="11" s="1"/>
  <c r="F378" i="11" s="1"/>
  <c r="S375" i="11"/>
  <c r="I284" i="11"/>
  <c r="AM284" i="11" s="1"/>
  <c r="AY284" i="11" s="1"/>
  <c r="K411" i="11"/>
  <c r="L410" i="11"/>
  <c r="M286" i="11"/>
  <c r="I285" i="11"/>
  <c r="AM285" i="11" s="1"/>
  <c r="AY285" i="11" s="1"/>
  <c r="F108" i="11"/>
  <c r="CC68" i="11"/>
  <c r="AW68" i="11" s="1"/>
  <c r="M293" i="11"/>
  <c r="I292" i="11"/>
  <c r="AM292" i="11" s="1"/>
  <c r="AY292" i="11" s="1"/>
  <c r="AQ67" i="11"/>
  <c r="F360" i="11"/>
  <c r="F268" i="11"/>
  <c r="S167" i="11"/>
  <c r="S409" i="11"/>
  <c r="F410" i="11"/>
  <c r="F430" i="11"/>
  <c r="S372" i="11"/>
  <c r="H355" i="11"/>
  <c r="AQ355" i="11" s="1"/>
  <c r="Q151" i="11"/>
  <c r="M152" i="11" s="1"/>
  <c r="P151" i="11"/>
  <c r="O151" i="11"/>
  <c r="N151" i="11"/>
  <c r="O168" i="11"/>
  <c r="N168" i="11"/>
  <c r="Q168" i="11"/>
  <c r="M169" i="11" s="1"/>
  <c r="P168" i="11"/>
  <c r="F35" i="11"/>
  <c r="S221" i="11"/>
  <c r="I355" i="11"/>
  <c r="R245" i="11"/>
  <c r="S185" i="11"/>
  <c r="M331" i="11"/>
  <c r="I330" i="11"/>
  <c r="AM330" i="11" s="1"/>
  <c r="AY330" i="11" s="1"/>
  <c r="I310" i="11"/>
  <c r="AM310" i="11" s="1"/>
  <c r="AY310" i="11" s="1"/>
  <c r="Q204" i="11"/>
  <c r="M205" i="11" s="1"/>
  <c r="N204" i="11"/>
  <c r="S204" i="11" s="1"/>
  <c r="P204" i="11"/>
  <c r="O204" i="11"/>
  <c r="Q186" i="11"/>
  <c r="M187" i="11" s="1"/>
  <c r="O186" i="11"/>
  <c r="P186" i="11"/>
  <c r="N186" i="11"/>
  <c r="Q222" i="11"/>
  <c r="M223" i="11" s="1"/>
  <c r="N222" i="11"/>
  <c r="S222" i="11" s="1"/>
  <c r="P222" i="11"/>
  <c r="O222" i="11"/>
  <c r="F415" i="11"/>
  <c r="F425" i="11"/>
  <c r="I329" i="11"/>
  <c r="AM329" i="11" s="1"/>
  <c r="AY329" i="11" s="1"/>
  <c r="S203" i="11"/>
  <c r="F392" i="11"/>
  <c r="S391" i="11"/>
  <c r="F84" i="11"/>
  <c r="BQ136" i="7"/>
  <c r="CC77" i="7"/>
  <c r="BA77" i="7" s="1"/>
  <c r="CC79" i="7"/>
  <c r="BA79" i="7" s="1"/>
  <c r="M30" i="7"/>
  <c r="BC28" i="7"/>
  <c r="BC3" i="7"/>
  <c r="AL21" i="7"/>
  <c r="H415" i="7"/>
  <c r="H416" i="7"/>
  <c r="BC4" i="7"/>
  <c r="BC13" i="7"/>
  <c r="AL20" i="7"/>
  <c r="BC11" i="7"/>
  <c r="BC9" i="7"/>
  <c r="BC7" i="7"/>
  <c r="BC5" i="7"/>
  <c r="BC6" i="7"/>
  <c r="BC8" i="7"/>
  <c r="H432" i="7"/>
  <c r="H433" i="7"/>
  <c r="S433" i="7" s="1"/>
  <c r="BG28" i="7"/>
  <c r="BG26" i="7"/>
  <c r="BC14" i="7"/>
  <c r="BC12" i="7"/>
  <c r="BG27" i="7"/>
  <c r="BG25" i="7"/>
  <c r="F8" i="7"/>
  <c r="S411" i="7"/>
  <c r="H417" i="7"/>
  <c r="S417" i="7" s="1"/>
  <c r="H418" i="7"/>
  <c r="H434" i="7"/>
  <c r="H435" i="7"/>
  <c r="H413" i="7"/>
  <c r="H412" i="7"/>
  <c r="H414" i="7"/>
  <c r="H419" i="7"/>
  <c r="S419" i="7" s="1"/>
  <c r="H421" i="7"/>
  <c r="H428" i="7"/>
  <c r="S428" i="7" s="1"/>
  <c r="H429" i="7"/>
  <c r="H431" i="7"/>
  <c r="S431" i="7" s="1"/>
  <c r="H420" i="7"/>
  <c r="S420" i="7" s="1"/>
  <c r="H436" i="7"/>
  <c r="S436" i="7" s="1"/>
  <c r="H422" i="7"/>
  <c r="S422" i="7" s="1"/>
  <c r="H423" i="7"/>
  <c r="S423" i="7" s="1"/>
  <c r="H424" i="7"/>
  <c r="H425" i="7"/>
  <c r="H426" i="7"/>
  <c r="S426" i="7" s="1"/>
  <c r="H427" i="7"/>
  <c r="S427" i="7" s="1"/>
  <c r="K438" i="7"/>
  <c r="S437" i="7"/>
  <c r="F443" i="7"/>
  <c r="S416" i="7"/>
  <c r="S421" i="7"/>
  <c r="F439" i="7"/>
  <c r="F434" i="7"/>
  <c r="S432" i="7"/>
  <c r="F429" i="7"/>
  <c r="F424" i="7"/>
  <c r="I354" i="7"/>
  <c r="I353" i="7"/>
  <c r="K353" i="7"/>
  <c r="K354" i="7"/>
  <c r="I343" i="7"/>
  <c r="I344" i="7"/>
  <c r="I349" i="7"/>
  <c r="I350" i="7"/>
  <c r="I345" i="7"/>
  <c r="I347" i="7"/>
  <c r="M352" i="7"/>
  <c r="I351" i="7"/>
  <c r="I346" i="7"/>
  <c r="I348" i="7"/>
  <c r="I342" i="7"/>
  <c r="K342" i="7"/>
  <c r="I331" i="7"/>
  <c r="I332" i="7"/>
  <c r="K343" i="7"/>
  <c r="K344" i="7" s="1"/>
  <c r="K345" i="7" s="1"/>
  <c r="K346" i="7" s="1"/>
  <c r="K347" i="7" s="1"/>
  <c r="K348" i="7" s="1"/>
  <c r="K349" i="7" s="1"/>
  <c r="K350" i="7" s="1"/>
  <c r="K351" i="7" s="1"/>
  <c r="K352" i="7" s="1"/>
  <c r="I334" i="7"/>
  <c r="I337" i="7"/>
  <c r="I336" i="7"/>
  <c r="I333" i="7"/>
  <c r="I340" i="7"/>
  <c r="I335" i="7"/>
  <c r="I338" i="7"/>
  <c r="I339" i="7"/>
  <c r="I341" i="7"/>
  <c r="I318" i="7"/>
  <c r="I330" i="7"/>
  <c r="K330" i="7"/>
  <c r="I306" i="7"/>
  <c r="I319" i="7"/>
  <c r="I320" i="7"/>
  <c r="K331" i="7"/>
  <c r="K332" i="7" s="1"/>
  <c r="K333" i="7" s="1"/>
  <c r="K334" i="7" s="1"/>
  <c r="K335" i="7" s="1"/>
  <c r="K336" i="7" s="1"/>
  <c r="K337" i="7" s="1"/>
  <c r="K338" i="7" s="1"/>
  <c r="K339" i="7" s="1"/>
  <c r="K340" i="7" s="1"/>
  <c r="K341" i="7"/>
  <c r="I327" i="7"/>
  <c r="I321" i="7"/>
  <c r="I322" i="7"/>
  <c r="I323" i="7"/>
  <c r="I324" i="7"/>
  <c r="I326" i="7"/>
  <c r="I328" i="7"/>
  <c r="I325" i="7"/>
  <c r="I329" i="7"/>
  <c r="K282" i="7"/>
  <c r="K318" i="7"/>
  <c r="I295" i="7"/>
  <c r="I308" i="7"/>
  <c r="K319" i="7"/>
  <c r="K320" i="7" s="1"/>
  <c r="K321" i="7" s="1"/>
  <c r="K322" i="7" s="1"/>
  <c r="K323" i="7" s="1"/>
  <c r="K324" i="7" s="1"/>
  <c r="K325" i="7" s="1"/>
  <c r="K326" i="7" s="1"/>
  <c r="K327" i="7" s="1"/>
  <c r="K328" i="7" s="1"/>
  <c r="K329" i="7"/>
  <c r="M310" i="7"/>
  <c r="M311" i="7" s="1"/>
  <c r="M312" i="7" s="1"/>
  <c r="M313" i="7" s="1"/>
  <c r="M314" i="7" s="1"/>
  <c r="M315" i="7" s="1"/>
  <c r="M316" i="7" s="1"/>
  <c r="M317" i="7" s="1"/>
  <c r="I317" i="7" s="1"/>
  <c r="I309" i="7"/>
  <c r="K306" i="7"/>
  <c r="I296" i="7"/>
  <c r="I307" i="7"/>
  <c r="K307" i="7"/>
  <c r="K308" i="7" s="1"/>
  <c r="K309" i="7" s="1"/>
  <c r="K310" i="7" s="1"/>
  <c r="K311" i="7" s="1"/>
  <c r="K312" i="7" s="1"/>
  <c r="K313" i="7" s="1"/>
  <c r="K314" i="7" s="1"/>
  <c r="K315" i="7" s="1"/>
  <c r="K316" i="7" s="1"/>
  <c r="K317" i="7"/>
  <c r="I299" i="7"/>
  <c r="I297" i="7"/>
  <c r="I301" i="7"/>
  <c r="I302" i="7"/>
  <c r="I300" i="7"/>
  <c r="I303" i="7"/>
  <c r="I298" i="7"/>
  <c r="I304" i="7"/>
  <c r="I305" i="7"/>
  <c r="I294" i="7"/>
  <c r="U171" i="7"/>
  <c r="K294" i="7"/>
  <c r="K295" i="7"/>
  <c r="K296" i="7" s="1"/>
  <c r="K297" i="7" s="1"/>
  <c r="K298" i="7" s="1"/>
  <c r="K299" i="7" s="1"/>
  <c r="K300" i="7" s="1"/>
  <c r="K301" i="7" s="1"/>
  <c r="K302" i="7" s="1"/>
  <c r="K303" i="7" s="1"/>
  <c r="K304" i="7" s="1"/>
  <c r="K305" i="7"/>
  <c r="S189" i="7"/>
  <c r="S406" i="7"/>
  <c r="U246" i="7"/>
  <c r="U255" i="7"/>
  <c r="L363" i="7"/>
  <c r="S71" i="7"/>
  <c r="S407" i="7"/>
  <c r="U249" i="7"/>
  <c r="U254" i="7"/>
  <c r="U153" i="7"/>
  <c r="I284" i="7"/>
  <c r="U257" i="7"/>
  <c r="S404" i="7"/>
  <c r="U258" i="7"/>
  <c r="S412" i="7"/>
  <c r="U259" i="7"/>
  <c r="U207" i="7"/>
  <c r="U261" i="7"/>
  <c r="S386" i="7"/>
  <c r="L361" i="7"/>
  <c r="U247" i="7"/>
  <c r="L368" i="7"/>
  <c r="U250" i="7"/>
  <c r="U251" i="7"/>
  <c r="S402" i="7"/>
  <c r="I282" i="7"/>
  <c r="U225" i="7"/>
  <c r="S399" i="7"/>
  <c r="U189" i="7"/>
  <c r="U253" i="7"/>
  <c r="S394" i="7"/>
  <c r="I289" i="7"/>
  <c r="I291" i="7"/>
  <c r="I292" i="7"/>
  <c r="I290" i="7"/>
  <c r="I285" i="7"/>
  <c r="I286" i="7"/>
  <c r="I287" i="7"/>
  <c r="I293" i="7"/>
  <c r="I288" i="7"/>
  <c r="F414" i="7"/>
  <c r="S413" i="7"/>
  <c r="U248" i="7"/>
  <c r="L366" i="7"/>
  <c r="S388" i="7"/>
  <c r="S401" i="7"/>
  <c r="L365" i="7"/>
  <c r="S387" i="7"/>
  <c r="S400" i="7"/>
  <c r="I283" i="7"/>
  <c r="S171" i="7"/>
  <c r="S384" i="7"/>
  <c r="S397" i="7"/>
  <c r="K283" i="7"/>
  <c r="K284" i="7" s="1"/>
  <c r="K285" i="7" s="1"/>
  <c r="K286" i="7" s="1"/>
  <c r="K287" i="7" s="1"/>
  <c r="K288" i="7" s="1"/>
  <c r="K289" i="7" s="1"/>
  <c r="K290" i="7" s="1"/>
  <c r="K291" i="7" s="1"/>
  <c r="K292" i="7" s="1"/>
  <c r="U260" i="7"/>
  <c r="S383" i="7"/>
  <c r="S396" i="7"/>
  <c r="S382" i="7"/>
  <c r="S395" i="7"/>
  <c r="U244" i="7"/>
  <c r="U256" i="7"/>
  <c r="S380" i="7"/>
  <c r="S379" i="7"/>
  <c r="S378" i="7"/>
  <c r="L371" i="7"/>
  <c r="U252" i="7"/>
  <c r="S405" i="7"/>
  <c r="S418" i="7"/>
  <c r="K293" i="7"/>
  <c r="S225" i="7"/>
  <c r="S153" i="7"/>
  <c r="S207" i="7"/>
  <c r="I360" i="7"/>
  <c r="I372" i="7"/>
  <c r="I369" i="7"/>
  <c r="I368" i="7"/>
  <c r="I362" i="7"/>
  <c r="I361" i="7"/>
  <c r="O122" i="7"/>
  <c r="O125" i="7"/>
  <c r="F364" i="7"/>
  <c r="G363" i="7"/>
  <c r="H363" i="7" s="1"/>
  <c r="I365" i="7"/>
  <c r="O124" i="7"/>
  <c r="I371" i="7"/>
  <c r="O123" i="7"/>
  <c r="I364" i="7"/>
  <c r="I370" i="7"/>
  <c r="I363" i="7"/>
  <c r="G362" i="7"/>
  <c r="H362" i="7" s="1"/>
  <c r="G361" i="7"/>
  <c r="H361" i="7" s="1"/>
  <c r="G360" i="7"/>
  <c r="I377" i="7" s="1"/>
  <c r="S377" i="7" s="1"/>
  <c r="O129" i="7"/>
  <c r="I373" i="7"/>
  <c r="O128" i="7"/>
  <c r="I367" i="7"/>
  <c r="O127" i="7"/>
  <c r="I366" i="7"/>
  <c r="O126" i="7"/>
  <c r="I278" i="7"/>
  <c r="S278" i="7" s="1"/>
  <c r="I277" i="7"/>
  <c r="S277" i="7" s="1"/>
  <c r="K281" i="7"/>
  <c r="K271" i="7"/>
  <c r="I276" i="7"/>
  <c r="S276" i="7" s="1"/>
  <c r="I275" i="7"/>
  <c r="S275" i="7" s="1"/>
  <c r="I274" i="7"/>
  <c r="S274" i="7" s="1"/>
  <c r="I273" i="7"/>
  <c r="S273" i="7" s="1"/>
  <c r="I272" i="7"/>
  <c r="S272" i="7" s="1"/>
  <c r="I281" i="7"/>
  <c r="I279" i="7"/>
  <c r="S279" i="7" s="1"/>
  <c r="I270" i="7"/>
  <c r="S270" i="7" s="1"/>
  <c r="I271" i="7"/>
  <c r="I280" i="7"/>
  <c r="S280" i="7" s="1"/>
  <c r="S79" i="7"/>
  <c r="S77" i="7"/>
  <c r="S78" i="7"/>
  <c r="S76" i="7"/>
  <c r="S75" i="7"/>
  <c r="S74" i="7"/>
  <c r="S73" i="7"/>
  <c r="S72" i="7"/>
  <c r="Q226" i="7"/>
  <c r="M227" i="7" s="1"/>
  <c r="P226" i="7"/>
  <c r="O226" i="7"/>
  <c r="N226" i="7"/>
  <c r="Q208" i="7"/>
  <c r="M209" i="7" s="1"/>
  <c r="P208" i="7"/>
  <c r="O208" i="7"/>
  <c r="N208" i="7"/>
  <c r="Q190" i="7"/>
  <c r="M191" i="7" s="1"/>
  <c r="P190" i="7"/>
  <c r="O190" i="7"/>
  <c r="N190" i="7"/>
  <c r="N154" i="7"/>
  <c r="O154" i="7"/>
  <c r="P154" i="7"/>
  <c r="Q154" i="7"/>
  <c r="M155" i="7" s="1"/>
  <c r="Q155" i="7" s="1"/>
  <c r="M156" i="7" s="1"/>
  <c r="Q172" i="7"/>
  <c r="M173" i="7" s="1"/>
  <c r="P172" i="7"/>
  <c r="O172" i="7"/>
  <c r="N172" i="7"/>
  <c r="G86" i="7"/>
  <c r="F89" i="7"/>
  <c r="G87" i="7"/>
  <c r="F110" i="7"/>
  <c r="BG355" i="11" l="1"/>
  <c r="U410" i="11"/>
  <c r="U393" i="11"/>
  <c r="U376" i="11"/>
  <c r="U269" i="11"/>
  <c r="U136" i="11"/>
  <c r="S377" i="11"/>
  <c r="M294" i="11"/>
  <c r="I293" i="11"/>
  <c r="AM293" i="11" s="1"/>
  <c r="AY293" i="11" s="1"/>
  <c r="F36" i="11"/>
  <c r="K278" i="11"/>
  <c r="K279" i="11" s="1"/>
  <c r="K280" i="11" s="1"/>
  <c r="K281" i="11" s="1"/>
  <c r="K282" i="11" s="1"/>
  <c r="K283" i="11" s="1"/>
  <c r="K284" i="11" s="1"/>
  <c r="K285" i="11" s="1"/>
  <c r="K286" i="11" s="1"/>
  <c r="K287" i="11" s="1"/>
  <c r="K289" i="11"/>
  <c r="G357" i="11"/>
  <c r="I357" i="11"/>
  <c r="I331" i="11"/>
  <c r="AM331" i="11" s="1"/>
  <c r="AY331" i="11" s="1"/>
  <c r="M332" i="11"/>
  <c r="F85" i="11"/>
  <c r="O152" i="11"/>
  <c r="P152" i="11" s="1"/>
  <c r="Q152" i="11" s="1"/>
  <c r="M153" i="11" s="1"/>
  <c r="N152" i="11"/>
  <c r="P223" i="11"/>
  <c r="N223" i="11"/>
  <c r="Q223" i="11"/>
  <c r="M224" i="11" s="1"/>
  <c r="O223" i="11"/>
  <c r="S186" i="11"/>
  <c r="S410" i="11"/>
  <c r="O169" i="11"/>
  <c r="Q169" i="11"/>
  <c r="M170" i="11" s="1"/>
  <c r="P169" i="11"/>
  <c r="N169" i="11"/>
  <c r="S169" i="11" s="1"/>
  <c r="R246" i="11"/>
  <c r="S168" i="11"/>
  <c r="F109" i="11"/>
  <c r="F393" i="11"/>
  <c r="S392" i="11"/>
  <c r="P187" i="11"/>
  <c r="Q187" i="11"/>
  <c r="M188" i="11" s="1"/>
  <c r="O187" i="11"/>
  <c r="N187" i="11"/>
  <c r="S187" i="11" s="1"/>
  <c r="F269" i="11"/>
  <c r="M287" i="11"/>
  <c r="I286" i="11"/>
  <c r="AM286" i="11" s="1"/>
  <c r="AY286" i="11" s="1"/>
  <c r="K412" i="11"/>
  <c r="L411" i="11"/>
  <c r="S411" i="11" s="1"/>
  <c r="F379" i="11"/>
  <c r="S378" i="11"/>
  <c r="S151" i="11"/>
  <c r="Q205" i="11"/>
  <c r="M206" i="11" s="1"/>
  <c r="P205" i="11"/>
  <c r="O205" i="11"/>
  <c r="N205" i="11"/>
  <c r="F361" i="11"/>
  <c r="BC29" i="7"/>
  <c r="BG29" i="7" s="1"/>
  <c r="M31" i="7"/>
  <c r="F9" i="7"/>
  <c r="F22" i="7" s="1"/>
  <c r="AH22" i="7" s="1"/>
  <c r="AL22" i="7" s="1"/>
  <c r="K439" i="7"/>
  <c r="K440" i="7" s="1"/>
  <c r="H440" i="7" s="1"/>
  <c r="H438" i="7"/>
  <c r="S438" i="7" s="1"/>
  <c r="S332" i="7"/>
  <c r="S285" i="7"/>
  <c r="S320" i="7"/>
  <c r="S344" i="7"/>
  <c r="F435" i="7"/>
  <c r="S435" i="7" s="1"/>
  <c r="S434" i="7"/>
  <c r="S284" i="7"/>
  <c r="F430" i="7"/>
  <c r="S430" i="7" s="1"/>
  <c r="S429" i="7"/>
  <c r="S296" i="7"/>
  <c r="F425" i="7"/>
  <c r="S425" i="7" s="1"/>
  <c r="S424" i="7"/>
  <c r="S298" i="7"/>
  <c r="S308" i="7"/>
  <c r="S297" i="7"/>
  <c r="S331" i="7"/>
  <c r="S190" i="7"/>
  <c r="S354" i="7"/>
  <c r="S353" i="7"/>
  <c r="S343" i="7"/>
  <c r="S342" i="7"/>
  <c r="S319" i="7"/>
  <c r="S345" i="7"/>
  <c r="I352" i="7"/>
  <c r="S330" i="7"/>
  <c r="I310" i="7"/>
  <c r="S333" i="7"/>
  <c r="S306" i="7"/>
  <c r="S295" i="7"/>
  <c r="S318" i="7"/>
  <c r="S294" i="7"/>
  <c r="S307" i="7"/>
  <c r="S282" i="7"/>
  <c r="S321" i="7"/>
  <c r="I316" i="7"/>
  <c r="I313" i="7"/>
  <c r="I312" i="7"/>
  <c r="I311" i="7"/>
  <c r="I315" i="7"/>
  <c r="I314" i="7"/>
  <c r="S309" i="7"/>
  <c r="U172" i="7"/>
  <c r="U226" i="7"/>
  <c r="S281" i="7"/>
  <c r="S299" i="7"/>
  <c r="S154" i="7"/>
  <c r="S283" i="7"/>
  <c r="S208" i="7"/>
  <c r="U208" i="7"/>
  <c r="S363" i="7"/>
  <c r="S362" i="7"/>
  <c r="S286" i="7"/>
  <c r="U190" i="7"/>
  <c r="F415" i="7"/>
  <c r="S415" i="7" s="1"/>
  <c r="S414" i="7"/>
  <c r="S271" i="7"/>
  <c r="S361" i="7"/>
  <c r="U154" i="7"/>
  <c r="S172" i="7"/>
  <c r="S226" i="7"/>
  <c r="F365" i="7"/>
  <c r="G365" i="7" s="1"/>
  <c r="H365" i="7" s="1"/>
  <c r="I393" i="7"/>
  <c r="S393" i="7" s="1"/>
  <c r="G364" i="7"/>
  <c r="H360" i="7"/>
  <c r="S360" i="7" s="1"/>
  <c r="Q227" i="7"/>
  <c r="M228" i="7" s="1"/>
  <c r="P227" i="7"/>
  <c r="O227" i="7"/>
  <c r="N227" i="7"/>
  <c r="O155" i="7"/>
  <c r="Q209" i="7"/>
  <c r="M210" i="7" s="1"/>
  <c r="P209" i="7"/>
  <c r="O209" i="7"/>
  <c r="N209" i="7"/>
  <c r="Q191" i="7"/>
  <c r="M192" i="7" s="1"/>
  <c r="P191" i="7"/>
  <c r="O191" i="7"/>
  <c r="N191" i="7"/>
  <c r="Q173" i="7"/>
  <c r="M174" i="7" s="1"/>
  <c r="P173" i="7"/>
  <c r="O173" i="7"/>
  <c r="N173" i="7"/>
  <c r="P155" i="7"/>
  <c r="N155" i="7"/>
  <c r="Q156" i="7"/>
  <c r="M157" i="7" s="1"/>
  <c r="N156" i="7"/>
  <c r="P156" i="7"/>
  <c r="O156" i="7"/>
  <c r="F90" i="7"/>
  <c r="F111" i="7"/>
  <c r="AO357" i="11" l="1"/>
  <c r="I388" i="11"/>
  <c r="AM388" i="11" s="1"/>
  <c r="U411" i="11"/>
  <c r="U394" i="11"/>
  <c r="U377" i="11"/>
  <c r="AQ377" i="11" s="1"/>
  <c r="U270" i="11"/>
  <c r="U137" i="11"/>
  <c r="S205" i="11"/>
  <c r="R247" i="11"/>
  <c r="F270" i="11"/>
  <c r="O170" i="11"/>
  <c r="P170" i="11" s="1"/>
  <c r="Q170" i="11" s="1"/>
  <c r="M171" i="11" s="1"/>
  <c r="N170" i="11"/>
  <c r="S170" i="11" s="1"/>
  <c r="F86" i="11"/>
  <c r="O188" i="11"/>
  <c r="P188" i="11" s="1"/>
  <c r="Q188" i="11" s="1"/>
  <c r="M189" i="11" s="1"/>
  <c r="N188" i="11"/>
  <c r="S188" i="11" s="1"/>
  <c r="N206" i="11"/>
  <c r="O206" i="11"/>
  <c r="P206" i="11" s="1"/>
  <c r="Q206" i="11" s="1"/>
  <c r="M207" i="11" s="1"/>
  <c r="M333" i="11"/>
  <c r="I332" i="11"/>
  <c r="AM332" i="11" s="1"/>
  <c r="AY332" i="11" s="1"/>
  <c r="M288" i="11"/>
  <c r="I288" i="11" s="1"/>
  <c r="AM288" i="11" s="1"/>
  <c r="AY288" i="11" s="1"/>
  <c r="I287" i="11"/>
  <c r="AM287" i="11" s="1"/>
  <c r="AY287" i="11" s="1"/>
  <c r="N153" i="11"/>
  <c r="F362" i="11"/>
  <c r="F380" i="11"/>
  <c r="S379" i="11"/>
  <c r="F394" i="11"/>
  <c r="F37" i="11"/>
  <c r="N224" i="11"/>
  <c r="O224" i="11"/>
  <c r="P224" i="11" s="1"/>
  <c r="Q224" i="11" s="1"/>
  <c r="M225" i="11" s="1"/>
  <c r="H357" i="11"/>
  <c r="AQ357" i="11" s="1"/>
  <c r="S388" i="11"/>
  <c r="AQ68" i="11"/>
  <c r="S223" i="11"/>
  <c r="M295" i="11"/>
  <c r="I294" i="11"/>
  <c r="AM294" i="11" s="1"/>
  <c r="AY294" i="11" s="1"/>
  <c r="K413" i="11"/>
  <c r="L412" i="11"/>
  <c r="S412" i="11" s="1"/>
  <c r="S152" i="11"/>
  <c r="M32" i="7"/>
  <c r="BC30" i="7"/>
  <c r="BG30" i="7" s="1"/>
  <c r="F10" i="7"/>
  <c r="H439" i="7"/>
  <c r="S439" i="7" s="1"/>
  <c r="S209" i="7"/>
  <c r="S346" i="7"/>
  <c r="S334" i="7"/>
  <c r="S156" i="7"/>
  <c r="S322" i="7"/>
  <c r="S310" i="7"/>
  <c r="S300" i="7"/>
  <c r="U156" i="7"/>
  <c r="U191" i="7"/>
  <c r="S155" i="7"/>
  <c r="U155" i="7"/>
  <c r="S287" i="7"/>
  <c r="S227" i="7"/>
  <c r="U227" i="7"/>
  <c r="U209" i="7"/>
  <c r="S365" i="7"/>
  <c r="S173" i="7"/>
  <c r="U173" i="7"/>
  <c r="S191" i="7"/>
  <c r="H364" i="7"/>
  <c r="S364" i="7" s="1"/>
  <c r="I398" i="7"/>
  <c r="S398" i="7" s="1"/>
  <c r="F366" i="7"/>
  <c r="P228" i="7"/>
  <c r="O228" i="7"/>
  <c r="N228" i="7"/>
  <c r="Q228" i="7"/>
  <c r="M229" i="7" s="1"/>
  <c r="Q210" i="7"/>
  <c r="M211" i="7" s="1"/>
  <c r="P210" i="7"/>
  <c r="O210" i="7"/>
  <c r="N210" i="7"/>
  <c r="Q192" i="7"/>
  <c r="M193" i="7" s="1"/>
  <c r="P192" i="7"/>
  <c r="O192" i="7"/>
  <c r="N192" i="7"/>
  <c r="N157" i="7"/>
  <c r="O157" i="7"/>
  <c r="P157" i="7" s="1"/>
  <c r="Q157" i="7" s="1"/>
  <c r="M158" i="7" s="1"/>
  <c r="Q174" i="7"/>
  <c r="M175" i="7" s="1"/>
  <c r="P174" i="7"/>
  <c r="O174" i="7"/>
  <c r="N174" i="7"/>
  <c r="F91" i="7"/>
  <c r="F112" i="7"/>
  <c r="U412" i="11" l="1"/>
  <c r="U395" i="11"/>
  <c r="U378" i="11"/>
  <c r="AQ378" i="11" s="1"/>
  <c r="U271" i="11"/>
  <c r="U138" i="11"/>
  <c r="N225" i="11"/>
  <c r="O153" i="11"/>
  <c r="F87" i="11"/>
  <c r="L413" i="11"/>
  <c r="S413" i="11" s="1"/>
  <c r="K414" i="11"/>
  <c r="F395" i="11"/>
  <c r="S394" i="11"/>
  <c r="M334" i="11"/>
  <c r="I333" i="11"/>
  <c r="AM333" i="11" s="1"/>
  <c r="AY333" i="11" s="1"/>
  <c r="N171" i="11"/>
  <c r="F363" i="11"/>
  <c r="I295" i="11"/>
  <c r="AM295" i="11" s="1"/>
  <c r="AY295" i="11" s="1"/>
  <c r="M296" i="11"/>
  <c r="F38" i="11"/>
  <c r="I359" i="11" s="1"/>
  <c r="AP35" i="11"/>
  <c r="G356" i="11"/>
  <c r="AO356" i="11" s="1"/>
  <c r="I356" i="11"/>
  <c r="K276" i="11"/>
  <c r="S224" i="11"/>
  <c r="N189" i="11"/>
  <c r="F381" i="11"/>
  <c r="N207" i="11"/>
  <c r="F271" i="11"/>
  <c r="S206" i="11"/>
  <c r="R248" i="11"/>
  <c r="BC31" i="7"/>
  <c r="BG31" i="7" s="1"/>
  <c r="M33" i="7"/>
  <c r="BC32" i="7" s="1"/>
  <c r="BG32" i="7" s="1"/>
  <c r="F11" i="7"/>
  <c r="S440" i="7"/>
  <c r="K441" i="7"/>
  <c r="H441" i="7" s="1"/>
  <c r="S347" i="7"/>
  <c r="S210" i="7"/>
  <c r="S335" i="7"/>
  <c r="S192" i="7"/>
  <c r="S323" i="7"/>
  <c r="U157" i="7"/>
  <c r="S311" i="7"/>
  <c r="S301" i="7"/>
  <c r="U228" i="7"/>
  <c r="U174" i="7"/>
  <c r="S174" i="7"/>
  <c r="U210" i="7"/>
  <c r="S288" i="7"/>
  <c r="N158" i="7"/>
  <c r="U192" i="7"/>
  <c r="S228" i="7"/>
  <c r="S157" i="7"/>
  <c r="F367" i="7"/>
  <c r="G366" i="7"/>
  <c r="O229" i="7"/>
  <c r="P229" i="7" s="1"/>
  <c r="Q229" i="7" s="1"/>
  <c r="M230" i="7" s="1"/>
  <c r="N229" i="7"/>
  <c r="O211" i="7"/>
  <c r="P211" i="7" s="1"/>
  <c r="Q211" i="7" s="1"/>
  <c r="M212" i="7" s="1"/>
  <c r="N211" i="7"/>
  <c r="O193" i="7"/>
  <c r="N193" i="7"/>
  <c r="O175" i="7"/>
  <c r="P175" i="7" s="1"/>
  <c r="Q175" i="7" s="1"/>
  <c r="M176" i="7" s="1"/>
  <c r="N175" i="7"/>
  <c r="F92" i="7"/>
  <c r="S92" i="7" s="1"/>
  <c r="F113" i="7"/>
  <c r="U413" i="11" l="1"/>
  <c r="U396" i="11"/>
  <c r="U379" i="11"/>
  <c r="AQ379" i="11" s="1"/>
  <c r="U272" i="11"/>
  <c r="U139" i="11"/>
  <c r="O171" i="11"/>
  <c r="F364" i="11"/>
  <c r="M335" i="11"/>
  <c r="I334" i="11"/>
  <c r="AM334" i="11" s="1"/>
  <c r="AY334" i="11" s="1"/>
  <c r="F396" i="11"/>
  <c r="S395" i="11"/>
  <c r="K415" i="11"/>
  <c r="L414" i="11"/>
  <c r="S414" i="11" s="1"/>
  <c r="F39" i="11"/>
  <c r="AP36" i="11"/>
  <c r="F88" i="11"/>
  <c r="S87" i="11"/>
  <c r="F382" i="11"/>
  <c r="S381" i="11"/>
  <c r="P153" i="11"/>
  <c r="Q153" i="11" s="1"/>
  <c r="M297" i="11"/>
  <c r="I296" i="11"/>
  <c r="AM296" i="11" s="1"/>
  <c r="AY296" i="11" s="1"/>
  <c r="F272" i="11"/>
  <c r="O207" i="11"/>
  <c r="P207" i="11" s="1"/>
  <c r="Q207" i="11" s="1"/>
  <c r="M208" i="11" s="1"/>
  <c r="G359" i="11"/>
  <c r="H356" i="11"/>
  <c r="AQ356" i="11" s="1"/>
  <c r="O189" i="11"/>
  <c r="K290" i="11"/>
  <c r="K291" i="11" s="1"/>
  <c r="K292" i="11" s="1"/>
  <c r="K293" i="11" s="1"/>
  <c r="K294" i="11" s="1"/>
  <c r="K295" i="11" s="1"/>
  <c r="K296" i="11" s="1"/>
  <c r="K297" i="11" s="1"/>
  <c r="K298" i="11" s="1"/>
  <c r="K299" i="11" s="1"/>
  <c r="R249" i="11"/>
  <c r="O225" i="11"/>
  <c r="F12" i="7"/>
  <c r="S441" i="7"/>
  <c r="K442" i="7"/>
  <c r="H442" i="7" s="1"/>
  <c r="U175" i="7"/>
  <c r="S348" i="7"/>
  <c r="S336" i="7"/>
  <c r="S324" i="7"/>
  <c r="U229" i="7"/>
  <c r="S312" i="7"/>
  <c r="S302" i="7"/>
  <c r="O158" i="7"/>
  <c r="P158" i="7" s="1"/>
  <c r="Q158" i="7" s="1"/>
  <c r="M159" i="7" s="1"/>
  <c r="N159" i="7" s="1"/>
  <c r="O159" i="7" s="1"/>
  <c r="U158" i="7"/>
  <c r="N176" i="7"/>
  <c r="O176" i="7" s="1"/>
  <c r="P176" i="7" s="1"/>
  <c r="Q176" i="7" s="1"/>
  <c r="M177" i="7" s="1"/>
  <c r="S211" i="7"/>
  <c r="S289" i="7"/>
  <c r="N212" i="7"/>
  <c r="O212" i="7" s="1"/>
  <c r="N230" i="7"/>
  <c r="O230" i="7" s="1"/>
  <c r="U211" i="7"/>
  <c r="S175" i="7"/>
  <c r="S229" i="7"/>
  <c r="H366" i="7"/>
  <c r="S366" i="7" s="1"/>
  <c r="I403" i="7"/>
  <c r="S403" i="7" s="1"/>
  <c r="F368" i="7"/>
  <c r="G367" i="7"/>
  <c r="H367" i="7" s="1"/>
  <c r="P193" i="7"/>
  <c r="Q193" i="7" s="1"/>
  <c r="M194" i="7" s="1"/>
  <c r="F93" i="7"/>
  <c r="S93" i="7" s="1"/>
  <c r="F114" i="7"/>
  <c r="AO359" i="11" l="1"/>
  <c r="I393" i="11"/>
  <c r="AM393" i="11" s="1"/>
  <c r="U414" i="11"/>
  <c r="U397" i="11"/>
  <c r="U380" i="11"/>
  <c r="U273" i="11"/>
  <c r="U140" i="11"/>
  <c r="H359" i="11"/>
  <c r="AQ359" i="11" s="1"/>
  <c r="S393" i="11"/>
  <c r="S88" i="11"/>
  <c r="F89" i="11"/>
  <c r="F397" i="11"/>
  <c r="S396" i="11"/>
  <c r="AP37" i="11"/>
  <c r="F40" i="11"/>
  <c r="K288" i="11" s="1"/>
  <c r="I358" i="11"/>
  <c r="K301" i="11"/>
  <c r="G358" i="11"/>
  <c r="AO358" i="11" s="1"/>
  <c r="F383" i="11"/>
  <c r="S382" i="11"/>
  <c r="S207" i="11"/>
  <c r="F365" i="11"/>
  <c r="N208" i="11"/>
  <c r="M336" i="11"/>
  <c r="I336" i="11" s="1"/>
  <c r="AM336" i="11" s="1"/>
  <c r="AY336" i="11" s="1"/>
  <c r="I335" i="11"/>
  <c r="AM335" i="11" s="1"/>
  <c r="AY335" i="11" s="1"/>
  <c r="F273" i="11"/>
  <c r="P189" i="11"/>
  <c r="Q189" i="11" s="1"/>
  <c r="P171" i="11"/>
  <c r="Q171" i="11" s="1"/>
  <c r="K416" i="11"/>
  <c r="L415" i="11"/>
  <c r="S415" i="11" s="1"/>
  <c r="P225" i="11"/>
  <c r="Q225" i="11" s="1"/>
  <c r="R250" i="11"/>
  <c r="M298" i="11"/>
  <c r="I297" i="11"/>
  <c r="AM297" i="11" s="1"/>
  <c r="AY297" i="11" s="1"/>
  <c r="M154" i="11"/>
  <c r="S153" i="11"/>
  <c r="F13" i="7"/>
  <c r="S442" i="7"/>
  <c r="K443" i="7"/>
  <c r="H443" i="7" s="1"/>
  <c r="S443" i="7" s="1"/>
  <c r="S349" i="7"/>
  <c r="S337" i="7"/>
  <c r="S325" i="7"/>
  <c r="S313" i="7"/>
  <c r="S303" i="7"/>
  <c r="S158" i="7"/>
  <c r="P230" i="7"/>
  <c r="Q230" i="7" s="1"/>
  <c r="M231" i="7" s="1"/>
  <c r="U230" i="7"/>
  <c r="P212" i="7"/>
  <c r="Q212" i="7" s="1"/>
  <c r="M213" i="7" s="1"/>
  <c r="P159" i="7"/>
  <c r="Q159" i="7" s="1"/>
  <c r="U159" i="7"/>
  <c r="N177" i="7"/>
  <c r="O177" i="7" s="1"/>
  <c r="N194" i="7"/>
  <c r="O194" i="7" s="1"/>
  <c r="S290" i="7"/>
  <c r="U176" i="7"/>
  <c r="S367" i="7"/>
  <c r="U193" i="7"/>
  <c r="S176" i="7"/>
  <c r="S193" i="7"/>
  <c r="F369" i="7"/>
  <c r="G368" i="7"/>
  <c r="F94" i="7"/>
  <c r="S94" i="7" s="1"/>
  <c r="U415" i="11" l="1"/>
  <c r="U398" i="11"/>
  <c r="U381" i="11"/>
  <c r="AQ381" i="11" s="1"/>
  <c r="U274" i="11"/>
  <c r="U141" i="11"/>
  <c r="F384" i="11"/>
  <c r="S383" i="11"/>
  <c r="AP38" i="11"/>
  <c r="F41" i="11"/>
  <c r="O208" i="11"/>
  <c r="R251" i="11"/>
  <c r="M172" i="11"/>
  <c r="S171" i="11"/>
  <c r="G361" i="11"/>
  <c r="F398" i="11"/>
  <c r="S397" i="11"/>
  <c r="H358" i="11"/>
  <c r="AQ358" i="11" s="1"/>
  <c r="F90" i="11"/>
  <c r="S89" i="11"/>
  <c r="L416" i="11"/>
  <c r="S416" i="11" s="1"/>
  <c r="K417" i="11"/>
  <c r="F366" i="11"/>
  <c r="AQ69" i="11"/>
  <c r="M226" i="11"/>
  <c r="S225" i="11"/>
  <c r="M190" i="11"/>
  <c r="S189" i="11"/>
  <c r="N154" i="11"/>
  <c r="K302" i="11"/>
  <c r="K303" i="11" s="1"/>
  <c r="K304" i="11" s="1"/>
  <c r="K305" i="11" s="1"/>
  <c r="K306" i="11" s="1"/>
  <c r="K307" i="11" s="1"/>
  <c r="K308" i="11" s="1"/>
  <c r="K309" i="11" s="1"/>
  <c r="K310" i="11" s="1"/>
  <c r="K311" i="11" s="1"/>
  <c r="M299" i="11"/>
  <c r="I298" i="11"/>
  <c r="AM298" i="11" s="1"/>
  <c r="AY298" i="11" s="1"/>
  <c r="F274" i="11"/>
  <c r="F14" i="7"/>
  <c r="S350" i="7"/>
  <c r="S338" i="7"/>
  <c r="S212" i="7"/>
  <c r="S326" i="7"/>
  <c r="S314" i="7"/>
  <c r="S230" i="7"/>
  <c r="S305" i="7"/>
  <c r="S304" i="7"/>
  <c r="P194" i="7"/>
  <c r="Q194" i="7" s="1"/>
  <c r="M195" i="7" s="1"/>
  <c r="U194" i="7"/>
  <c r="P177" i="7"/>
  <c r="Q177" i="7" s="1"/>
  <c r="M180" i="7" s="1"/>
  <c r="O180" i="7" s="1"/>
  <c r="M162" i="7"/>
  <c r="S159" i="7"/>
  <c r="U212" i="7"/>
  <c r="S291" i="7"/>
  <c r="N213" i="7"/>
  <c r="O213" i="7" s="1"/>
  <c r="P213" i="7" s="1"/>
  <c r="Q213" i="7" s="1"/>
  <c r="M216" i="7" s="1"/>
  <c r="N231" i="7"/>
  <c r="H368" i="7"/>
  <c r="S368" i="7" s="1"/>
  <c r="I381" i="7"/>
  <c r="S381" i="7" s="1"/>
  <c r="G369" i="7"/>
  <c r="H369" i="7" s="1"/>
  <c r="F370" i="7"/>
  <c r="F95" i="7"/>
  <c r="S95" i="7" s="1"/>
  <c r="I398" i="11" l="1"/>
  <c r="AM398" i="11" s="1"/>
  <c r="AO361" i="11"/>
  <c r="U416" i="11"/>
  <c r="U399" i="11"/>
  <c r="U382" i="11"/>
  <c r="AQ382" i="11" s="1"/>
  <c r="U275" i="11"/>
  <c r="U142" i="11"/>
  <c r="F399" i="11"/>
  <c r="N190" i="11"/>
  <c r="F275" i="11"/>
  <c r="F42" i="11"/>
  <c r="AP39" i="11"/>
  <c r="H361" i="11"/>
  <c r="AQ361" i="11" s="1"/>
  <c r="S398" i="11"/>
  <c r="I299" i="11"/>
  <c r="AM299" i="11" s="1"/>
  <c r="AY299" i="11" s="1"/>
  <c r="M300" i="11"/>
  <c r="I300" i="11" s="1"/>
  <c r="AM300" i="11" s="1"/>
  <c r="AY300" i="11" s="1"/>
  <c r="P208" i="11"/>
  <c r="Q208" i="11" s="1"/>
  <c r="O154" i="11"/>
  <c r="S90" i="11"/>
  <c r="F91" i="11"/>
  <c r="N226" i="11"/>
  <c r="N172" i="11"/>
  <c r="F367" i="11"/>
  <c r="R252" i="11"/>
  <c r="L417" i="11"/>
  <c r="S417" i="11" s="1"/>
  <c r="K418" i="11"/>
  <c r="F385" i="11"/>
  <c r="F15" i="7"/>
  <c r="F23" i="7" s="1"/>
  <c r="U177" i="7"/>
  <c r="S351" i="7"/>
  <c r="S194" i="7"/>
  <c r="S339" i="7"/>
  <c r="S327" i="7"/>
  <c r="N180" i="7"/>
  <c r="U180" i="7" s="1"/>
  <c r="P180" i="7"/>
  <c r="Q180" i="7" s="1"/>
  <c r="M181" i="7" s="1"/>
  <c r="O181" i="7" s="1"/>
  <c r="S180" i="7"/>
  <c r="S315" i="7"/>
  <c r="U213" i="7"/>
  <c r="S177" i="7"/>
  <c r="O231" i="7"/>
  <c r="S293" i="7"/>
  <c r="S292" i="7"/>
  <c r="S369" i="7"/>
  <c r="S213" i="7"/>
  <c r="P162" i="7"/>
  <c r="Q162" i="7" s="1"/>
  <c r="M163" i="7" s="1"/>
  <c r="N162" i="7"/>
  <c r="O162" i="7"/>
  <c r="P216" i="7"/>
  <c r="Q216" i="7" s="1"/>
  <c r="M217" i="7" s="1"/>
  <c r="N216" i="7"/>
  <c r="O216" i="7"/>
  <c r="N195" i="7"/>
  <c r="O195" i="7" s="1"/>
  <c r="P195" i="7" s="1"/>
  <c r="Q195" i="7" s="1"/>
  <c r="M198" i="7" s="1"/>
  <c r="N198" i="7" s="1"/>
  <c r="U195" i="7"/>
  <c r="S195" i="7"/>
  <c r="G370" i="7"/>
  <c r="H370" i="7" s="1"/>
  <c r="F371" i="7"/>
  <c r="F96" i="7"/>
  <c r="S96" i="7" s="1"/>
  <c r="U417" i="11" l="1"/>
  <c r="U400" i="11"/>
  <c r="U383" i="11"/>
  <c r="AQ383" i="11" s="1"/>
  <c r="U276" i="11"/>
  <c r="U143" i="11"/>
  <c r="F368" i="11"/>
  <c r="K419" i="11"/>
  <c r="L418" i="11"/>
  <c r="S418" i="11" s="1"/>
  <c r="O172" i="11"/>
  <c r="O226" i="11"/>
  <c r="F92" i="11"/>
  <c r="S91" i="11"/>
  <c r="F276" i="11"/>
  <c r="O190" i="11"/>
  <c r="M211" i="11"/>
  <c r="S208" i="11"/>
  <c r="P154" i="11"/>
  <c r="Q154" i="11" s="1"/>
  <c r="AP40" i="11"/>
  <c r="F43" i="11"/>
  <c r="R253" i="11"/>
  <c r="F400" i="11"/>
  <c r="S399" i="11"/>
  <c r="S162" i="7"/>
  <c r="P181" i="7"/>
  <c r="Q181" i="7" s="1"/>
  <c r="M182" i="7" s="1"/>
  <c r="N182" i="7" s="1"/>
  <c r="O182" i="7" s="1"/>
  <c r="N181" i="7"/>
  <c r="S352" i="7"/>
  <c r="S341" i="7"/>
  <c r="S340" i="7"/>
  <c r="S329" i="7"/>
  <c r="S328" i="7"/>
  <c r="S317" i="7"/>
  <c r="S316" i="7"/>
  <c r="U216" i="7"/>
  <c r="U181" i="7"/>
  <c r="S181" i="7"/>
  <c r="P198" i="7"/>
  <c r="Q198" i="7" s="1"/>
  <c r="M199" i="7" s="1"/>
  <c r="N199" i="7" s="1"/>
  <c r="O198" i="7"/>
  <c r="N163" i="7"/>
  <c r="O163" i="7"/>
  <c r="P163" i="7"/>
  <c r="Q163" i="7" s="1"/>
  <c r="M164" i="7" s="1"/>
  <c r="U162" i="7"/>
  <c r="S370" i="7"/>
  <c r="N217" i="7"/>
  <c r="S216" i="7"/>
  <c r="O217" i="7"/>
  <c r="P217" i="7"/>
  <c r="Q217" i="7" s="1"/>
  <c r="M218" i="7" s="1"/>
  <c r="P231" i="7"/>
  <c r="Q231" i="7" s="1"/>
  <c r="I385" i="7"/>
  <c r="S385" i="7" s="1"/>
  <c r="F372" i="7"/>
  <c r="G371" i="7"/>
  <c r="H371" i="7" s="1"/>
  <c r="F97" i="7"/>
  <c r="S97" i="7" s="1"/>
  <c r="U418" i="11" l="1"/>
  <c r="U401" i="11"/>
  <c r="U384" i="11"/>
  <c r="U277" i="11"/>
  <c r="U144" i="11"/>
  <c r="F277" i="11"/>
  <c r="S92" i="11"/>
  <c r="F93" i="11"/>
  <c r="P226" i="11"/>
  <c r="Q226" i="11" s="1"/>
  <c r="AP41" i="11"/>
  <c r="F44" i="11"/>
  <c r="G360" i="11"/>
  <c r="AO360" i="11" s="1"/>
  <c r="F401" i="11"/>
  <c r="S400" i="11"/>
  <c r="O211" i="11"/>
  <c r="P211" i="11"/>
  <c r="Q211" i="11" s="1"/>
  <c r="M212" i="11" s="1"/>
  <c r="N211" i="11"/>
  <c r="P172" i="11"/>
  <c r="Q172" i="11" s="1"/>
  <c r="R254" i="11"/>
  <c r="M157" i="11"/>
  <c r="S154" i="11"/>
  <c r="K420" i="11"/>
  <c r="L419" i="11"/>
  <c r="S419" i="11" s="1"/>
  <c r="P190" i="11"/>
  <c r="Q190" i="11" s="1"/>
  <c r="U198" i="7"/>
  <c r="U217" i="7"/>
  <c r="S198" i="7"/>
  <c r="O199" i="7"/>
  <c r="P199" i="7"/>
  <c r="Q199" i="7" s="1"/>
  <c r="M200" i="7" s="1"/>
  <c r="U231" i="7"/>
  <c r="U199" i="7"/>
  <c r="P182" i="7"/>
  <c r="Q182" i="7" s="1"/>
  <c r="M183" i="7" s="1"/>
  <c r="Q183" i="7" s="1"/>
  <c r="M184" i="7" s="1"/>
  <c r="U182" i="7"/>
  <c r="S371" i="7"/>
  <c r="N200" i="7"/>
  <c r="O200" i="7" s="1"/>
  <c r="P200" i="7" s="1"/>
  <c r="Q200" i="7" s="1"/>
  <c r="M201" i="7" s="1"/>
  <c r="N218" i="7"/>
  <c r="S217" i="7"/>
  <c r="N164" i="7"/>
  <c r="S163" i="7"/>
  <c r="M234" i="7"/>
  <c r="S231" i="7"/>
  <c r="U163" i="7"/>
  <c r="G372" i="7"/>
  <c r="H372" i="7" s="1"/>
  <c r="F373" i="7"/>
  <c r="F98" i="7"/>
  <c r="S98" i="7" s="1"/>
  <c r="U419" i="11" l="1"/>
  <c r="U402" i="11"/>
  <c r="U385" i="11"/>
  <c r="U278" i="11"/>
  <c r="U145" i="11"/>
  <c r="F402" i="11"/>
  <c r="S402" i="11" s="1"/>
  <c r="S401" i="11"/>
  <c r="R255" i="11"/>
  <c r="L420" i="11"/>
  <c r="S420" i="11" s="1"/>
  <c r="K421" i="11"/>
  <c r="F94" i="11"/>
  <c r="S93" i="11"/>
  <c r="H360" i="11"/>
  <c r="AQ360" i="11" s="1"/>
  <c r="F45" i="11"/>
  <c r="AP42" i="11"/>
  <c r="G363" i="11"/>
  <c r="M175" i="11"/>
  <c r="S172" i="11"/>
  <c r="O212" i="11"/>
  <c r="P212" i="11"/>
  <c r="Q212" i="11" s="1"/>
  <c r="M213" i="11" s="1"/>
  <c r="N212" i="11"/>
  <c r="P157" i="11"/>
  <c r="Q157" i="11" s="1"/>
  <c r="M158" i="11" s="1"/>
  <c r="O157" i="11"/>
  <c r="N157" i="11"/>
  <c r="S157" i="11" s="1"/>
  <c r="M229" i="11"/>
  <c r="S226" i="11"/>
  <c r="M193" i="11"/>
  <c r="S190" i="11"/>
  <c r="S211" i="11"/>
  <c r="F278" i="11"/>
  <c r="O183" i="7"/>
  <c r="N183" i="7"/>
  <c r="S183" i="7" s="1"/>
  <c r="P183" i="7"/>
  <c r="S199" i="7"/>
  <c r="S182" i="7"/>
  <c r="O218" i="7"/>
  <c r="U200" i="7"/>
  <c r="S372" i="7"/>
  <c r="O164" i="7"/>
  <c r="P234" i="7"/>
  <c r="Q234" i="7" s="1"/>
  <c r="M235" i="7" s="1"/>
  <c r="N234" i="7"/>
  <c r="S234" i="7" s="1"/>
  <c r="O234" i="7"/>
  <c r="U234" i="7" s="1"/>
  <c r="N184" i="7"/>
  <c r="U183" i="7"/>
  <c r="S200" i="7"/>
  <c r="Q201" i="7"/>
  <c r="M202" i="7" s="1"/>
  <c r="P201" i="7"/>
  <c r="O201" i="7"/>
  <c r="N201" i="7"/>
  <c r="G373" i="7"/>
  <c r="I389" i="7"/>
  <c r="S389" i="7" s="1"/>
  <c r="O184" i="7"/>
  <c r="P184" i="7"/>
  <c r="Q184" i="7"/>
  <c r="M187" i="7" s="1"/>
  <c r="F99" i="7"/>
  <c r="AO363" i="11" l="1"/>
  <c r="I376" i="11"/>
  <c r="AK376" i="11" s="1"/>
  <c r="AQ376" i="11" s="1"/>
  <c r="U420" i="11"/>
  <c r="U279" i="11"/>
  <c r="U146" i="11"/>
  <c r="S212" i="11"/>
  <c r="N229" i="11"/>
  <c r="P229" i="11"/>
  <c r="Q229" i="11" s="1"/>
  <c r="M230" i="11" s="1"/>
  <c r="O229" i="11"/>
  <c r="N213" i="11"/>
  <c r="F279" i="11"/>
  <c r="R256" i="11"/>
  <c r="F46" i="11"/>
  <c r="AP43" i="11"/>
  <c r="S94" i="11"/>
  <c r="F95" i="11"/>
  <c r="K422" i="11"/>
  <c r="L421" i="11"/>
  <c r="S421" i="11" s="1"/>
  <c r="H363" i="11"/>
  <c r="AQ363" i="11" s="1"/>
  <c r="P158" i="11"/>
  <c r="Q158" i="11" s="1"/>
  <c r="M159" i="11" s="1"/>
  <c r="O158" i="11"/>
  <c r="N158" i="11"/>
  <c r="S158" i="11" s="1"/>
  <c r="P175" i="11"/>
  <c r="Q175" i="11" s="1"/>
  <c r="M176" i="11" s="1"/>
  <c r="O175" i="11"/>
  <c r="N175" i="11"/>
  <c r="S175" i="11" s="1"/>
  <c r="N193" i="11"/>
  <c r="P193" i="11"/>
  <c r="Q193" i="11" s="1"/>
  <c r="M194" i="11" s="1"/>
  <c r="O193" i="11"/>
  <c r="S201" i="7"/>
  <c r="U184" i="7"/>
  <c r="P235" i="7"/>
  <c r="Q235" i="7" s="1"/>
  <c r="M236" i="7" s="1"/>
  <c r="N235" i="7"/>
  <c r="O235" i="7"/>
  <c r="P164" i="7"/>
  <c r="Q164" i="7" s="1"/>
  <c r="U164" i="7"/>
  <c r="F100" i="7"/>
  <c r="S99" i="7"/>
  <c r="U201" i="7"/>
  <c r="O187" i="7"/>
  <c r="P218" i="7"/>
  <c r="Q218" i="7" s="1"/>
  <c r="U218" i="7"/>
  <c r="P202" i="7"/>
  <c r="Q202" i="7"/>
  <c r="M205" i="7" s="1"/>
  <c r="O202" i="7"/>
  <c r="N202" i="7"/>
  <c r="S184" i="7"/>
  <c r="H373" i="7"/>
  <c r="S373" i="7" s="1"/>
  <c r="I390" i="7"/>
  <c r="S390" i="7" s="1"/>
  <c r="N187" i="7"/>
  <c r="P187" i="7"/>
  <c r="Q187" i="7" s="1"/>
  <c r="M179" i="7" s="1"/>
  <c r="U421" i="11" l="1"/>
  <c r="U280" i="11"/>
  <c r="U147" i="11"/>
  <c r="S193" i="11"/>
  <c r="O213" i="11"/>
  <c r="O194" i="11"/>
  <c r="P194" i="11"/>
  <c r="Q194" i="11" s="1"/>
  <c r="M195" i="11" s="1"/>
  <c r="N194" i="11"/>
  <c r="S194" i="11" s="1"/>
  <c r="AP44" i="11"/>
  <c r="F47" i="11"/>
  <c r="P176" i="11"/>
  <c r="Q176" i="11" s="1"/>
  <c r="M177" i="11" s="1"/>
  <c r="O176" i="11"/>
  <c r="N176" i="11"/>
  <c r="S176" i="11" s="1"/>
  <c r="G365" i="11"/>
  <c r="N230" i="11"/>
  <c r="P230" i="11"/>
  <c r="Q230" i="11" s="1"/>
  <c r="M231" i="11" s="1"/>
  <c r="O230" i="11"/>
  <c r="F280" i="11"/>
  <c r="N159" i="11"/>
  <c r="S229" i="11"/>
  <c r="K423" i="11"/>
  <c r="L422" i="11"/>
  <c r="S422" i="11" s="1"/>
  <c r="F96" i="11"/>
  <c r="S95" i="11"/>
  <c r="S235" i="7"/>
  <c r="U202" i="7"/>
  <c r="S202" i="7"/>
  <c r="U187" i="7"/>
  <c r="Q179" i="7"/>
  <c r="M185" i="7" s="1"/>
  <c r="P185" i="7" s="1"/>
  <c r="M165" i="7"/>
  <c r="S164" i="7"/>
  <c r="U235" i="7"/>
  <c r="N236" i="7"/>
  <c r="M219" i="7"/>
  <c r="S218" i="7"/>
  <c r="F101" i="7"/>
  <c r="S100" i="7"/>
  <c r="S187" i="7"/>
  <c r="O205" i="7"/>
  <c r="P205" i="7"/>
  <c r="Q205" i="7" s="1"/>
  <c r="M197" i="7" s="1"/>
  <c r="N205" i="7"/>
  <c r="P179" i="7"/>
  <c r="N179" i="7"/>
  <c r="O179" i="7"/>
  <c r="N185" i="7"/>
  <c r="I380" i="11" l="1"/>
  <c r="AK380" i="11" s="1"/>
  <c r="AQ380" i="11" s="1"/>
  <c r="AO365" i="11"/>
  <c r="U422" i="11"/>
  <c r="U281" i="11"/>
  <c r="U148" i="11"/>
  <c r="S230" i="11"/>
  <c r="L423" i="11"/>
  <c r="S423" i="11" s="1"/>
  <c r="K424" i="11"/>
  <c r="F48" i="11"/>
  <c r="AP45" i="11"/>
  <c r="G364" i="11"/>
  <c r="AO364" i="11" s="1"/>
  <c r="N177" i="11"/>
  <c r="N195" i="11"/>
  <c r="P213" i="11"/>
  <c r="Q213" i="11" s="1"/>
  <c r="S96" i="11"/>
  <c r="F97" i="11"/>
  <c r="O159" i="11"/>
  <c r="F281" i="11"/>
  <c r="H365" i="11"/>
  <c r="AQ365" i="11" s="1"/>
  <c r="S380" i="11"/>
  <c r="N231" i="11"/>
  <c r="O185" i="7"/>
  <c r="U205" i="7"/>
  <c r="Q185" i="7"/>
  <c r="M178" i="7" s="1"/>
  <c r="S179" i="7"/>
  <c r="O236" i="7"/>
  <c r="F102" i="7"/>
  <c r="S101" i="7"/>
  <c r="N219" i="7"/>
  <c r="Q219" i="7"/>
  <c r="M220" i="7" s="1"/>
  <c r="P219" i="7"/>
  <c r="O219" i="7"/>
  <c r="U197" i="7"/>
  <c r="U179" i="7"/>
  <c r="U165" i="7"/>
  <c r="O165" i="7"/>
  <c r="P165" i="7"/>
  <c r="Q165" i="7"/>
  <c r="M166" i="7" s="1"/>
  <c r="N165" i="7"/>
  <c r="S185" i="7"/>
  <c r="U185" i="7"/>
  <c r="S205" i="7"/>
  <c r="O197" i="7"/>
  <c r="P197" i="7"/>
  <c r="Q197" i="7"/>
  <c r="M203" i="7" s="1"/>
  <c r="N197" i="7"/>
  <c r="S197" i="7" s="1"/>
  <c r="Q178" i="7"/>
  <c r="M186" i="7" s="1"/>
  <c r="P178" i="7"/>
  <c r="O178" i="7"/>
  <c r="N178" i="7"/>
  <c r="S178" i="7" s="1"/>
  <c r="U423" i="11" l="1"/>
  <c r="U282" i="11"/>
  <c r="U149" i="11"/>
  <c r="M214" i="11"/>
  <c r="S213" i="11"/>
  <c r="O177" i="11"/>
  <c r="P177" i="11" s="1"/>
  <c r="Q177" i="11" s="1"/>
  <c r="M178" i="11" s="1"/>
  <c r="S177" i="11"/>
  <c r="F282" i="11"/>
  <c r="F49" i="11"/>
  <c r="AP46" i="11"/>
  <c r="H364" i="11"/>
  <c r="AQ364" i="11" s="1"/>
  <c r="P159" i="11"/>
  <c r="Q159" i="11" s="1"/>
  <c r="L424" i="11"/>
  <c r="S424" i="11" s="1"/>
  <c r="K425" i="11"/>
  <c r="O195" i="11"/>
  <c r="O231" i="11"/>
  <c r="O220" i="7"/>
  <c r="P220" i="7"/>
  <c r="Q220" i="7"/>
  <c r="M223" i="7" s="1"/>
  <c r="N220" i="7"/>
  <c r="S220" i="7" s="1"/>
  <c r="S219" i="7"/>
  <c r="U219" i="7"/>
  <c r="N186" i="7"/>
  <c r="O186" i="7" s="1"/>
  <c r="U178" i="7"/>
  <c r="P166" i="7"/>
  <c r="O166" i="7"/>
  <c r="Q166" i="7"/>
  <c r="M169" i="7" s="1"/>
  <c r="N166" i="7"/>
  <c r="S166" i="7" s="1"/>
  <c r="S165" i="7"/>
  <c r="P236" i="7"/>
  <c r="Q236" i="7" s="1"/>
  <c r="U236" i="7" s="1"/>
  <c r="Q203" i="7"/>
  <c r="M196" i="7" s="1"/>
  <c r="P203" i="7"/>
  <c r="N203" i="7"/>
  <c r="O203" i="7"/>
  <c r="U424" i="11" l="1"/>
  <c r="U283" i="11"/>
  <c r="U150" i="11"/>
  <c r="AP47" i="11"/>
  <c r="F50" i="11"/>
  <c r="M160" i="11"/>
  <c r="S159" i="11"/>
  <c r="F283" i="11"/>
  <c r="P231" i="11"/>
  <c r="Q231" i="11" s="1"/>
  <c r="O178" i="11"/>
  <c r="Q178" i="11"/>
  <c r="M179" i="11" s="1"/>
  <c r="P178" i="11"/>
  <c r="N178" i="11"/>
  <c r="S178" i="11" s="1"/>
  <c r="P195" i="11"/>
  <c r="Q195" i="11" s="1"/>
  <c r="K426" i="11"/>
  <c r="L425" i="11"/>
  <c r="S425" i="11" s="1"/>
  <c r="P214" i="11"/>
  <c r="N214" i="11"/>
  <c r="Q214" i="11"/>
  <c r="M215" i="11" s="1"/>
  <c r="O214" i="11"/>
  <c r="S203" i="7"/>
  <c r="P186" i="7"/>
  <c r="Q186" i="7" s="1"/>
  <c r="U186" i="7"/>
  <c r="P169" i="7"/>
  <c r="Q169" i="7" s="1"/>
  <c r="M161" i="7" s="1"/>
  <c r="N169" i="7"/>
  <c r="S169" i="7" s="1"/>
  <c r="O169" i="7"/>
  <c r="U166" i="7"/>
  <c r="U203" i="7"/>
  <c r="M237" i="7"/>
  <c r="S236" i="7"/>
  <c r="O223" i="7"/>
  <c r="N223" i="7"/>
  <c r="P223" i="7"/>
  <c r="Q223" i="7" s="1"/>
  <c r="M215" i="7" s="1"/>
  <c r="U220" i="7"/>
  <c r="P196" i="7"/>
  <c r="U196" i="7" s="1"/>
  <c r="N196" i="7"/>
  <c r="O196" i="7"/>
  <c r="Q196" i="7"/>
  <c r="M204" i="7" s="1"/>
  <c r="U425" i="11" l="1"/>
  <c r="U284" i="11"/>
  <c r="U151" i="11"/>
  <c r="N179" i="11"/>
  <c r="O179" i="11"/>
  <c r="Q179" i="11"/>
  <c r="M182" i="11" s="1"/>
  <c r="P179" i="11"/>
  <c r="M232" i="11"/>
  <c r="S231" i="11"/>
  <c r="F51" i="11"/>
  <c r="AP48" i="11"/>
  <c r="M196" i="11"/>
  <c r="S195" i="11"/>
  <c r="N215" i="11"/>
  <c r="Q215" i="11"/>
  <c r="M218" i="11" s="1"/>
  <c r="P215" i="11"/>
  <c r="O215" i="11"/>
  <c r="Q160" i="11"/>
  <c r="M161" i="11" s="1"/>
  <c r="P160" i="11"/>
  <c r="O160" i="11"/>
  <c r="N160" i="11"/>
  <c r="F284" i="11"/>
  <c r="S214" i="11"/>
  <c r="K427" i="11"/>
  <c r="L426" i="11"/>
  <c r="S426" i="11" s="1"/>
  <c r="S223" i="7"/>
  <c r="U223" i="7"/>
  <c r="O237" i="7"/>
  <c r="P237" i="7" s="1"/>
  <c r="N237" i="7"/>
  <c r="Q237" i="7"/>
  <c r="M238" i="7" s="1"/>
  <c r="O215" i="7"/>
  <c r="P215" i="7"/>
  <c r="Q215" i="7"/>
  <c r="M221" i="7" s="1"/>
  <c r="N215" i="7"/>
  <c r="S215" i="7" s="1"/>
  <c r="N204" i="7"/>
  <c r="O204" i="7" s="1"/>
  <c r="P161" i="7"/>
  <c r="N161" i="7"/>
  <c r="Q161" i="7"/>
  <c r="M167" i="7" s="1"/>
  <c r="O161" i="7"/>
  <c r="U161" i="7" s="1"/>
  <c r="U169" i="7"/>
  <c r="M188" i="7"/>
  <c r="S186" i="7"/>
  <c r="S196" i="7"/>
  <c r="U426" i="11" l="1"/>
  <c r="U285" i="11"/>
  <c r="U152" i="11"/>
  <c r="S160" i="11"/>
  <c r="N218" i="11"/>
  <c r="P218" i="11"/>
  <c r="Q218" i="11" s="1"/>
  <c r="M210" i="11" s="1"/>
  <c r="O218" i="11"/>
  <c r="P196" i="11"/>
  <c r="Q196" i="11"/>
  <c r="M197" i="11" s="1"/>
  <c r="O196" i="11"/>
  <c r="N196" i="11"/>
  <c r="S196" i="11" s="1"/>
  <c r="L427" i="11"/>
  <c r="S427" i="11" s="1"/>
  <c r="K428" i="11"/>
  <c r="F285" i="11"/>
  <c r="O232" i="11"/>
  <c r="P232" i="11" s="1"/>
  <c r="N232" i="11"/>
  <c r="S232" i="11" s="1"/>
  <c r="Q232" i="11"/>
  <c r="M233" i="11" s="1"/>
  <c r="P182" i="11"/>
  <c r="Q182" i="11" s="1"/>
  <c r="M174" i="11" s="1"/>
  <c r="O182" i="11"/>
  <c r="N182" i="11"/>
  <c r="S182" i="11" s="1"/>
  <c r="AP49" i="11"/>
  <c r="F52" i="11"/>
  <c r="S215" i="11"/>
  <c r="Q161" i="11"/>
  <c r="M164" i="11" s="1"/>
  <c r="P161" i="11"/>
  <c r="O161" i="11"/>
  <c r="N161" i="11"/>
  <c r="S161" i="11" s="1"/>
  <c r="S179" i="11"/>
  <c r="S161" i="7"/>
  <c r="P204" i="7"/>
  <c r="Q204" i="7" s="1"/>
  <c r="M206" i="7" s="1"/>
  <c r="N238" i="7"/>
  <c r="P238" i="7"/>
  <c r="Q238" i="7"/>
  <c r="M241" i="7" s="1"/>
  <c r="O238" i="7"/>
  <c r="S237" i="7"/>
  <c r="N188" i="7"/>
  <c r="O188" i="7"/>
  <c r="P188" i="7" s="1"/>
  <c r="Q188" i="7" s="1"/>
  <c r="U215" i="7"/>
  <c r="P221" i="7"/>
  <c r="N221" i="7"/>
  <c r="Q221" i="7"/>
  <c r="M214" i="7" s="1"/>
  <c r="O221" i="7"/>
  <c r="U237" i="7"/>
  <c r="Q167" i="7"/>
  <c r="M160" i="7" s="1"/>
  <c r="N167" i="7"/>
  <c r="P167" i="7"/>
  <c r="O167" i="7"/>
  <c r="O206" i="7"/>
  <c r="P206" i="7" s="1"/>
  <c r="Q206" i="7" s="1"/>
  <c r="N206" i="7"/>
  <c r="U427" i="11" l="1"/>
  <c r="U286" i="11"/>
  <c r="U153" i="11"/>
  <c r="P233" i="11"/>
  <c r="Q233" i="11"/>
  <c r="M236" i="11" s="1"/>
  <c r="O233" i="11"/>
  <c r="N233" i="11"/>
  <c r="S233" i="11" s="1"/>
  <c r="P164" i="11"/>
  <c r="Q164" i="11" s="1"/>
  <c r="M156" i="11" s="1"/>
  <c r="O164" i="11"/>
  <c r="N164" i="11"/>
  <c r="S164" i="11" s="1"/>
  <c r="L428" i="11"/>
  <c r="S428" i="11" s="1"/>
  <c r="K429" i="11"/>
  <c r="Q197" i="11"/>
  <c r="M200" i="11" s="1"/>
  <c r="O197" i="11"/>
  <c r="N197" i="11"/>
  <c r="S197" i="11" s="1"/>
  <c r="P197" i="11"/>
  <c r="F286" i="11"/>
  <c r="F53" i="11"/>
  <c r="AP50" i="11"/>
  <c r="P174" i="11"/>
  <c r="Q174" i="11"/>
  <c r="M180" i="11" s="1"/>
  <c r="O174" i="11"/>
  <c r="N174" i="11"/>
  <c r="S174" i="11" s="1"/>
  <c r="O210" i="11"/>
  <c r="Q210" i="11"/>
  <c r="M216" i="11" s="1"/>
  <c r="P210" i="11"/>
  <c r="N210" i="11"/>
  <c r="S218" i="11"/>
  <c r="S188" i="7"/>
  <c r="S206" i="7"/>
  <c r="S204" i="7"/>
  <c r="U204" i="7"/>
  <c r="S221" i="7"/>
  <c r="S167" i="7"/>
  <c r="Q214" i="7"/>
  <c r="M222" i="7" s="1"/>
  <c r="N214" i="7"/>
  <c r="P214" i="7"/>
  <c r="O214" i="7"/>
  <c r="U221" i="7"/>
  <c r="U188" i="7"/>
  <c r="P241" i="7"/>
  <c r="Q241" i="7" s="1"/>
  <c r="M233" i="7" s="1"/>
  <c r="O241" i="7"/>
  <c r="N241" i="7"/>
  <c r="S241" i="7" s="1"/>
  <c r="O160" i="7"/>
  <c r="Q160" i="7"/>
  <c r="M168" i="7" s="1"/>
  <c r="P160" i="7"/>
  <c r="N160" i="7"/>
  <c r="S238" i="7"/>
  <c r="U167" i="7"/>
  <c r="U238" i="7"/>
  <c r="U206" i="7"/>
  <c r="U428" i="11" l="1"/>
  <c r="U287" i="11"/>
  <c r="U154" i="11"/>
  <c r="P216" i="11"/>
  <c r="Q216" i="11"/>
  <c r="M209" i="11" s="1"/>
  <c r="O216" i="11"/>
  <c r="N216" i="11"/>
  <c r="S216" i="11" s="1"/>
  <c r="Q180" i="11"/>
  <c r="M173" i="11" s="1"/>
  <c r="N180" i="11"/>
  <c r="S180" i="11" s="1"/>
  <c r="P180" i="11"/>
  <c r="O180" i="11"/>
  <c r="F54" i="11"/>
  <c r="AP51" i="11"/>
  <c r="O236" i="11"/>
  <c r="P236" i="11"/>
  <c r="Q236" i="11" s="1"/>
  <c r="M228" i="11" s="1"/>
  <c r="N236" i="11"/>
  <c r="S236" i="11" s="1"/>
  <c r="N200" i="11"/>
  <c r="P200" i="11"/>
  <c r="Q200" i="11" s="1"/>
  <c r="M192" i="11" s="1"/>
  <c r="O200" i="11"/>
  <c r="K430" i="11"/>
  <c r="L429" i="11"/>
  <c r="S429" i="11" s="1"/>
  <c r="Q156" i="11"/>
  <c r="M162" i="11" s="1"/>
  <c r="P156" i="11"/>
  <c r="O156" i="11"/>
  <c r="N156" i="11"/>
  <c r="S156" i="11" s="1"/>
  <c r="S210" i="11"/>
  <c r="F287" i="11"/>
  <c r="S160" i="7"/>
  <c r="S214" i="7"/>
  <c r="N168" i="7"/>
  <c r="U160" i="7"/>
  <c r="P233" i="7"/>
  <c r="Q233" i="7"/>
  <c r="M239" i="7" s="1"/>
  <c r="O233" i="7"/>
  <c r="N233" i="7"/>
  <c r="S233" i="7" s="1"/>
  <c r="U241" i="7"/>
  <c r="N222" i="7"/>
  <c r="U214" i="7"/>
  <c r="U429" i="11" l="1"/>
  <c r="U288" i="11"/>
  <c r="U155" i="11"/>
  <c r="Q162" i="11"/>
  <c r="M155" i="11" s="1"/>
  <c r="P162" i="11"/>
  <c r="O162" i="11"/>
  <c r="N162" i="11"/>
  <c r="S162" i="11" s="1"/>
  <c r="F288" i="11"/>
  <c r="AP52" i="11"/>
  <c r="I366" i="11"/>
  <c r="I364" i="11"/>
  <c r="K337" i="11"/>
  <c r="I361" i="11"/>
  <c r="I367" i="11"/>
  <c r="I368" i="11"/>
  <c r="K324" i="11"/>
  <c r="I363" i="11"/>
  <c r="K338" i="11"/>
  <c r="K339" i="11" s="1"/>
  <c r="K340" i="11" s="1"/>
  <c r="K341" i="11" s="1"/>
  <c r="K342" i="11" s="1"/>
  <c r="K343" i="11" s="1"/>
  <c r="K344" i="11" s="1"/>
  <c r="K345" i="11" s="1"/>
  <c r="K346" i="11" s="1"/>
  <c r="K347" i="11" s="1"/>
  <c r="K313" i="11"/>
  <c r="K348" i="11"/>
  <c r="K312" i="11"/>
  <c r="I362" i="11"/>
  <c r="K326" i="11"/>
  <c r="K327" i="11" s="1"/>
  <c r="K328" i="11" s="1"/>
  <c r="K329" i="11" s="1"/>
  <c r="K330" i="11" s="1"/>
  <c r="K331" i="11" s="1"/>
  <c r="K332" i="11" s="1"/>
  <c r="K333" i="11" s="1"/>
  <c r="K334" i="11" s="1"/>
  <c r="K335" i="11" s="1"/>
  <c r="I365" i="11"/>
  <c r="I360" i="11"/>
  <c r="K300" i="11"/>
  <c r="K325" i="11"/>
  <c r="K314" i="11"/>
  <c r="K315" i="11" s="1"/>
  <c r="K316" i="11" s="1"/>
  <c r="K317" i="11" s="1"/>
  <c r="K318" i="11" s="1"/>
  <c r="K319" i="11" s="1"/>
  <c r="K320" i="11" s="1"/>
  <c r="K321" i="11" s="1"/>
  <c r="K322" i="11" s="1"/>
  <c r="K323" i="11" s="1"/>
  <c r="K336" i="11"/>
  <c r="G362" i="11"/>
  <c r="AO362" i="11" s="1"/>
  <c r="G366" i="11"/>
  <c r="AO366" i="11" s="1"/>
  <c r="G367" i="11"/>
  <c r="G368" i="11"/>
  <c r="K431" i="11"/>
  <c r="L430" i="11"/>
  <c r="S430" i="11" s="1"/>
  <c r="Q173" i="11"/>
  <c r="M181" i="11" s="1"/>
  <c r="O173" i="11"/>
  <c r="P173" i="11"/>
  <c r="N173" i="11"/>
  <c r="S173" i="11" s="1"/>
  <c r="N192" i="11"/>
  <c r="Q192" i="11"/>
  <c r="M198" i="11" s="1"/>
  <c r="P192" i="11"/>
  <c r="O192" i="11"/>
  <c r="S200" i="11"/>
  <c r="P209" i="11"/>
  <c r="Q209" i="11"/>
  <c r="M217" i="11" s="1"/>
  <c r="O209" i="11"/>
  <c r="N209" i="11"/>
  <c r="S209" i="11" s="1"/>
  <c r="O228" i="11"/>
  <c r="P228" i="11"/>
  <c r="N228" i="11"/>
  <c r="Q228" i="11"/>
  <c r="M234" i="11" s="1"/>
  <c r="O222" i="7"/>
  <c r="N239" i="7"/>
  <c r="O239" i="7"/>
  <c r="Q239" i="7"/>
  <c r="M232" i="7" s="1"/>
  <c r="P239" i="7"/>
  <c r="U233" i="7"/>
  <c r="O168" i="7"/>
  <c r="AO368" i="11" l="1"/>
  <c r="I385" i="11"/>
  <c r="AK385" i="11" s="1"/>
  <c r="AQ385" i="11" s="1"/>
  <c r="I384" i="11"/>
  <c r="AK384" i="11" s="1"/>
  <c r="AQ384" i="11" s="1"/>
  <c r="AO367" i="11"/>
  <c r="U430" i="11"/>
  <c r="U289" i="11"/>
  <c r="U156" i="11"/>
  <c r="AQ73" i="11"/>
  <c r="AQ74" i="11"/>
  <c r="N181" i="11"/>
  <c r="O198" i="11"/>
  <c r="Q198" i="11"/>
  <c r="M191" i="11" s="1"/>
  <c r="P198" i="11"/>
  <c r="N198" i="11"/>
  <c r="S198" i="11" s="1"/>
  <c r="S192" i="11"/>
  <c r="P234" i="11"/>
  <c r="Q234" i="11"/>
  <c r="M227" i="11" s="1"/>
  <c r="O234" i="11"/>
  <c r="N234" i="11"/>
  <c r="S228" i="11"/>
  <c r="H368" i="11"/>
  <c r="AQ368" i="11" s="1"/>
  <c r="S376" i="11"/>
  <c r="S385" i="11"/>
  <c r="F289" i="11"/>
  <c r="AQ71" i="11"/>
  <c r="L431" i="11"/>
  <c r="S431" i="11" s="1"/>
  <c r="K432" i="11"/>
  <c r="AQ70" i="11"/>
  <c r="N217" i="11"/>
  <c r="H367" i="11"/>
  <c r="AQ367" i="11" s="1"/>
  <c r="AQ72" i="11"/>
  <c r="H362" i="11"/>
  <c r="AQ362" i="11" s="1"/>
  <c r="H366" i="11"/>
  <c r="AQ366" i="11" s="1"/>
  <c r="N155" i="11"/>
  <c r="Q155" i="11"/>
  <c r="M163" i="11" s="1"/>
  <c r="P155" i="11"/>
  <c r="O155" i="11"/>
  <c r="U239" i="7"/>
  <c r="P168" i="7"/>
  <c r="Q168" i="7" s="1"/>
  <c r="U168" i="7"/>
  <c r="O232" i="7"/>
  <c r="N232" i="7"/>
  <c r="P232" i="7"/>
  <c r="Q232" i="7"/>
  <c r="M240" i="7" s="1"/>
  <c r="S239" i="7"/>
  <c r="P222" i="7"/>
  <c r="Q222" i="7" s="1"/>
  <c r="U222" i="7"/>
  <c r="S384" i="11" l="1"/>
  <c r="U431" i="11"/>
  <c r="U290" i="11"/>
  <c r="U157" i="11"/>
  <c r="N163" i="11"/>
  <c r="O191" i="11"/>
  <c r="Q191" i="11"/>
  <c r="M199" i="11" s="1"/>
  <c r="P191" i="11"/>
  <c r="N191" i="11"/>
  <c r="S191" i="11" s="1"/>
  <c r="F290" i="11"/>
  <c r="O181" i="11"/>
  <c r="O217" i="11"/>
  <c r="P217" i="11" s="1"/>
  <c r="Q217" i="11" s="1"/>
  <c r="M219" i="11" s="1"/>
  <c r="Q227" i="11"/>
  <c r="M235" i="11" s="1"/>
  <c r="P227" i="11"/>
  <c r="O227" i="11"/>
  <c r="N227" i="11"/>
  <c r="S155" i="11"/>
  <c r="K433" i="11"/>
  <c r="L432" i="11"/>
  <c r="S432" i="11" s="1"/>
  <c r="S234" i="11"/>
  <c r="M224" i="7"/>
  <c r="S222" i="7"/>
  <c r="N240" i="7"/>
  <c r="S232" i="7"/>
  <c r="U232" i="7"/>
  <c r="M170" i="7"/>
  <c r="S168" i="7"/>
  <c r="U432" i="11" l="1"/>
  <c r="U291" i="11"/>
  <c r="U158" i="11"/>
  <c r="S217" i="11"/>
  <c r="P181" i="11"/>
  <c r="Q181" i="11" s="1"/>
  <c r="N199" i="11"/>
  <c r="K434" i="11"/>
  <c r="L433" i="11"/>
  <c r="S433" i="11" s="1"/>
  <c r="F291" i="11"/>
  <c r="N235" i="11"/>
  <c r="O219" i="11"/>
  <c r="P219" i="11" s="1"/>
  <c r="Q219" i="11" s="1"/>
  <c r="N219" i="11"/>
  <c r="S219" i="11" s="1"/>
  <c r="S227" i="11"/>
  <c r="O163" i="11"/>
  <c r="O170" i="7"/>
  <c r="P170" i="7" s="1"/>
  <c r="Q170" i="7" s="1"/>
  <c r="N170" i="7"/>
  <c r="O240" i="7"/>
  <c r="O224" i="7"/>
  <c r="P224" i="7" s="1"/>
  <c r="Q224" i="7" s="1"/>
  <c r="N224" i="7"/>
  <c r="U433" i="11" l="1"/>
  <c r="U292" i="11"/>
  <c r="U159" i="11"/>
  <c r="O235" i="11"/>
  <c r="P235" i="11" s="1"/>
  <c r="Q235" i="11" s="1"/>
  <c r="M237" i="11" s="1"/>
  <c r="S235" i="11"/>
  <c r="O199" i="11"/>
  <c r="F292" i="11"/>
  <c r="L434" i="11"/>
  <c r="S434" i="11" s="1"/>
  <c r="K435" i="11"/>
  <c r="P163" i="11"/>
  <c r="Q163" i="11" s="1"/>
  <c r="M183" i="11"/>
  <c r="S181" i="11"/>
  <c r="S170" i="7"/>
  <c r="S224" i="7"/>
  <c r="P240" i="7"/>
  <c r="Q240" i="7" s="1"/>
  <c r="U240" i="7"/>
  <c r="U224" i="7"/>
  <c r="U170" i="7"/>
  <c r="U434" i="11" l="1"/>
  <c r="U293" i="11"/>
  <c r="U160" i="11"/>
  <c r="M165" i="11"/>
  <c r="S163" i="11"/>
  <c r="S435" i="11"/>
  <c r="K436" i="11"/>
  <c r="F293" i="11"/>
  <c r="P199" i="11"/>
  <c r="Q199" i="11" s="1"/>
  <c r="O183" i="11"/>
  <c r="P183" i="11" s="1"/>
  <c r="Q183" i="11" s="1"/>
  <c r="N183" i="11"/>
  <c r="S183" i="11" s="1"/>
  <c r="N237" i="11"/>
  <c r="M242" i="7"/>
  <c r="S240" i="7"/>
  <c r="U435" i="11" l="1"/>
  <c r="U294" i="11"/>
  <c r="U161" i="11"/>
  <c r="M201" i="11"/>
  <c r="S199" i="11"/>
  <c r="F294" i="11"/>
  <c r="K437" i="11"/>
  <c r="L436" i="11"/>
  <c r="S436" i="11" s="1"/>
  <c r="O237" i="11"/>
  <c r="P237" i="11" s="1"/>
  <c r="Q237" i="11" s="1"/>
  <c r="S237" i="11"/>
  <c r="O165" i="11"/>
  <c r="P165" i="11" s="1"/>
  <c r="Q165" i="11" s="1"/>
  <c r="N165" i="11"/>
  <c r="S165" i="11" s="1"/>
  <c r="N242" i="7"/>
  <c r="U436" i="11" l="1"/>
  <c r="U295" i="11"/>
  <c r="U162" i="11"/>
  <c r="K438" i="11"/>
  <c r="L438" i="11" s="1"/>
  <c r="S438" i="11" s="1"/>
  <c r="L437" i="11"/>
  <c r="S437" i="11" s="1"/>
  <c r="F295" i="11"/>
  <c r="N201" i="11"/>
  <c r="O201" i="11"/>
  <c r="P201" i="11" s="1"/>
  <c r="Q201" i="11" s="1"/>
  <c r="O242" i="7"/>
  <c r="U437" i="11" l="1"/>
  <c r="U296" i="11"/>
  <c r="U163" i="11"/>
  <c r="S201" i="11"/>
  <c r="F296" i="11"/>
  <c r="P242" i="7"/>
  <c r="Q242" i="7" s="1"/>
  <c r="S242" i="7" s="1"/>
  <c r="U242" i="7"/>
  <c r="P40" i="7"/>
  <c r="P41" i="7"/>
  <c r="P43" i="7"/>
  <c r="P49" i="7"/>
  <c r="P56" i="7"/>
  <c r="P51" i="7"/>
  <c r="P47" i="7"/>
  <c r="P42" i="7"/>
  <c r="P45" i="7"/>
  <c r="P38" i="7"/>
  <c r="P48" i="7"/>
  <c r="P55" i="7"/>
  <c r="P57" i="7"/>
  <c r="P44" i="7"/>
  <c r="P37" i="7"/>
  <c r="P53" i="7"/>
  <c r="P46" i="7"/>
  <c r="P54" i="7"/>
  <c r="P50" i="7"/>
  <c r="P52" i="7"/>
  <c r="P39" i="7"/>
  <c r="P58" i="7"/>
  <c r="AP46" i="7"/>
  <c r="AP45" i="7"/>
  <c r="AP44" i="7"/>
  <c r="AP43" i="7"/>
  <c r="AP42" i="7"/>
  <c r="AP41" i="7"/>
  <c r="AP56" i="7"/>
  <c r="AP40" i="7"/>
  <c r="AP55" i="7"/>
  <c r="AP47" i="7"/>
  <c r="AP54" i="7"/>
  <c r="AP57" i="7"/>
  <c r="AP53" i="7"/>
  <c r="AP48" i="7"/>
  <c r="AP52" i="7"/>
  <c r="AP51" i="7"/>
  <c r="P36" i="7"/>
  <c r="AP50" i="7"/>
  <c r="AP49" i="7"/>
  <c r="U438" i="11" l="1"/>
  <c r="U297" i="11"/>
  <c r="U164" i="11"/>
  <c r="F297" i="11"/>
  <c r="U298" i="11" l="1"/>
  <c r="U165" i="11"/>
  <c r="F298" i="11"/>
  <c r="U299" i="11" l="1"/>
  <c r="U166" i="11"/>
  <c r="F299" i="11"/>
  <c r="U300" i="11" l="1"/>
  <c r="U167" i="11"/>
  <c r="F300" i="11"/>
  <c r="U301" i="11" l="1"/>
  <c r="U168" i="11"/>
  <c r="F301" i="11"/>
  <c r="U302" i="11" l="1"/>
  <c r="U169" i="11"/>
  <c r="F302" i="11"/>
  <c r="U303" i="11" l="1"/>
  <c r="U170" i="11"/>
  <c r="F303" i="11"/>
  <c r="U304" i="11" l="1"/>
  <c r="U171" i="11"/>
  <c r="F304" i="11"/>
  <c r="U305" i="11" l="1"/>
  <c r="U172" i="11"/>
  <c r="F305" i="11"/>
  <c r="U306" i="11" l="1"/>
  <c r="U173" i="11"/>
  <c r="F306" i="11"/>
  <c r="U307" i="11" l="1"/>
  <c r="U174" i="11"/>
  <c r="F307" i="11"/>
  <c r="U308" i="11" l="1"/>
  <c r="U175" i="11"/>
  <c r="F308" i="11"/>
  <c r="U309" i="11" l="1"/>
  <c r="U176" i="11"/>
  <c r="F309" i="11"/>
  <c r="U310" i="11" l="1"/>
  <c r="U177" i="11"/>
  <c r="F310" i="11"/>
  <c r="U311" i="11" l="1"/>
  <c r="U178" i="11"/>
  <c r="F311" i="11"/>
  <c r="U312" i="11" l="1"/>
  <c r="U179" i="11"/>
  <c r="F312" i="11"/>
  <c r="U313" i="11" l="1"/>
  <c r="U180" i="11"/>
  <c r="F313" i="11"/>
  <c r="U314" i="11" l="1"/>
  <c r="U181" i="11"/>
  <c r="F314" i="11"/>
  <c r="U315" i="11" l="1"/>
  <c r="U182" i="11"/>
  <c r="F315" i="11"/>
  <c r="U316" i="11" l="1"/>
  <c r="U183" i="11"/>
  <c r="F316" i="11"/>
  <c r="U317" i="11" l="1"/>
  <c r="U184" i="11"/>
  <c r="F317" i="11"/>
  <c r="U318" i="11" l="1"/>
  <c r="U185" i="11"/>
  <c r="F318" i="11"/>
  <c r="U319" i="11" l="1"/>
  <c r="U186" i="11"/>
  <c r="F319" i="11"/>
  <c r="U320" i="11" l="1"/>
  <c r="U187" i="11"/>
  <c r="F320" i="11"/>
  <c r="U321" i="11" l="1"/>
  <c r="U188" i="11"/>
  <c r="F321" i="11"/>
  <c r="U322" i="11" l="1"/>
  <c r="U189" i="11"/>
  <c r="F322" i="11"/>
  <c r="U323" i="11" l="1"/>
  <c r="U190" i="11"/>
  <c r="F323" i="11"/>
  <c r="U324" i="11" l="1"/>
  <c r="U191" i="11"/>
  <c r="F324" i="11"/>
  <c r="U325" i="11" l="1"/>
  <c r="U192" i="11"/>
  <c r="F325" i="11"/>
  <c r="U326" i="11" l="1"/>
  <c r="U193" i="11"/>
  <c r="F326" i="11"/>
  <c r="U327" i="11" l="1"/>
  <c r="U194" i="11"/>
  <c r="F327" i="11"/>
  <c r="U328" i="11" l="1"/>
  <c r="U195" i="11"/>
  <c r="F328" i="11"/>
  <c r="U329" i="11" l="1"/>
  <c r="U196" i="11"/>
  <c r="F329" i="11"/>
  <c r="U330" i="11" l="1"/>
  <c r="U197" i="11"/>
  <c r="F330" i="11"/>
  <c r="U331" i="11" l="1"/>
  <c r="U198" i="11"/>
  <c r="F331" i="11"/>
  <c r="U332" i="11" l="1"/>
  <c r="U199" i="11"/>
  <c r="F332" i="11"/>
  <c r="U333" i="11" l="1"/>
  <c r="U200" i="11"/>
  <c r="F333" i="11"/>
  <c r="U334" i="11" l="1"/>
  <c r="U201" i="11"/>
  <c r="F334" i="11"/>
  <c r="U335" i="11" l="1"/>
  <c r="U202" i="11"/>
  <c r="F335" i="11"/>
  <c r="U336" i="11" l="1"/>
  <c r="U203" i="11"/>
  <c r="F336" i="11"/>
  <c r="U337" i="11" l="1"/>
  <c r="U204" i="11"/>
  <c r="F337" i="11"/>
  <c r="U338" i="11" l="1"/>
  <c r="U205" i="11"/>
  <c r="F338" i="11"/>
  <c r="U339" i="11" l="1"/>
  <c r="U206" i="11"/>
  <c r="F339" i="11"/>
  <c r="U340" i="11" l="1"/>
  <c r="U207" i="11"/>
  <c r="F340" i="11"/>
  <c r="U341" i="11" l="1"/>
  <c r="U208" i="11"/>
  <c r="F341" i="11"/>
  <c r="U342" i="11" l="1"/>
  <c r="U209" i="11"/>
  <c r="F342" i="11"/>
  <c r="U343" i="11" l="1"/>
  <c r="U210" i="11"/>
  <c r="F343" i="11"/>
  <c r="U344" i="11" l="1"/>
  <c r="U211" i="11"/>
  <c r="F344" i="11"/>
  <c r="U345" i="11" l="1"/>
  <c r="U212" i="11"/>
  <c r="F345" i="11"/>
  <c r="U346" i="11" l="1"/>
  <c r="U213" i="11"/>
  <c r="F346" i="11"/>
  <c r="U347" i="11" l="1"/>
  <c r="U214" i="11"/>
  <c r="F347" i="11"/>
  <c r="U348" i="11" l="1"/>
  <c r="U215" i="11"/>
  <c r="F348" i="11"/>
  <c r="U349" i="11" l="1"/>
  <c r="U216" i="11"/>
  <c r="F349" i="11"/>
  <c r="S349" i="11" s="1"/>
  <c r="U217" i="11" l="1"/>
  <c r="U218" i="11" l="1"/>
  <c r="U219" i="11" l="1"/>
  <c r="U220" i="11" l="1"/>
  <c r="U221" i="11" l="1"/>
  <c r="U222" i="11" l="1"/>
  <c r="U223" i="11" l="1"/>
  <c r="U224" i="11" l="1"/>
  <c r="U225" i="11" l="1"/>
  <c r="U226" i="11" l="1"/>
  <c r="U227" i="11" l="1"/>
  <c r="U228" i="11" l="1"/>
  <c r="U229" i="11" l="1"/>
  <c r="U230" i="11" l="1"/>
  <c r="U231" i="11" l="1"/>
  <c r="U232" i="11" l="1"/>
  <c r="U233" i="11" l="1"/>
  <c r="U234" i="11" l="1"/>
  <c r="U235" i="11" l="1"/>
  <c r="U236" i="11" l="1"/>
  <c r="U237" i="11" l="1"/>
  <c r="U238" i="11" l="1"/>
  <c r="U239" i="11" l="1"/>
  <c r="U240" i="11" l="1"/>
  <c r="U241" i="11" l="1"/>
  <c r="U242" i="11" l="1"/>
  <c r="U243" i="11" l="1"/>
  <c r="U244" i="11" l="1"/>
  <c r="U245" i="11" l="1"/>
  <c r="U246" i="11" l="1"/>
  <c r="U247" i="11" l="1"/>
  <c r="U248" i="11" l="1"/>
  <c r="U249" i="11" l="1"/>
  <c r="U250" i="11" l="1"/>
  <c r="U251" i="11" l="1"/>
  <c r="U252" i="11" l="1"/>
  <c r="U253" i="11" l="1"/>
  <c r="U254" i="11" l="1"/>
  <c r="U255" i="11" l="1"/>
  <c r="U25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francois manier</author>
  </authors>
  <commentList>
    <comment ref="E4" authorId="0" shapeId="0" xr:uid="{27240BAC-BFC9-493D-9419-20CBF5BCFAD9}">
      <text>
        <r>
          <rPr>
            <b/>
            <sz val="9"/>
            <color indexed="81"/>
            <rFont val="Tahoma"/>
            <family val="2"/>
          </rPr>
          <t>francois manier:</t>
        </r>
        <r>
          <rPr>
            <sz val="9"/>
            <color indexed="81"/>
            <rFont val="Tahoma"/>
            <family val="2"/>
          </rPr>
          <t xml:space="preserve">
- la 1er lettre est en minuscule
- Puis la 1er lettre des mots composant le mot clé en Majuscule,
- Pas d'espacement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francois manier</author>
  </authors>
  <commentList>
    <comment ref="D3" authorId="0" shapeId="0" xr:uid="{83FDAF58-AA6E-47D4-962B-5C78CFC9594A}">
      <text>
        <r>
          <rPr>
            <b/>
            <sz val="9"/>
            <color indexed="81"/>
            <rFont val="Tahoma"/>
            <family val="2"/>
          </rPr>
          <t>francois manier:</t>
        </r>
        <r>
          <rPr>
            <sz val="9"/>
            <color indexed="81"/>
            <rFont val="Tahoma"/>
            <family val="2"/>
          </rPr>
          <t xml:space="preserve">
- la 1er lettre est en minuscule
- Puis la 1er lettre des mots composant le mot clé en Majuscule,
- Pas d'espacement</t>
        </r>
      </text>
    </comment>
    <comment ref="D16" authorId="0" shapeId="0" xr:uid="{61522B58-8BD3-4D24-A6CA-842356129EBE}">
      <text>
        <r>
          <rPr>
            <b/>
            <sz val="9"/>
            <color indexed="81"/>
            <rFont val="Tahoma"/>
            <family val="2"/>
          </rPr>
          <t>francois manier:</t>
        </r>
        <r>
          <rPr>
            <sz val="9"/>
            <color indexed="81"/>
            <rFont val="Tahoma"/>
            <family val="2"/>
          </rPr>
          <t xml:space="preserve">
- la 1er lettre est en minuscule
- Puis la 1er lettre des mots composant le mot clé en Majuscule,
- Pas d'espacement</t>
        </r>
      </text>
    </comment>
    <comment ref="D23" authorId="0" shapeId="0" xr:uid="{71A3686E-4903-46CE-8FD0-BA9067564C90}">
      <text>
        <r>
          <rPr>
            <b/>
            <sz val="9"/>
            <color indexed="81"/>
            <rFont val="Tahoma"/>
            <family val="2"/>
          </rPr>
          <t>francois manier:</t>
        </r>
        <r>
          <rPr>
            <sz val="9"/>
            <color indexed="81"/>
            <rFont val="Tahoma"/>
            <family val="2"/>
          </rPr>
          <t xml:space="preserve">
- la 1er lettre est en minuscule
- Puis la 1er lettre des mots composant le mot clé en Majuscule,
- Pas d'espacement</t>
        </r>
      </text>
    </comment>
    <comment ref="D35" authorId="0" shapeId="0" xr:uid="{54993BA8-16BE-4ABE-9FC0-77375A319935}">
      <text>
        <r>
          <rPr>
            <b/>
            <sz val="9"/>
            <color indexed="81"/>
            <rFont val="Tahoma"/>
            <family val="2"/>
          </rPr>
          <t>francois manier:</t>
        </r>
        <r>
          <rPr>
            <sz val="9"/>
            <color indexed="81"/>
            <rFont val="Tahoma"/>
            <family val="2"/>
          </rPr>
          <t xml:space="preserve">
- la 1er lettre est en minuscule
- Puis la 1er lettre des mots composant le mot clé en Majuscule,
- Pas d'espacement</t>
        </r>
      </text>
    </comment>
    <comment ref="D50" authorId="0" shapeId="0" xr:uid="{7B7DFC6C-B89E-4F57-ACC3-30666D06C600}">
      <text>
        <r>
          <rPr>
            <b/>
            <sz val="9"/>
            <color indexed="81"/>
            <rFont val="Tahoma"/>
            <family val="2"/>
          </rPr>
          <t>francois manier:</t>
        </r>
        <r>
          <rPr>
            <sz val="9"/>
            <color indexed="81"/>
            <rFont val="Tahoma"/>
            <family val="2"/>
          </rPr>
          <t xml:space="preserve">
- la 1er lettre est en minuscule
- Puis la 1er lettre des mots composant le mot clé en Majuscule,
- Pas d'espacement</t>
        </r>
      </text>
    </comment>
    <comment ref="D60" authorId="0" shapeId="0" xr:uid="{E059DBA3-60B0-426F-BB27-FB575E583999}">
      <text>
        <r>
          <rPr>
            <b/>
            <sz val="9"/>
            <color indexed="81"/>
            <rFont val="Tahoma"/>
            <family val="2"/>
          </rPr>
          <t>francois manier:</t>
        </r>
        <r>
          <rPr>
            <sz val="9"/>
            <color indexed="81"/>
            <rFont val="Tahoma"/>
            <family val="2"/>
          </rPr>
          <t xml:space="preserve">
- la 1er lettre est en minuscule
- Puis la 1er lettre des mots composant le mot clé en Majuscule,
- Pas d'espacement</t>
        </r>
      </text>
    </comment>
    <comment ref="D69" authorId="0" shapeId="0" xr:uid="{4E7A420E-EE62-4C1B-8741-7FA1F6F95EDB}">
      <text>
        <r>
          <rPr>
            <b/>
            <sz val="9"/>
            <color indexed="81"/>
            <rFont val="Tahoma"/>
            <family val="2"/>
          </rPr>
          <t>francois manier:</t>
        </r>
        <r>
          <rPr>
            <sz val="9"/>
            <color indexed="81"/>
            <rFont val="Tahoma"/>
            <family val="2"/>
          </rPr>
          <t xml:space="preserve">
- la 1er lettre est en minuscule
- Puis la 1er lettre des mots composant le mot clé en Majuscule,
- Pas d'espacement</t>
        </r>
      </text>
    </comment>
    <comment ref="D75" authorId="0" shapeId="0" xr:uid="{6D8FBE66-5412-4827-A56F-991D5FC3570F}">
      <text>
        <r>
          <rPr>
            <b/>
            <sz val="9"/>
            <color indexed="81"/>
            <rFont val="Tahoma"/>
            <family val="2"/>
          </rPr>
          <t>francois manier:</t>
        </r>
        <r>
          <rPr>
            <sz val="9"/>
            <color indexed="81"/>
            <rFont val="Tahoma"/>
            <family val="2"/>
          </rPr>
          <t xml:space="preserve">
- la 1er lettre est en minuscule
- Puis la 1er lettre des mots composant le mot clé en Majuscule,
- Pas d'espacement</t>
        </r>
      </text>
    </comment>
    <comment ref="D85" authorId="0" shapeId="0" xr:uid="{71279CAB-A012-45CF-9577-F987BBDB8985}">
      <text>
        <r>
          <rPr>
            <b/>
            <sz val="9"/>
            <color indexed="81"/>
            <rFont val="Tahoma"/>
            <family val="2"/>
          </rPr>
          <t>francois manier:</t>
        </r>
        <r>
          <rPr>
            <sz val="9"/>
            <color indexed="81"/>
            <rFont val="Tahoma"/>
            <family val="2"/>
          </rPr>
          <t xml:space="preserve">
- la 1er lettre est en minuscule
- Puis la 1er lettre des mots composant le mot clé en Majuscule,
- Pas d'espacement</t>
        </r>
      </text>
    </comment>
    <comment ref="D92" authorId="0" shapeId="0" xr:uid="{420AF5C5-7D80-4EC3-86B3-4429A10E01ED}">
      <text>
        <r>
          <rPr>
            <b/>
            <sz val="9"/>
            <color indexed="81"/>
            <rFont val="Tahoma"/>
            <family val="2"/>
          </rPr>
          <t>francois manier:</t>
        </r>
        <r>
          <rPr>
            <sz val="9"/>
            <color indexed="81"/>
            <rFont val="Tahoma"/>
            <family val="2"/>
          </rPr>
          <t xml:space="preserve">
- la 1er lettre est en minuscule
- Puis la 1er lettre des mots composant le mot clé en Majuscule,
- Pas d'espacement</t>
        </r>
      </text>
    </comment>
    <comment ref="D100" authorId="0" shapeId="0" xr:uid="{DEF40968-3AE0-431F-AA4B-97101E0DF881}">
      <text>
        <r>
          <rPr>
            <b/>
            <sz val="9"/>
            <color indexed="81"/>
            <rFont val="Tahoma"/>
            <family val="2"/>
          </rPr>
          <t>francois manier:</t>
        </r>
        <r>
          <rPr>
            <sz val="9"/>
            <color indexed="81"/>
            <rFont val="Tahoma"/>
            <family val="2"/>
          </rPr>
          <t xml:space="preserve">
- la 1er lettre est en minuscule
- Puis la 1er lettre des mots composant le mot clé en Majuscule,
- Pas d'espacement</t>
        </r>
      </text>
    </comment>
    <comment ref="D110" authorId="0" shapeId="0" xr:uid="{B79C32F9-A775-4D34-822F-FF3446E158C4}">
      <text>
        <r>
          <rPr>
            <b/>
            <sz val="9"/>
            <color indexed="81"/>
            <rFont val="Tahoma"/>
            <family val="2"/>
          </rPr>
          <t>francois manier:</t>
        </r>
        <r>
          <rPr>
            <sz val="9"/>
            <color indexed="81"/>
            <rFont val="Tahoma"/>
            <family val="2"/>
          </rPr>
          <t xml:space="preserve">
- la 1er lettre est en minuscule
- Puis la 1er lettre des mots composant le mot clé en Majuscule,
- Pas d'espacement</t>
        </r>
      </text>
    </comment>
    <comment ref="D118" authorId="0" shapeId="0" xr:uid="{AAC22CA4-F564-4F5B-8EFC-94403A035EE8}">
      <text>
        <r>
          <rPr>
            <b/>
            <sz val="9"/>
            <color indexed="81"/>
            <rFont val="Tahoma"/>
            <family val="2"/>
          </rPr>
          <t>francois manier:</t>
        </r>
        <r>
          <rPr>
            <sz val="9"/>
            <color indexed="81"/>
            <rFont val="Tahoma"/>
            <family val="2"/>
          </rPr>
          <t xml:space="preserve">
- la 1er lettre est en minuscule
- Puis la 1er lettre des mots composant le mot clé en Majuscule,
- Pas d'espacement</t>
        </r>
      </text>
    </comment>
    <comment ref="D127" authorId="0" shapeId="0" xr:uid="{836329BD-75C1-4057-B584-5099D03A4938}">
      <text>
        <r>
          <rPr>
            <b/>
            <sz val="9"/>
            <color indexed="81"/>
            <rFont val="Tahoma"/>
            <family val="2"/>
          </rPr>
          <t>francois manier:</t>
        </r>
        <r>
          <rPr>
            <sz val="9"/>
            <color indexed="81"/>
            <rFont val="Tahoma"/>
            <family val="2"/>
          </rPr>
          <t xml:space="preserve">
- la 1er lettre est en minuscule
- Puis la 1er lettre des mots composant le mot clé en Majuscule,
- Pas d'espacement</t>
        </r>
      </text>
    </comment>
    <comment ref="D132" authorId="0" shapeId="0" xr:uid="{BA1C0077-4B05-4CCA-A0FE-2460ADA95A2F}">
      <text>
        <r>
          <rPr>
            <b/>
            <sz val="9"/>
            <color indexed="81"/>
            <rFont val="Tahoma"/>
            <family val="2"/>
          </rPr>
          <t>francois manier:</t>
        </r>
        <r>
          <rPr>
            <sz val="9"/>
            <color indexed="81"/>
            <rFont val="Tahoma"/>
            <family val="2"/>
          </rPr>
          <t xml:space="preserve">
- la 1er lettre est en minuscule
- Puis la 1er lettre des mots composant le mot clé en Majuscule,
- Pas d'espacement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francois manier</author>
  </authors>
  <commentList>
    <comment ref="AA35" authorId="0" shapeId="0" xr:uid="{6E69D0DD-98F7-4D9F-A983-7AA934B0B7EF}">
      <text>
        <r>
          <rPr>
            <b/>
            <sz val="9"/>
            <color indexed="81"/>
            <rFont val="Tahoma"/>
            <family val="2"/>
          </rPr>
          <t>francois manier:</t>
        </r>
        <r>
          <rPr>
            <sz val="9"/>
            <color indexed="81"/>
            <rFont val="Tahoma"/>
            <family val="2"/>
          </rPr>
          <t xml:space="preserve">
Devis
Facture
Plan
ImgPhoto
Schema
ChiffrageProj
Couts
Divers</t>
        </r>
      </text>
    </comment>
    <comment ref="H36" authorId="0" shapeId="0" xr:uid="{D3DB1F6C-3863-4863-B182-FF660FE0490E}">
      <text>
        <r>
          <rPr>
            <b/>
            <sz val="9"/>
            <color indexed="81"/>
            <rFont val="Tahoma"/>
            <family val="2"/>
          </rPr>
          <t>francois manier:</t>
        </r>
        <r>
          <rPr>
            <sz val="9"/>
            <color indexed="81"/>
            <rFont val="Tahoma"/>
            <family val="2"/>
          </rPr>
          <t xml:space="preserve">
Devis
Facture
Plan
ImgPhoto
Schema
ChiffrageProj
Couts
Divers</t>
        </r>
      </text>
    </comment>
    <comment ref="K70" authorId="0" shapeId="0" xr:uid="{2383FC51-F0CD-46B6-AA30-8C1BE36D43E6}">
      <text>
        <r>
          <rPr>
            <b/>
            <sz val="9"/>
            <color indexed="81"/>
            <rFont val="Tahoma"/>
            <family val="2"/>
          </rPr>
          <t>francois manier:</t>
        </r>
        <r>
          <rPr>
            <sz val="9"/>
            <color indexed="81"/>
            <rFont val="Tahoma"/>
            <family val="2"/>
          </rPr>
          <t xml:space="preserve">
QPU
Forfait</t>
        </r>
      </text>
    </comment>
    <comment ref="AG71" authorId="0" shapeId="0" xr:uid="{F2BECC93-8D33-469F-AE14-301F772F5DD3}">
      <text>
        <r>
          <rPr>
            <b/>
            <sz val="9"/>
            <color indexed="81"/>
            <rFont val="Tahoma"/>
            <family val="2"/>
          </rPr>
          <t>francois manier:</t>
        </r>
        <r>
          <rPr>
            <sz val="9"/>
            <color indexed="81"/>
            <rFont val="Tahoma"/>
            <family val="2"/>
          </rPr>
          <t xml:space="preserve">
QPU
Forfait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francois manier</author>
  </authors>
  <commentList>
    <comment ref="AA30" authorId="0" shapeId="0" xr:uid="{47270CD6-47E0-42D7-8B44-3FB59B6A1FB9}">
      <text>
        <r>
          <rPr>
            <b/>
            <sz val="9"/>
            <color indexed="81"/>
            <rFont val="Tahoma"/>
            <family val="2"/>
          </rPr>
          <t>francois manier:</t>
        </r>
        <r>
          <rPr>
            <sz val="9"/>
            <color indexed="81"/>
            <rFont val="Tahoma"/>
            <family val="2"/>
          </rPr>
          <t xml:space="preserve">
Devis
Facture
Plan
ImgPhoto
Schema
ChiffrageProj
Couts
Divers</t>
        </r>
      </text>
    </comment>
    <comment ref="H31" authorId="0" shapeId="0" xr:uid="{3F67C975-2DDF-46E1-8756-9668226D0601}">
      <text>
        <r>
          <rPr>
            <b/>
            <sz val="9"/>
            <color indexed="81"/>
            <rFont val="Tahoma"/>
            <family val="2"/>
          </rPr>
          <t>francois manier:</t>
        </r>
        <r>
          <rPr>
            <sz val="9"/>
            <color indexed="81"/>
            <rFont val="Tahoma"/>
            <family val="2"/>
          </rPr>
          <t xml:space="preserve">
Devis
Facture
Plan
ImgPhoto
Schema
ChiffrageProj
Couts
Divers</t>
        </r>
      </text>
    </comment>
    <comment ref="K65" authorId="0" shapeId="0" xr:uid="{68C676E5-7A9D-4443-84A9-836F8A116EED}">
      <text>
        <r>
          <rPr>
            <b/>
            <sz val="9"/>
            <color indexed="81"/>
            <rFont val="Tahoma"/>
            <family val="2"/>
          </rPr>
          <t>francois manier:</t>
        </r>
        <r>
          <rPr>
            <sz val="9"/>
            <color indexed="81"/>
            <rFont val="Tahoma"/>
            <family val="2"/>
          </rPr>
          <t xml:space="preserve">
QPU
Forfait</t>
        </r>
      </text>
    </comment>
    <comment ref="AY65" authorId="0" shapeId="0" xr:uid="{48593F67-616F-4559-B215-3EBE0C5F7EF0}">
      <text>
        <r>
          <rPr>
            <b/>
            <sz val="9"/>
            <color indexed="81"/>
            <rFont val="Tahoma"/>
            <family val="2"/>
          </rPr>
          <t>francois manier:</t>
        </r>
        <r>
          <rPr>
            <sz val="9"/>
            <color indexed="81"/>
            <rFont val="Tahoma"/>
            <family val="2"/>
          </rPr>
          <t xml:space="preserve">
QPU
Forfait</t>
        </r>
      </text>
    </comment>
    <comment ref="AE66" authorId="0" shapeId="0" xr:uid="{358B2053-5E3F-4E10-B9EF-E46CAE65AAD1}">
      <text>
        <r>
          <rPr>
            <b/>
            <sz val="9"/>
            <color indexed="81"/>
            <rFont val="Tahoma"/>
            <family val="2"/>
          </rPr>
          <t>francois manier:</t>
        </r>
        <r>
          <rPr>
            <sz val="9"/>
            <color indexed="81"/>
            <rFont val="Tahoma"/>
            <family val="2"/>
          </rPr>
          <t xml:space="preserve">
QPU
Forfait</t>
        </r>
      </text>
    </comment>
    <comment ref="AS67" authorId="0" shapeId="0" xr:uid="{C4B7EC51-C1C1-4BAA-94C2-825EF2D53E45}">
      <text>
        <r>
          <rPr>
            <b/>
            <sz val="9"/>
            <color indexed="81"/>
            <rFont val="Tahoma"/>
            <charset val="1"/>
          </rPr>
          <t>francois manier:</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francois manier</author>
  </authors>
  <commentList>
    <comment ref="F4" authorId="0" shapeId="0" xr:uid="{363F71AB-D299-42E6-B206-D5FDB6F42EEB}">
      <text>
        <r>
          <rPr>
            <b/>
            <sz val="9"/>
            <color indexed="81"/>
            <rFont val="Tahoma"/>
            <family val="2"/>
          </rPr>
          <t>francois manier:</t>
        </r>
        <r>
          <rPr>
            <sz val="9"/>
            <color indexed="81"/>
            <rFont val="Tahoma"/>
            <family val="2"/>
          </rPr>
          <t xml:space="preserve">
Très petit entier. En signé de -128 à 127, en non signé de 0 à 255. </t>
        </r>
      </text>
    </comment>
    <comment ref="F5" authorId="0" shapeId="0" xr:uid="{F59F982B-5B59-4805-98F6-1B346D779BB0}">
      <text>
        <r>
          <rPr>
            <b/>
            <sz val="9"/>
            <color indexed="81"/>
            <rFont val="Tahoma"/>
            <family val="2"/>
          </rPr>
          <t>francois manier:</t>
        </r>
        <r>
          <rPr>
            <sz val="9"/>
            <color indexed="81"/>
            <rFont val="Tahoma"/>
            <family val="2"/>
          </rPr>
          <t xml:space="preserve">
Petit entier. En signé de -32768 à 32767, en non signé de 0 à 65535. </t>
        </r>
      </text>
    </comment>
    <comment ref="F6" authorId="0" shapeId="0" xr:uid="{16E76D01-F7B8-4952-96CA-F98AE0CCBBDC}">
      <text>
        <r>
          <rPr>
            <b/>
            <sz val="9"/>
            <color indexed="81"/>
            <rFont val="Tahoma"/>
            <family val="2"/>
          </rPr>
          <t>francois manier:</t>
        </r>
        <r>
          <rPr>
            <sz val="9"/>
            <color indexed="81"/>
            <rFont val="Tahoma"/>
            <family val="2"/>
          </rPr>
          <t xml:space="preserve">
Entier de taille moyenne. En signé de -8388608 à 8388607, en non signé de 0 à 16777215. </t>
        </r>
      </text>
    </comment>
    <comment ref="F7" authorId="0" shapeId="0" xr:uid="{FA5C15DD-6227-46A7-BE35-52B74D6C3987}">
      <text>
        <r>
          <rPr>
            <b/>
            <sz val="9"/>
            <color indexed="81"/>
            <rFont val="Tahoma"/>
            <family val="2"/>
          </rPr>
          <t>francois manier:</t>
        </r>
        <r>
          <rPr>
            <sz val="9"/>
            <color indexed="81"/>
            <rFont val="Tahoma"/>
            <family val="2"/>
          </rPr>
          <t xml:space="preserve">
Entier de taille normale. En signé de -2147483648 à 2147483647, en non signé de 0 à 4294967295. </t>
        </r>
      </text>
    </comment>
    <comment ref="F8" authorId="0" shapeId="0" xr:uid="{4B22C370-5FA9-4895-9596-4158538DF23C}">
      <text>
        <r>
          <rPr>
            <b/>
            <sz val="9"/>
            <color indexed="81"/>
            <rFont val="Tahoma"/>
            <family val="2"/>
          </rPr>
          <t>francois manier:</t>
        </r>
        <r>
          <rPr>
            <sz val="9"/>
            <color indexed="81"/>
            <rFont val="Tahoma"/>
            <family val="2"/>
          </rPr>
          <t xml:space="preserve">
Idem "INT". </t>
        </r>
      </text>
    </comment>
    <comment ref="F9" authorId="0" shapeId="0" xr:uid="{73AB8962-9D60-4252-91ED-9B468529F9CA}">
      <text>
        <r>
          <rPr>
            <b/>
            <sz val="9"/>
            <color indexed="81"/>
            <rFont val="Tahoma"/>
            <family val="2"/>
          </rPr>
          <t>francois manier:</t>
        </r>
        <r>
          <rPr>
            <sz val="9"/>
            <color indexed="81"/>
            <rFont val="Tahoma"/>
            <family val="2"/>
          </rPr>
          <t xml:space="preserve">
Entier de grande taille. En signé de -9223372036854775808 à 9223372036854775807, en non signé de 0 à 18446744073709551615.</t>
        </r>
      </text>
    </comment>
    <comment ref="F10" authorId="0" shapeId="0" xr:uid="{1FEA1FB5-26EF-43FE-9424-101F0E33BF53}">
      <text>
        <r>
          <rPr>
            <b/>
            <sz val="9"/>
            <color indexed="81"/>
            <rFont val="Tahoma"/>
            <family val="2"/>
          </rPr>
          <t>francois manier:</t>
        </r>
        <r>
          <rPr>
            <sz val="9"/>
            <color indexed="81"/>
            <rFont val="Tahoma"/>
            <family val="2"/>
          </rPr>
          <t xml:space="preserve">
Nombre à virgule flottante. Toujours signé de -3.402823466E+38 à -1.175494351E-38. </t>
        </r>
      </text>
    </comment>
    <comment ref="F12" authorId="0" shapeId="0" xr:uid="{87E15772-E6DC-4409-92A5-218C77C08218}">
      <text>
        <r>
          <rPr>
            <b/>
            <sz val="9"/>
            <color indexed="81"/>
            <rFont val="Tahoma"/>
            <family val="2"/>
          </rPr>
          <t>francois manier:</t>
        </r>
        <r>
          <rPr>
            <sz val="9"/>
            <color indexed="81"/>
            <rFont val="Tahoma"/>
            <family val="2"/>
          </rPr>
          <t xml:space="preserve">
Grand nombre à virgule flottante. Toujours signé de -1.7976931348623157E+308 à 2.2250738585072014E-308.</t>
        </r>
      </text>
    </comment>
    <comment ref="F13" authorId="0" shapeId="0" xr:uid="{F4ED50E6-564B-421B-BAC6-49953C80AA97}">
      <text>
        <r>
          <rPr>
            <b/>
            <sz val="9"/>
            <color indexed="81"/>
            <rFont val="Tahoma"/>
            <family val="2"/>
          </rPr>
          <t>francois manier:</t>
        </r>
        <r>
          <rPr>
            <sz val="9"/>
            <color indexed="81"/>
            <rFont val="Tahoma"/>
            <family val="2"/>
          </rPr>
          <t xml:space="preserve">
Idem "DOUBLE". </t>
        </r>
      </text>
    </comment>
    <comment ref="F14" authorId="0" shapeId="0" xr:uid="{3467FDB5-5763-45D1-966C-8BB16708D114}">
      <text>
        <r>
          <rPr>
            <b/>
            <sz val="9"/>
            <color indexed="81"/>
            <rFont val="Tahoma"/>
            <family val="2"/>
          </rPr>
          <t>francois manier:</t>
        </r>
        <r>
          <rPr>
            <sz val="9"/>
            <color indexed="81"/>
            <rFont val="Tahoma"/>
            <family val="2"/>
          </rPr>
          <t xml:space="preserve">
Nombre à virgule flottante. Les nombres sont stockés dans la variable sous forme de chaîne de caractères. Toujours signé de -1.7976931348623157E+308 à 2.2250738585072014E-308.</t>
        </r>
      </text>
    </comment>
    <comment ref="F15" authorId="0" shapeId="0" xr:uid="{1D48C930-571F-4D5D-919E-0568C4D19F82}">
      <text>
        <r>
          <rPr>
            <b/>
            <sz val="9"/>
            <color indexed="81"/>
            <rFont val="Tahoma"/>
            <family val="2"/>
          </rPr>
          <t>francois manier:</t>
        </r>
        <r>
          <rPr>
            <sz val="9"/>
            <color indexed="81"/>
            <rFont val="Tahoma"/>
            <family val="2"/>
          </rPr>
          <t xml:space="preserve">
Idem "DECIMAL". </t>
        </r>
      </text>
    </comment>
    <comment ref="F16" authorId="0" shapeId="0" xr:uid="{08E71B5E-128D-4DAD-8A92-275CBC94D69D}">
      <text>
        <r>
          <rPr>
            <b/>
            <sz val="9"/>
            <color indexed="81"/>
            <rFont val="Tahoma"/>
            <family val="2"/>
          </rPr>
          <t>francois manier:</t>
        </r>
        <r>
          <rPr>
            <sz val="9"/>
            <color indexed="81"/>
            <rFont val="Tahoma"/>
            <family val="2"/>
          </rPr>
          <t xml:space="preserve">
Date sous la forme "AAAA-MM-JJ". De "1000-01-01" à "9999-12-31". </t>
        </r>
      </text>
    </comment>
    <comment ref="F17" authorId="0" shapeId="0" xr:uid="{6F667090-7705-4250-92EA-CB83264B8B65}">
      <text>
        <r>
          <rPr>
            <b/>
            <sz val="9"/>
            <color indexed="81"/>
            <rFont val="Tahoma"/>
            <family val="2"/>
          </rPr>
          <t>francois manier:</t>
        </r>
        <r>
          <rPr>
            <sz val="9"/>
            <color indexed="81"/>
            <rFont val="Tahoma"/>
            <family val="2"/>
          </rPr>
          <t xml:space="preserve">
Date et heure sous la forme "AAAA-MM-JJ HH:MM:SS". De "1000-01-01 00:00:00" à "9999-12-31 23:59:59".</t>
        </r>
      </text>
    </comment>
    <comment ref="F18" authorId="0" shapeId="0" xr:uid="{EF002C7F-072C-4703-98FC-BBCE3A06C010}">
      <text>
        <r>
          <rPr>
            <b/>
            <sz val="9"/>
            <color indexed="81"/>
            <rFont val="Tahoma"/>
            <family val="2"/>
          </rPr>
          <t>francois manier:</t>
        </r>
        <r>
          <rPr>
            <sz val="9"/>
            <color indexed="81"/>
            <rFont val="Tahoma"/>
            <family val="2"/>
          </rPr>
          <t xml:space="preserve">
Date et heure en secondes écoulées depuis le 1er Janvier 1970 (date UNIX). </t>
        </r>
      </text>
    </comment>
    <comment ref="F19" authorId="0" shapeId="0" xr:uid="{3BD7CBBB-A41D-4165-ACE6-60869D5BB0DE}">
      <text>
        <r>
          <rPr>
            <b/>
            <sz val="9"/>
            <color indexed="81"/>
            <rFont val="Tahoma"/>
            <family val="2"/>
          </rPr>
          <t>francois manier:</t>
        </r>
        <r>
          <rPr>
            <sz val="9"/>
            <color indexed="81"/>
            <rFont val="Tahoma"/>
            <family val="2"/>
          </rPr>
          <t xml:space="preserve">
Heure sous la forme "HH:MM:SS". De "-838:59:59" à "838:59:59". </t>
        </r>
      </text>
    </comment>
    <comment ref="F20" authorId="0" shapeId="0" xr:uid="{EDED319B-929F-4BF4-9511-D514FBB69EC7}">
      <text>
        <r>
          <rPr>
            <b/>
            <sz val="9"/>
            <color indexed="81"/>
            <rFont val="Tahoma"/>
            <family val="2"/>
          </rPr>
          <t>francois manier:</t>
        </r>
        <r>
          <rPr>
            <sz val="9"/>
            <color indexed="81"/>
            <rFont val="Tahoma"/>
            <family val="2"/>
          </rPr>
          <t xml:space="preserve">
Chaîne de caractères. Insensible à la casse. Taille maximale : 65535.</t>
        </r>
      </text>
    </comment>
    <comment ref="F21" authorId="0" shapeId="0" xr:uid="{DBC15DBF-5DFE-4E05-9044-010F9CB044D5}">
      <text>
        <r>
          <rPr>
            <b/>
            <sz val="9"/>
            <color indexed="81"/>
            <rFont val="Tahoma"/>
            <family val="2"/>
          </rPr>
          <t>francois manier:</t>
        </r>
        <r>
          <rPr>
            <sz val="9"/>
            <color indexed="81"/>
            <rFont val="Tahoma"/>
            <family val="2"/>
          </rPr>
          <t xml:space="preserve">
Chaîne de caractères. Sensible à la casse. Taille maximale : 16777215. </t>
        </r>
      </text>
    </comment>
    <comment ref="F22" authorId="0" shapeId="0" xr:uid="{2D8FD299-F592-49EB-A0D9-C671BE298119}">
      <text>
        <r>
          <rPr>
            <b/>
            <sz val="9"/>
            <color indexed="81"/>
            <rFont val="Tahoma"/>
            <family val="2"/>
          </rPr>
          <t>francois manier:</t>
        </r>
        <r>
          <rPr>
            <sz val="9"/>
            <color indexed="81"/>
            <rFont val="Tahoma"/>
            <family val="2"/>
          </rPr>
          <t xml:space="preserve">
Chaîne de caractères. Insensible à la casse. Taille maximale : 16777215. </t>
        </r>
      </text>
    </comment>
    <comment ref="F23" authorId="0" shapeId="0" xr:uid="{F5F0815F-5A19-4C82-9390-3C94179C0ECD}">
      <text>
        <r>
          <rPr>
            <b/>
            <sz val="9"/>
            <color indexed="81"/>
            <rFont val="Tahoma"/>
            <family val="2"/>
          </rPr>
          <t>francois manier:</t>
        </r>
        <r>
          <rPr>
            <sz val="9"/>
            <color indexed="81"/>
            <rFont val="Tahoma"/>
            <family val="2"/>
          </rPr>
          <t xml:space="preserve">
Chaîne de caractères. Sensible à la casse. Taille maximale : 4294967295. </t>
        </r>
      </text>
    </comment>
    <comment ref="F24" authorId="0" shapeId="0" xr:uid="{9A1CD2AC-1934-4005-BED6-5C0B0EB9362B}">
      <text>
        <r>
          <rPr>
            <b/>
            <sz val="9"/>
            <color indexed="81"/>
            <rFont val="Tahoma"/>
            <family val="2"/>
          </rPr>
          <t>francois manier:</t>
        </r>
        <r>
          <rPr>
            <sz val="9"/>
            <color indexed="81"/>
            <rFont val="Tahoma"/>
            <family val="2"/>
          </rPr>
          <t xml:space="preserve">
Chaîne de caractères. Insensible à la casse. Taille maximale : 4294967295. </t>
        </r>
      </text>
    </comment>
    <comment ref="F25" authorId="0" shapeId="0" xr:uid="{F76D28AF-5D0C-47B2-AA7E-85CE7C4BF98A}">
      <text>
        <r>
          <rPr>
            <b/>
            <sz val="9"/>
            <color indexed="81"/>
            <rFont val="Tahoma"/>
            <family val="2"/>
          </rPr>
          <t>francois manier:</t>
        </r>
        <r>
          <rPr>
            <sz val="9"/>
            <color indexed="81"/>
            <rFont val="Tahoma"/>
            <family val="2"/>
          </rPr>
          <t xml:space="preserve">
Enumération. Un objet chaîne peut prendre une des valeurs contenue dans une liste de valeurs. Nombre maximum de valeurs distinctes : 65535. </t>
        </r>
      </text>
    </comment>
    <comment ref="F26" authorId="0" shapeId="0" xr:uid="{3D1BA985-6518-4DCE-8C17-CBE9A17486B0}">
      <text>
        <r>
          <rPr>
            <b/>
            <sz val="9"/>
            <color indexed="81"/>
            <rFont val="Tahoma"/>
            <family val="2"/>
          </rPr>
          <t>francois manier:</t>
        </r>
        <r>
          <rPr>
            <sz val="9"/>
            <color indexed="81"/>
            <rFont val="Tahoma"/>
            <family val="2"/>
          </rPr>
          <t xml:space="preserve">
Année sous la forme "AAAA". De "1901" à "2155".</t>
        </r>
      </text>
    </comment>
    <comment ref="F27" authorId="0" shapeId="0" xr:uid="{38A72760-3E5D-4869-B6D3-822B1DAA909F}">
      <text>
        <r>
          <rPr>
            <b/>
            <sz val="9"/>
            <color indexed="81"/>
            <rFont val="Tahoma"/>
            <family val="2"/>
          </rPr>
          <t>francois manier:</t>
        </r>
        <r>
          <rPr>
            <sz val="9"/>
            <color indexed="81"/>
            <rFont val="Tahoma"/>
            <family val="2"/>
          </rPr>
          <t xml:space="preserve">
Chaîne de caractères de taille fixe (des espaces sont rajoutés en fin de chaîne). De 1 à 255. </t>
        </r>
      </text>
    </comment>
    <comment ref="F28" authorId="0" shapeId="0" xr:uid="{5CFCD501-FC36-4BA7-AEA9-C2035C5222EE}">
      <text>
        <r>
          <rPr>
            <b/>
            <sz val="9"/>
            <color indexed="81"/>
            <rFont val="Tahoma"/>
            <family val="2"/>
          </rPr>
          <t>francois manier:</t>
        </r>
        <r>
          <rPr>
            <sz val="9"/>
            <color indexed="81"/>
            <rFont val="Tahoma"/>
            <family val="2"/>
          </rPr>
          <t xml:space="preserve">
Chaîne de caractères de longueur variable (pas d'espaces rajoutés en fin de chaîne). De 1 à 255. </t>
        </r>
      </text>
    </comment>
    <comment ref="F29" authorId="0" shapeId="0" xr:uid="{4A22DD95-192A-4303-9961-5AC9CA6A6276}">
      <text>
        <r>
          <rPr>
            <b/>
            <sz val="9"/>
            <color indexed="81"/>
            <rFont val="Tahoma"/>
            <family val="2"/>
          </rPr>
          <t>francois manier:</t>
        </r>
        <r>
          <rPr>
            <sz val="9"/>
            <color indexed="81"/>
            <rFont val="Tahoma"/>
            <family val="2"/>
          </rPr>
          <t xml:space="preserve">
Chaîne de caractères. Sensible à la casse. Taille maximale : 255. </t>
        </r>
      </text>
    </comment>
    <comment ref="F30" authorId="0" shapeId="0" xr:uid="{C862748E-C510-4922-A22B-36E0780D7157}">
      <text>
        <r>
          <rPr>
            <b/>
            <sz val="9"/>
            <color indexed="81"/>
            <rFont val="Tahoma"/>
            <family val="2"/>
          </rPr>
          <t>francois manier:</t>
        </r>
        <r>
          <rPr>
            <sz val="9"/>
            <color indexed="81"/>
            <rFont val="Tahoma"/>
            <family val="2"/>
          </rPr>
          <t xml:space="preserve">
Chaîne de caractères. Insensible à la casse. Taille maximale : 255. </t>
        </r>
      </text>
    </comment>
    <comment ref="F32" authorId="0" shapeId="0" xr:uid="{317232D9-3953-4D69-BB61-AD8BC3FE41F4}">
      <text>
        <r>
          <rPr>
            <b/>
            <sz val="9"/>
            <color indexed="81"/>
            <rFont val="Tahoma"/>
            <family val="2"/>
          </rPr>
          <t>francois manier:</t>
        </r>
        <r>
          <rPr>
            <sz val="9"/>
            <color indexed="81"/>
            <rFont val="Tahoma"/>
            <family val="2"/>
          </rPr>
          <t xml:space="preserve">
Chaîne de caractères. Sensible à la casse. Taille maximale : 65535.</t>
        </r>
      </text>
    </comment>
    <comment ref="F33" authorId="0" shapeId="0" xr:uid="{9CD54647-5DB8-4990-80DE-E5E0A0023A82}">
      <text>
        <r>
          <rPr>
            <b/>
            <sz val="9"/>
            <color indexed="81"/>
            <rFont val="Tahoma"/>
            <family val="2"/>
          </rPr>
          <t>francois manier:</t>
        </r>
        <r>
          <rPr>
            <sz val="9"/>
            <color indexed="81"/>
            <rFont val="Tahoma"/>
            <family val="2"/>
          </rPr>
          <t xml:space="preserve">
Ensemble. Un objet chaîne peut prendre une ou plusieurs valeurs contenues dans une liste de valeurs. Nombre maximum de valeurs distinctes : 65535.</t>
        </r>
      </text>
    </comment>
  </commentList>
</comments>
</file>

<file path=xl/sharedStrings.xml><?xml version="1.0" encoding="utf-8"?>
<sst xmlns="http://schemas.openxmlformats.org/spreadsheetml/2006/main" count="17541" uniqueCount="2622">
  <si>
    <t>Libellé</t>
  </si>
  <si>
    <t>Code</t>
  </si>
  <si>
    <t>Type de donnée</t>
  </si>
  <si>
    <t>Contrainte</t>
  </si>
  <si>
    <t>Règle de calcul</t>
  </si>
  <si>
    <t>info supplémentaire</t>
  </si>
  <si>
    <t>auto_increment, unique</t>
  </si>
  <si>
    <t>en €</t>
  </si>
  <si>
    <t>Clients</t>
  </si>
  <si>
    <t>Relations 
potentielles</t>
  </si>
  <si>
    <t>Cat Relation</t>
  </si>
  <si>
    <t>idTVA</t>
  </si>
  <si>
    <t>Nom du client</t>
  </si>
  <si>
    <t>Prénom du client</t>
  </si>
  <si>
    <t>unique</t>
  </si>
  <si>
    <t>z</t>
  </si>
  <si>
    <t>=prixHTProduit*quantite</t>
  </si>
  <si>
    <t>=(prixHTProduit*quantite)*tauxTVA</t>
  </si>
  <si>
    <t>=somme(prixHTProduit*quantite)</t>
  </si>
  <si>
    <t>=somme(prixHTProduit*quantite)*tauxTVA</t>
  </si>
  <si>
    <t>taux</t>
  </si>
  <si>
    <t>chemin du fichier</t>
  </si>
  <si>
    <t>Types</t>
  </si>
  <si>
    <t>Contraintes</t>
  </si>
  <si>
    <t>Calculs</t>
  </si>
  <si>
    <t>TINYINT</t>
  </si>
  <si>
    <t>FLOAT</t>
  </si>
  <si>
    <t>REAL</t>
  </si>
  <si>
    <t>NUMERIC</t>
  </si>
  <si>
    <t>TIMESTAMP</t>
  </si>
  <si>
    <t>CHAR</t>
  </si>
  <si>
    <t>SMALLINT</t>
  </si>
  <si>
    <t>MEDIUMINT</t>
  </si>
  <si>
    <t>INT</t>
  </si>
  <si>
    <t>INTEGER</t>
  </si>
  <si>
    <t>BIGINT</t>
  </si>
  <si>
    <t>DOUBLE</t>
  </si>
  <si>
    <t>DECIMAL</t>
  </si>
  <si>
    <t>DATE</t>
  </si>
  <si>
    <t>DATETIME</t>
  </si>
  <si>
    <t>TIME</t>
  </si>
  <si>
    <t>YEAR</t>
  </si>
  <si>
    <t>VARCHAR</t>
  </si>
  <si>
    <t>TINYBLOB</t>
  </si>
  <si>
    <t>TINYTEXT</t>
  </si>
  <si>
    <t>BLOB</t>
  </si>
  <si>
    <t>TEXT</t>
  </si>
  <si>
    <t xml:space="preserve"> MEDIUMBLOB</t>
  </si>
  <si>
    <t>MEDIUM TEXT</t>
  </si>
  <si>
    <t>LONGBLOB</t>
  </si>
  <si>
    <t>LONGTEXT</t>
  </si>
  <si>
    <t>ENUM</t>
  </si>
  <si>
    <t>SET</t>
  </si>
  <si>
    <t>&gt;=0</t>
  </si>
  <si>
    <t>&lt;=0</t>
  </si>
  <si>
    <t>bool</t>
  </si>
  <si>
    <t>=prixHTProduit*quantite + (prixHTProduit*quantite)*tauxTVA</t>
  </si>
  <si>
    <t>=somme( prixHTProduit*quantite + (prixHTProduit*quantite)*tauxTVA)</t>
  </si>
  <si>
    <t>Limite</t>
  </si>
  <si>
    <t>encrypter</t>
  </si>
  <si>
    <t>max</t>
  </si>
  <si>
    <t>identifiant du projet</t>
  </si>
  <si>
    <t>Nom du projet</t>
  </si>
  <si>
    <t>Description du projet</t>
  </si>
  <si>
    <t>Date de début du projet</t>
  </si>
  <si>
    <t>Date de Fin de théorique du projet</t>
  </si>
  <si>
    <t>Date</t>
  </si>
  <si>
    <t>Format FR</t>
  </si>
  <si>
    <t>Appellation du status du projet</t>
  </si>
  <si>
    <t>A venir / En cours / Terminé / Clôt / Annulé</t>
  </si>
  <si>
    <t>N° du projet</t>
  </si>
  <si>
    <t>Tâches</t>
  </si>
  <si>
    <t>idTache</t>
  </si>
  <si>
    <t>identifiant de la tâche à réaliser</t>
  </si>
  <si>
    <t>Appellation du status de la Tache</t>
  </si>
  <si>
    <t>idClients</t>
  </si>
  <si>
    <t>identifiant du Client</t>
  </si>
  <si>
    <t>nomCli</t>
  </si>
  <si>
    <t>nomStatusTache</t>
  </si>
  <si>
    <t>login</t>
  </si>
  <si>
    <t>psw</t>
  </si>
  <si>
    <t>numProj</t>
  </si>
  <si>
    <t>nomProjet</t>
  </si>
  <si>
    <t>description</t>
  </si>
  <si>
    <t>dateDebProj</t>
  </si>
  <si>
    <t>PrenomCli</t>
  </si>
  <si>
    <t>Adresse du projet</t>
  </si>
  <si>
    <t>Documents</t>
  </si>
  <si>
    <t>idDoc</t>
  </si>
  <si>
    <t>identifiant du document</t>
  </si>
  <si>
    <t>catégorie du document</t>
  </si>
  <si>
    <t>listeAvanceProjets</t>
  </si>
  <si>
    <t>listeAvanceTaches</t>
  </si>
  <si>
    <t>ListeDocs</t>
  </si>
  <si>
    <t>Voir listeDocs</t>
  </si>
  <si>
    <t>A venir</t>
  </si>
  <si>
    <t>En cours</t>
  </si>
  <si>
    <t>Terminé</t>
  </si>
  <si>
    <t>Clôt</t>
  </si>
  <si>
    <t>Annulé</t>
  </si>
  <si>
    <t>A Réaliser</t>
  </si>
  <si>
    <t>A Tester</t>
  </si>
  <si>
    <t>Validé</t>
  </si>
  <si>
    <t xml:space="preserve">Terminé </t>
  </si>
  <si>
    <t>Devis</t>
  </si>
  <si>
    <t>Facture</t>
  </si>
  <si>
    <t>Plan</t>
  </si>
  <si>
    <t>Photo</t>
  </si>
  <si>
    <t>Image</t>
  </si>
  <si>
    <t>Schema</t>
  </si>
  <si>
    <t>Planning</t>
  </si>
  <si>
    <t>Diagramme</t>
  </si>
  <si>
    <t>Lettre</t>
  </si>
  <si>
    <t>Courrier</t>
  </si>
  <si>
    <t>Mail</t>
  </si>
  <si>
    <t>Sms</t>
  </si>
  <si>
    <t>format initial</t>
  </si>
  <si>
    <t>format FR</t>
  </si>
  <si>
    <t>lieuProj</t>
  </si>
  <si>
    <t>adrCli</t>
  </si>
  <si>
    <t>Adresse postale du client</t>
  </si>
  <si>
    <t>telCli</t>
  </si>
  <si>
    <t>mailCli</t>
  </si>
  <si>
    <t>N° de Téléphone du client</t>
  </si>
  <si>
    <t>Adresse mail de client</t>
  </si>
  <si>
    <t>dateFinThProj</t>
  </si>
  <si>
    <t>dateFinReelProj</t>
  </si>
  <si>
    <t>Date de Fin de réel du projet</t>
  </si>
  <si>
    <t>idDevis</t>
  </si>
  <si>
    <t>identifiant du devis</t>
  </si>
  <si>
    <t>dateDev</t>
  </si>
  <si>
    <t>Date de création du devis</t>
  </si>
  <si>
    <t>idFact</t>
  </si>
  <si>
    <t>dateFact</t>
  </si>
  <si>
    <t>identifiant de la facture</t>
  </si>
  <si>
    <t>Date de création de la facture</t>
  </si>
  <si>
    <t>NomTache</t>
  </si>
  <si>
    <t>Nom de la tâche</t>
  </si>
  <si>
    <t>description délaillée de la tâche</t>
  </si>
  <si>
    <t>dateFinThTache</t>
  </si>
  <si>
    <t>Date de fin prévue de la tâche</t>
  </si>
  <si>
    <t>dateValidDev</t>
  </si>
  <si>
    <t>Date de validation du devis</t>
  </si>
  <si>
    <t>identifiant de la ligne du devis</t>
  </si>
  <si>
    <t>Désignation de la ligne de devis (ligne de prestation)</t>
  </si>
  <si>
    <t>typeDev</t>
  </si>
  <si>
    <t>Type de devis (à la quantité ou forfait)</t>
  </si>
  <si>
    <t>(Forfait ou Quantité)</t>
  </si>
  <si>
    <t>TVA</t>
  </si>
  <si>
    <t>identifiant de la TVA</t>
  </si>
  <si>
    <t>Taux de TVA</t>
  </si>
  <si>
    <t>%</t>
  </si>
  <si>
    <t>Quantité de la ligne du devis</t>
  </si>
  <si>
    <t>Prix Unitaire de la ligne de devis</t>
  </si>
  <si>
    <t>Monétaire</t>
  </si>
  <si>
    <t>numLigFact</t>
  </si>
  <si>
    <t>identifiant de la ligne du facture</t>
  </si>
  <si>
    <t>Numéro de la ligne de facture</t>
  </si>
  <si>
    <t>Désignation de la ligne de facture (ligne de prestation)</t>
  </si>
  <si>
    <t>Quantité de la facture du facture</t>
  </si>
  <si>
    <t>Prix Unitaire de la ligne de facture</t>
  </si>
  <si>
    <t>totDev</t>
  </si>
  <si>
    <t>Montant total du devis</t>
  </si>
  <si>
    <t>SsTotLigForfaitDev</t>
  </si>
  <si>
    <t>sous-total de la ligne au forfait de devis</t>
  </si>
  <si>
    <t>identifiant de la ligne de la facture</t>
  </si>
  <si>
    <t>Numéro de la ligne de la facture</t>
  </si>
  <si>
    <t>sous-total de la ligne au forfait de la facture</t>
  </si>
  <si>
    <t>catDoc</t>
  </si>
  <si>
    <t>NomDoc</t>
  </si>
  <si>
    <t>AdressDoc</t>
  </si>
  <si>
    <t>Emplacement du document sur HDD</t>
  </si>
  <si>
    <t>Nom du document</t>
  </si>
  <si>
    <t>phaseProjTache</t>
  </si>
  <si>
    <t>Phase pendant laquelle la tâche se réalise</t>
  </si>
  <si>
    <t>Idée/A venir/En cours/A tester/Terminé/ Annulé</t>
  </si>
  <si>
    <t>Couts</t>
  </si>
  <si>
    <t>idCout</t>
  </si>
  <si>
    <t>catCout</t>
  </si>
  <si>
    <t>identifiant du coût ou de la charge</t>
  </si>
  <si>
    <t>catégorie du coût ou dela charge</t>
  </si>
  <si>
    <t>listeCouts</t>
  </si>
  <si>
    <t>RH</t>
  </si>
  <si>
    <t>MATERIELS</t>
  </si>
  <si>
    <t>MATERIAUX</t>
  </si>
  <si>
    <t>CHARGES COURANTES</t>
  </si>
  <si>
    <t>FRAIS DIVERS</t>
  </si>
  <si>
    <t>RH,MATERIAUX,CHARGE…</t>
  </si>
  <si>
    <t>dateCout</t>
  </si>
  <si>
    <t>Date du coût</t>
  </si>
  <si>
    <t>MontantCout</t>
  </si>
  <si>
    <t>Montant dui coût</t>
  </si>
  <si>
    <t>numFact</t>
  </si>
  <si>
    <t>Numéro de facture</t>
  </si>
  <si>
    <t>Entité</t>
  </si>
  <si>
    <t>Utilisateur</t>
  </si>
  <si>
    <t>idUtilisateur</t>
  </si>
  <si>
    <t>identifiant de l'utilisateur</t>
  </si>
  <si>
    <t>Nom de l'utilisateur</t>
  </si>
  <si>
    <t>Mot de passe d'utilisateur</t>
  </si>
  <si>
    <t>Projets</t>
  </si>
  <si>
    <t>idProj</t>
  </si>
  <si>
    <t>StatutProj</t>
  </si>
  <si>
    <t>dateCreationTache</t>
  </si>
  <si>
    <t>Date de création de la tâche</t>
  </si>
  <si>
    <t>dateEnCoursTache</t>
  </si>
  <si>
    <t>Date de la tâche En cours</t>
  </si>
  <si>
    <t>dateTacheATester</t>
  </si>
  <si>
    <t>Date de la tâche à Tester</t>
  </si>
  <si>
    <t>dateTacheTerminée</t>
  </si>
  <si>
    <t>Date de la tâche Terminée</t>
  </si>
  <si>
    <t>dateDoc</t>
  </si>
  <si>
    <t>date du document</t>
  </si>
  <si>
    <t>descriptionDoc</t>
  </si>
  <si>
    <t>Description du document</t>
  </si>
  <si>
    <t>numDev</t>
  </si>
  <si>
    <t>numéro du devis</t>
  </si>
  <si>
    <t>LigDevForfait</t>
  </si>
  <si>
    <t>idLignDevForfait</t>
  </si>
  <si>
    <t>designationDevForfait</t>
  </si>
  <si>
    <t>LignesDevQPU</t>
  </si>
  <si>
    <t>idLigDevQPU</t>
  </si>
  <si>
    <t>designationLigDevQPU</t>
  </si>
  <si>
    <t>Qdev</t>
  </si>
  <si>
    <t>PUDev</t>
  </si>
  <si>
    <t>typeFact</t>
  </si>
  <si>
    <t>Type de facture (forfait / Quantité unitaire)</t>
  </si>
  <si>
    <t>designationFactForfait</t>
  </si>
  <si>
    <t>idLignFactForfait</t>
  </si>
  <si>
    <t>numLignFactForfait</t>
  </si>
  <si>
    <t>SsTotLignFactForfait</t>
  </si>
  <si>
    <t>LigneFactForfait</t>
  </si>
  <si>
    <t>LignesFactQPU</t>
  </si>
  <si>
    <t>idLigFactQPU</t>
  </si>
  <si>
    <t>designationFactQPU</t>
  </si>
  <si>
    <t>QuantiteFactQPU</t>
  </si>
  <si>
    <t>PUFactQPU</t>
  </si>
  <si>
    <t>TauxTVA</t>
  </si>
  <si>
    <t>DICTIONNAIRE DE DONNEES</t>
  </si>
  <si>
    <t>Utilisateurs</t>
  </si>
  <si>
    <t>tel</t>
  </si>
  <si>
    <t>format mail</t>
  </si>
  <si>
    <t>format tel</t>
  </si>
  <si>
    <t>enumeration</t>
  </si>
  <si>
    <t>stateTache</t>
  </si>
  <si>
    <t>Date de fin réelle de la tâche</t>
  </si>
  <si>
    <t>isPro</t>
  </si>
  <si>
    <t>Le client est-il un Professionnel ou particulier ?</t>
  </si>
  <si>
    <t>BOOLean</t>
  </si>
  <si>
    <t>Defaut = True</t>
  </si>
  <si>
    <t>numSiret</t>
  </si>
  <si>
    <t>Numéro de SIRET si professionnel</t>
  </si>
  <si>
    <t>numTVAIntracom</t>
  </si>
  <si>
    <t>Numéro de TVA Intracommunautaire</t>
  </si>
  <si>
    <t>Code APE ou NAF de la profession</t>
  </si>
  <si>
    <t>Profession du client</t>
  </si>
  <si>
    <t>Adresse de la l'activité professionnelle</t>
  </si>
  <si>
    <t>date de création ou intégration du document au projet</t>
  </si>
  <si>
    <t>nameDev</t>
  </si>
  <si>
    <t>Nom ou titre ou petit descriptif du devis</t>
  </si>
  <si>
    <t>Type de devis (à la quantité ou forfait ou mix)</t>
  </si>
  <si>
    <t>Date d'acquittement de la facture</t>
  </si>
  <si>
    <t>Type de facture (forfait ou  Quantité unitaire ou mix)</t>
  </si>
  <si>
    <t>descriptionCout</t>
  </si>
  <si>
    <t xml:space="preserve">description du coût </t>
  </si>
  <si>
    <t>Etat de l'utilisateur (Activé ou Désactivé)</t>
  </si>
  <si>
    <t>prioTache</t>
  </si>
  <si>
    <t>Priorité de la tâche à réaliser</t>
  </si>
  <si>
    <t>Personnes</t>
  </si>
  <si>
    <t>idPersonne</t>
  </si>
  <si>
    <t>identifiant de la personne</t>
  </si>
  <si>
    <t>firstname</t>
  </si>
  <si>
    <t>name</t>
  </si>
  <si>
    <t>fonction</t>
  </si>
  <si>
    <t>mail</t>
  </si>
  <si>
    <t>Prénom de la personne</t>
  </si>
  <si>
    <t>Nom de la personne</t>
  </si>
  <si>
    <t>Poste/Profession de la personne</t>
  </si>
  <si>
    <t>Adresse de la personne</t>
  </si>
  <si>
    <t>Téléphone de la personne</t>
  </si>
  <si>
    <t>Adresse mail de la personne</t>
  </si>
  <si>
    <t>Catégorie de la personne</t>
  </si>
  <si>
    <t>/</t>
  </si>
  <si>
    <t>adress</t>
  </si>
  <si>
    <t>isActivate</t>
  </si>
  <si>
    <t>Defaut = false = désactivé</t>
  </si>
  <si>
    <t>catPerson</t>
  </si>
  <si>
    <t>idProjet</t>
  </si>
  <si>
    <t>nameProj</t>
  </si>
  <si>
    <t>dateStartProj</t>
  </si>
  <si>
    <t>dateEndThProj</t>
  </si>
  <si>
    <t>dateEndRealProj</t>
  </si>
  <si>
    <t>placeProj</t>
  </si>
  <si>
    <t>stateAdvancementProj</t>
  </si>
  <si>
    <t>Etat d'avancement du projet</t>
  </si>
  <si>
    <t>Etat d'avancement de la tâche</t>
  </si>
  <si>
    <t>categoryTache</t>
  </si>
  <si>
    <t>Catégorie de la tâche, lors de sa phase "En cours"</t>
  </si>
  <si>
    <t>dateCreateTache</t>
  </si>
  <si>
    <t>dateInProgressTache</t>
  </si>
  <si>
    <t>dateToTestTache</t>
  </si>
  <si>
    <t>dateEndThTache</t>
  </si>
  <si>
    <t>dateEndRealTache</t>
  </si>
  <si>
    <t>nameDoc</t>
  </si>
  <si>
    <t>pathDoc</t>
  </si>
  <si>
    <t>Emplacement, chemin de stockage du document</t>
  </si>
  <si>
    <t>dateValidationDev</t>
  </si>
  <si>
    <t>totalHTDev</t>
  </si>
  <si>
    <t>Montant total HT du devis</t>
  </si>
  <si>
    <t>{10;2}</t>
  </si>
  <si>
    <t>idLigDevForfait</t>
  </si>
  <si>
    <t>numLigDevForfait</t>
  </si>
  <si>
    <t>Numéro de la ligne du devis au forfait</t>
  </si>
  <si>
    <t>numLigDevQPU</t>
  </si>
  <si>
    <t>Numéro de la ligne du devis à la quantité</t>
  </si>
  <si>
    <t>designationLigDevForfait</t>
  </si>
  <si>
    <t>LigDevQPU</t>
  </si>
  <si>
    <t>nameFact</t>
  </si>
  <si>
    <t>Nom de la facture</t>
  </si>
  <si>
    <t>dateAcquittalFact</t>
  </si>
  <si>
    <t>Montant total HT de la facture</t>
  </si>
  <si>
    <t>LigFactForfait</t>
  </si>
  <si>
    <t>LigFactQPU</t>
  </si>
  <si>
    <t>idLigFactForfait</t>
  </si>
  <si>
    <t>date d'intervention sur la proposition au forfait</t>
  </si>
  <si>
    <t>numLigFactForfait</t>
  </si>
  <si>
    <t>designationLigFactForfait</t>
  </si>
  <si>
    <t>montantLigFactForfait</t>
  </si>
  <si>
    <t>Montant de la ligne de la facture au forfait</t>
  </si>
  <si>
    <t>date d'intervention sur la proposition à la quantité</t>
  </si>
  <si>
    <t>numLigFactQPU</t>
  </si>
  <si>
    <t>Numéro de la ligne de la facture au forfait</t>
  </si>
  <si>
    <t>Numéro de la ligne de facture à la quantité</t>
  </si>
  <si>
    <t>designationLigFactQPU</t>
  </si>
  <si>
    <t>montantLigFactQPU</t>
  </si>
  <si>
    <t>Montant Unitaire de la ligne de facture</t>
  </si>
  <si>
    <t>compteur</t>
  </si>
  <si>
    <t>nameTache</t>
  </si>
  <si>
    <t>montantLigDevForfait</t>
  </si>
  <si>
    <t xml:space="preserve">numérotation de la tâche </t>
  </si>
  <si>
    <t>descriptionTache</t>
  </si>
  <si>
    <t>descriptionProj</t>
  </si>
  <si>
    <t>qLigDevQPU</t>
  </si>
  <si>
    <t>dateInterventionLigFactQPU</t>
  </si>
  <si>
    <t>qLigFactQPU</t>
  </si>
  <si>
    <t>dateInterventionLigFactForfait</t>
  </si>
  <si>
    <t>idDocument</t>
  </si>
  <si>
    <t>Generateur</t>
  </si>
  <si>
    <t>Factures</t>
  </si>
  <si>
    <t>idDeGeneration</t>
  </si>
  <si>
    <t>identifiant de la génération émise par le générateur</t>
  </si>
  <si>
    <t>dateGenerationDoc</t>
  </si>
  <si>
    <t>Date de génération du document émis par le générateur</t>
  </si>
  <si>
    <t>Taches</t>
  </si>
  <si>
    <t>tache1 = 1</t>
  </si>
  <si>
    <t>numTache</t>
  </si>
  <si>
    <t>codeAPE</t>
  </si>
  <si>
    <t>montantLigDevQPU</t>
  </si>
  <si>
    <t>idFacture</t>
  </si>
  <si>
    <t>totalHTFact</t>
  </si>
  <si>
    <t>tauxTVA</t>
  </si>
  <si>
    <t>montantCout</t>
  </si>
  <si>
    <r>
      <rPr>
        <b/>
        <sz val="12"/>
        <color theme="1"/>
        <rFont val="Century Gothic"/>
        <family val="2"/>
      </rPr>
      <t>"ProriteTache"</t>
    </r>
    <r>
      <rPr>
        <sz val="12"/>
        <color theme="1"/>
        <rFont val="Century Gothic"/>
        <family val="2"/>
      </rPr>
      <t xml:space="preserve">
Vitale
importante
Utile
Confort</t>
    </r>
  </si>
  <si>
    <r>
      <rPr>
        <b/>
        <sz val="12"/>
        <color theme="1"/>
        <rFont val="Century Gothic"/>
        <family val="2"/>
      </rPr>
      <t>"EtatDeTache"</t>
    </r>
    <r>
      <rPr>
        <sz val="12"/>
        <color theme="1"/>
        <rFont val="Century Gothic"/>
        <family val="2"/>
      </rPr>
      <t xml:space="preserve">
Creer
 En cours 
A tester 
Terminé
 Annulé</t>
    </r>
  </si>
  <si>
    <r>
      <rPr>
        <b/>
        <sz val="12"/>
        <color theme="1"/>
        <rFont val="Century Gothic"/>
        <family val="2"/>
      </rPr>
      <t>"CategorieTache"</t>
    </r>
    <r>
      <rPr>
        <sz val="12"/>
        <color theme="1"/>
        <rFont val="Century Gothic"/>
        <family val="2"/>
      </rPr>
      <t xml:space="preserve">
Initialisation
Analyse
Conception
Realisation
Exploitation</t>
    </r>
  </si>
  <si>
    <r>
      <rPr>
        <b/>
        <sz val="12"/>
        <color theme="1"/>
        <rFont val="Century Gothic"/>
        <family val="2"/>
      </rPr>
      <t>"CategoriePersonne"</t>
    </r>
    <r>
      <rPr>
        <sz val="12"/>
        <color theme="1"/>
        <rFont val="Century Gothic"/>
        <family val="2"/>
      </rPr>
      <t xml:space="preserve">
Client
Utilisateur</t>
    </r>
  </si>
  <si>
    <r>
      <rPr>
        <b/>
        <sz val="12"/>
        <color theme="1"/>
        <rFont val="Century Gothic"/>
        <family val="2"/>
      </rPr>
      <t>"CategorieDoc"</t>
    </r>
    <r>
      <rPr>
        <sz val="12"/>
        <color theme="1"/>
        <rFont val="Century Gothic"/>
        <family val="2"/>
      </rPr>
      <t xml:space="preserve">
devis
facture
plan
imgPhoto
schema
chiffrageProjet
couts
divers</t>
    </r>
  </si>
  <si>
    <r>
      <rPr>
        <b/>
        <sz val="12"/>
        <color theme="0"/>
        <rFont val="Century Gothic"/>
        <family val="2"/>
      </rPr>
      <t>"CategorieCout"</t>
    </r>
    <r>
      <rPr>
        <sz val="12"/>
        <color theme="0"/>
        <rFont val="Century Gothic"/>
        <family val="2"/>
      </rPr>
      <t xml:space="preserve">
RH,
Matériaux,
FraisProj
Charges</t>
    </r>
  </si>
  <si>
    <r>
      <rPr>
        <b/>
        <sz val="12"/>
        <color theme="1"/>
        <rFont val="Century Gothic"/>
        <family val="2"/>
      </rPr>
      <t xml:space="preserve"> "Type"</t>
    </r>
    <r>
      <rPr>
        <sz val="12"/>
        <color theme="1"/>
        <rFont val="Century Gothic"/>
        <family val="2"/>
      </rPr>
      <t xml:space="preserve">
QPU
Forfait</t>
    </r>
  </si>
  <si>
    <r>
      <rPr>
        <b/>
        <sz val="12"/>
        <color theme="1"/>
        <rFont val="Century Gothic"/>
        <family val="2"/>
      </rPr>
      <t xml:space="preserve">  "Type"</t>
    </r>
    <r>
      <rPr>
        <sz val="12"/>
        <color theme="1"/>
        <rFont val="Century Gothic"/>
        <family val="2"/>
      </rPr>
      <t xml:space="preserve">
QPU
Forfait</t>
    </r>
  </si>
  <si>
    <t>PERSONNES</t>
  </si>
  <si>
    <t>UTILISATEURS</t>
  </si>
  <si>
    <t>PROJETS</t>
  </si>
  <si>
    <t>TACHES</t>
  </si>
  <si>
    <t>DOCUMENTS</t>
  </si>
  <si>
    <t>GENERATEUR</t>
  </si>
  <si>
    <t>DEVIS</t>
  </si>
  <si>
    <t>LIGDEVFORFAIT</t>
  </si>
  <si>
    <t>LIGDEV QPU</t>
  </si>
  <si>
    <t>FACTURES</t>
  </si>
  <si>
    <t>LIGFACTFORFAIT</t>
  </si>
  <si>
    <t>LIGFACTQPU</t>
  </si>
  <si>
    <t>COUTS</t>
  </si>
  <si>
    <t>idPersonneUtilisateur</t>
  </si>
  <si>
    <t>idPersonneClient</t>
  </si>
  <si>
    <t>Edgar</t>
  </si>
  <si>
    <t>Edith</t>
  </si>
  <si>
    <t>ATOI</t>
  </si>
  <si>
    <t>KELHEURETIL</t>
  </si>
  <si>
    <t>Elise</t>
  </si>
  <si>
    <t>ETMOI</t>
  </si>
  <si>
    <t>Frank</t>
  </si>
  <si>
    <t>NSTEIN</t>
  </si>
  <si>
    <t>Flo</t>
  </si>
  <si>
    <t>RISTE</t>
  </si>
  <si>
    <t>Gerard</t>
  </si>
  <si>
    <t>MENVUSSA</t>
  </si>
  <si>
    <t>Walter</t>
  </si>
  <si>
    <t>CLOSET</t>
  </si>
  <si>
    <t>Noah</t>
  </si>
  <si>
    <t>DESINJAC</t>
  </si>
  <si>
    <t>Karl-Amel</t>
  </si>
  <si>
    <t>MOU</t>
  </si>
  <si>
    <t>Kentin</t>
  </si>
  <si>
    <t>GENMILITERRE</t>
  </si>
  <si>
    <t>architecte</t>
  </si>
  <si>
    <t>dirigeant</t>
  </si>
  <si>
    <t>boulanger</t>
  </si>
  <si>
    <t>pharmacien</t>
  </si>
  <si>
    <t>menuisier</t>
  </si>
  <si>
    <t>Maire</t>
  </si>
  <si>
    <t>orthophoniste</t>
  </si>
  <si>
    <t>jardinnière</t>
  </si>
  <si>
    <t>plombier</t>
  </si>
  <si>
    <t>confiseur</t>
  </si>
  <si>
    <t>14, chemin de Lebrun 59000 LILLE</t>
  </si>
  <si>
    <t>145 rue La Fayette 59000 LILLE</t>
  </si>
  <si>
    <t xml:space="preserve">29 rue Quincampoix 59434 </t>
  </si>
  <si>
    <t>44 rue d'Aboukir 59512 ROUBAIX</t>
  </si>
  <si>
    <t>174 rue du Faubourg Saint-Denis 59599 TOURQUOINT</t>
  </si>
  <si>
    <t>3 rue de l'aqueduc 59270 BAILLEUL</t>
  </si>
  <si>
    <t>54 rue des Petites Écuries 59120 LOOS</t>
  </si>
  <si>
    <t>141 boulevard Diderot 59000 LILLE</t>
  </si>
  <si>
    <t>78 rue La Condamine 59130 LAMBERSART</t>
  </si>
  <si>
    <t>49 rue des Archives 59630 LILLE</t>
  </si>
  <si>
    <t>06.55.44.33.22</t>
  </si>
  <si>
    <t>07.06.05.04.03</t>
  </si>
  <si>
    <t>09.01.02.03.04</t>
  </si>
  <si>
    <t>06.05.06.07.08</t>
  </si>
  <si>
    <t>07.12.34.56.78</t>
  </si>
  <si>
    <t>06.98.76.54.32</t>
  </si>
  <si>
    <t>06.11.22.33.44</t>
  </si>
  <si>
    <t>07.55.66.77.88</t>
  </si>
  <si>
    <t>06.99.88.77.66</t>
  </si>
  <si>
    <t>06.11.11.11.11</t>
  </si>
  <si>
    <t>07.22.22.22.22</t>
  </si>
  <si>
    <t>06.33.33.33.33</t>
  </si>
  <si>
    <t>06.44.44.44.44</t>
  </si>
  <si>
    <t>07.55.55.55.55</t>
  </si>
  <si>
    <t>06.77.77.77.77</t>
  </si>
  <si>
    <t>07.66.66.66.66</t>
  </si>
  <si>
    <t>06.88.88.88.88</t>
  </si>
  <si>
    <t>07.99.99.99.99</t>
  </si>
  <si>
    <t>Eddy Cededer Ala Belote</t>
  </si>
  <si>
    <t>Eddy De Nantes</t>
  </si>
  <si>
    <t>Eddy Don Marcel; Eddy don C. Mameuf</t>
  </si>
  <si>
    <t>Eddy Fiant; Eddy Fils; Edddy Torial</t>
  </si>
  <si>
    <t>Eddy Scylla</t>
  </si>
  <si>
    <t>Eddy Tapahuneclop: Eddy Toilaba, keuf es-tu?</t>
  </si>
  <si>
    <t>Éden Cebojardin O Paradis</t>
  </si>
  <si>
    <t>Edgar Atoi</t>
  </si>
  <si>
    <t>Édith le Text</t>
  </si>
  <si>
    <t>Édith Kelheurétil</t>
  </si>
  <si>
    <t>Edmée Mé Hamonté</t>
  </si>
  <si>
    <t>Edmond Cul C. Du Poulet</t>
  </si>
  <si>
    <t>Edmond Fils; Edmond Prochain</t>
  </si>
  <si>
    <t>Edmond Zobarentrer</t>
  </si>
  <si>
    <t>Édouard Hunpeuféniant</t>
  </si>
  <si>
    <t>Édouard Rvenir</t>
  </si>
  <si>
    <t>Électre O'Kution et Claire</t>
  </si>
  <si>
    <t>Éléonore Iléosud</t>
  </si>
  <si>
    <t>Élie Koïdal (hélicoïdal: qui a la forme d'une hélice)</t>
  </si>
  <si>
    <t>Élie Coptère; Élie Sdavion</t>
  </si>
  <si>
    <t>Élie Mélamain</t>
  </si>
  <si>
    <t>Élie Minet du premier coup</t>
  </si>
  <si>
    <t>Élie Ptic et Sir Q. l'R    &gt;&gt;&gt;</t>
  </si>
  <si>
    <t>Élisa Bêta Bondieu</t>
  </si>
  <si>
    <t>Élisabeth Hise sur son cahier</t>
  </si>
  <si>
    <t>Élise matricule 35173; elle en est toute retournée! &gt;&gt;&gt;</t>
  </si>
  <si>
    <t>Élise &amp; Moi</t>
  </si>
  <si>
    <t>Élise Sancomprendrunmot</t>
  </si>
  <si>
    <t>Ella, Éva Kuélélieux</t>
  </si>
  <si>
    <t>Ella Cathy Gnoré</t>
  </si>
  <si>
    <t>Ella Debbie Goudi</t>
  </si>
  <si>
    <t>Ella Danloss; Ella Toufo</t>
  </si>
  <si>
    <t>Ella De Bonzieux</t>
  </si>
  <si>
    <t>Ella Denis Barre; Ella, Mylène Ibaranu; Ella, Nadège Avudécomsa</t>
  </si>
  <si>
    <t>Ella Gasse; Ella, Gaston Marie</t>
  </si>
  <si>
    <t>Ella Lapêche; Ella Pat Kulotte</t>
  </si>
  <si>
    <t>Ella Lessin Halerre</t>
  </si>
  <si>
    <t>Ella, Philémon Colan</t>
  </si>
  <si>
    <t>Ella Pin, Cécile Ennoir</t>
  </si>
  <si>
    <t>Ella Sally Lédra</t>
  </si>
  <si>
    <t>Ella Samy Nijupe</t>
  </si>
  <si>
    <t>Ella Toupourplair</t>
  </si>
  <si>
    <t>Elma Maçéma-Crampe</t>
  </si>
  <si>
    <t>Elmer Itmieu; Elmer Ritmieukessa; Elmer Hihoné</t>
  </si>
  <si>
    <t>Élodie Matébon</t>
  </si>
  <si>
    <t>Éloïse matricule 351073; elle en est toute retournée! &gt;&gt;&gt;</t>
  </si>
  <si>
    <t>Elsa Dorsa</t>
  </si>
  <si>
    <t>Elsa Guiche-les-Garçons</t>
  </si>
  <si>
    <t>Elsa Rose Laure Annie Versaire; Elsa Rose Tom Départ</t>
  </si>
  <si>
    <t>Elsa Rose Laure Fleur</t>
  </si>
  <si>
    <t>Elvire O'Ver; Elvire O'Vinaigre; Elvire O' Cochmar</t>
  </si>
  <si>
    <t>Elvire Toulmonde</t>
  </si>
  <si>
    <t>Elvis Sonmari</t>
  </si>
  <si>
    <t>Elza Patouva; Elza Nîmes la Soirée</t>
  </si>
  <si>
    <t>Elsa-Rose Laplante</t>
  </si>
  <si>
    <t>Émile – Chteleu Donn Émile</t>
  </si>
  <si>
    <t>Émile - G. Émile Letemps</t>
  </si>
  <si>
    <t>Émile Feuille-Crémeux</t>
  </si>
  <si>
    <t>Émilie – On connait l'Émilie Tante</t>
  </si>
  <si>
    <t>Émilie – Maître Émilie Mètre</t>
  </si>
  <si>
    <t>Emma &amp; Pat É.</t>
  </si>
  <si>
    <t>Emma Main O'fesse; Emma Sculer</t>
  </si>
  <si>
    <t>Emma Nation de Gaz</t>
  </si>
  <si>
    <t>Emma Fée Malle et Jésus Malle</t>
  </si>
  <si>
    <t>Emma Paradé en boite</t>
  </si>
  <si>
    <t>Emma Cérétréfor; Emma Cérédansonjus</t>
  </si>
  <si>
    <t>Emma Tom &amp; Ekky Mose</t>
  </si>
  <si>
    <t>Emma Toufécella</t>
  </si>
  <si>
    <t>Emma-Karen Ah</t>
  </si>
  <si>
    <t>Emmanuelle – L'Emmanuelle de Classe</t>
  </si>
  <si>
    <t>Emmy Rabelle; Emmy Rite; Emmy Rat;</t>
  </si>
  <si>
    <t>Emmy Rat comme Onguent</t>
  </si>
  <si>
    <t>Énora Kedalcesoir</t>
  </si>
  <si>
    <t>Énora Paletan</t>
  </si>
  <si>
    <t>Éric – R. du Num Éric; Gène Éric; Ib Éric</t>
  </si>
  <si>
    <t>Éric – Lam Éric (Lam est un prénom vietnamien ou encore une lettre de l'alphabet arabe; Lââm est une chanteuse)</t>
  </si>
  <si>
    <t>Éric – Télef Éric; Mécéfé Éric; Périf Éric</t>
  </si>
  <si>
    <t>Éric Érac</t>
  </si>
  <si>
    <t>Esmée Valda, Messicel Etienne</t>
  </si>
  <si>
    <t>Estelle Man Important</t>
  </si>
  <si>
    <t>Estelle Oussacopine</t>
  </si>
  <si>
    <t>Estelle Vierge et Blanche Colombe</t>
  </si>
  <si>
    <t>Esther Minet Houssa Recommence</t>
  </si>
  <si>
    <t>Esther Minet-les-Tousses</t>
  </si>
  <si>
    <t>Esther Rieur</t>
  </si>
  <si>
    <t>Esther Savomieukedirdéconneries</t>
  </si>
  <si>
    <t>Éthan Holbio (éthanol: C2H6O)</t>
  </si>
  <si>
    <t>Étienne – Messi Mafam Étienne</t>
  </si>
  <si>
    <t>Étienne Bonlabar</t>
  </si>
  <si>
    <t>Eugène – Hallucine Eugène, Krimine Eugène, Patt Eugène, Cancer Eugène, Electro Gène, Herr Eugène.</t>
  </si>
  <si>
    <t>Eugène – Mon Eugène Touletan</t>
  </si>
  <si>
    <t>Eugène – Salle Eugène &amp; Sam Eugène Hossi</t>
  </si>
  <si>
    <t>Eugène – Septbarhel M'Eugène; Tondoi M'Eugène</t>
  </si>
  <si>
    <t>Eugène – Zone R. Eugène</t>
  </si>
  <si>
    <t>Eva Porée et Éva Nouie</t>
  </si>
  <si>
    <t>Éva Afonlakess</t>
  </si>
  <si>
    <t>Éva Aude Anne Marc Sanson Gilles et Laura Froid</t>
  </si>
  <si>
    <t>(variante avec Sylvia Aude …)</t>
  </si>
  <si>
    <t>Éva Doné Lapoma Adam (Éve a donné la pomme à Adam)</t>
  </si>
  <si>
    <t>Éva Mfoutrelapaixcella</t>
  </si>
  <si>
    <t>Éva K. Poté; Éva Tombé</t>
  </si>
  <si>
    <t>Éva Kué les lieux</t>
  </si>
  <si>
    <t>Éva Nouie</t>
  </si>
  <si>
    <t>Éva Pamangélapom,</t>
  </si>
  <si>
    <t>Éva Pamanmerdé Sheila</t>
  </si>
  <si>
    <t>Éva Rangertachambre</t>
  </si>
  <si>
    <t>Éva Tout K.C. ; Éva Tout Dire; Éva Zion</t>
  </si>
  <si>
    <t>Èva Skacélagueul</t>
  </si>
  <si>
    <t>Évan String et Saint Nus</t>
  </si>
  <si>
    <t>Éve Hiton la pomme</t>
  </si>
  <si>
    <t>Éve Reste, Hymne Halaya, Cat Mandou</t>
  </si>
  <si>
    <t>Ève (voir Adam)</t>
  </si>
  <si>
    <t>Ève Heille des Sens</t>
  </si>
  <si>
    <t>Faustine Texas (Austin est la capitale du Texas)</t>
  </si>
  <si>
    <t>Félicie Tation</t>
  </si>
  <si>
    <t>Félix Avant Lehigrek</t>
  </si>
  <si>
    <t>Félix Citation</t>
  </si>
  <si>
    <t>Ferdinand Saint-Malo Alanagecépa de La Tarte (Faire Dinan …)</t>
  </si>
  <si>
    <t>Fidèle Anna Mour; Fidèle Asommek</t>
  </si>
  <si>
    <t>Fidèle O'Post. Fidèle Assonmek</t>
  </si>
  <si>
    <t>Firmin Bassurlemago</t>
  </si>
  <si>
    <t>Firmin Dustriel</t>
  </si>
  <si>
    <t>Firmin Peutagueule</t>
  </si>
  <si>
    <t>Fleur – Gémkantilmé Fleur</t>
  </si>
  <si>
    <t>Fleur Histe; Fleur de Lys</t>
  </si>
  <si>
    <t>Flo Rist</t>
  </si>
  <si>
    <t>Flore – Passy Flore</t>
  </si>
  <si>
    <t>Flore Esse</t>
  </si>
  <si>
    <t>Ford Déplaisant</t>
  </si>
  <si>
    <t>Frank N. Stein</t>
  </si>
  <si>
    <t>Frank O. Phil ou Frank Reich</t>
  </si>
  <si>
    <t>Fred Voyage – Ed Hotel – Sarah Pasremboursé</t>
  </si>
  <si>
    <t>Frédéric – Elle est sans Frédéric =&gt; Elle est raide et sans fric (Contrepèterie)</t>
  </si>
  <si>
    <t>Freddy Mobilisation</t>
  </si>
  <si>
    <t>Frédéric Hochet dans l'eau</t>
  </si>
  <si>
    <t>Gaëlle Hic &amp; Celt Hic</t>
  </si>
  <si>
    <t>Garcin Lazare; Garcin Quaitrois</t>
  </si>
  <si>
    <t>Garry – Bulle Garry</t>
  </si>
  <si>
    <t>Gaspard Fait; Gaspard Enpurperte</t>
  </si>
  <si>
    <t>Gauvain – Cémal Sessoigne Gauvain Chaud</t>
  </si>
  <si>
    <t>Gédéon France en 42 pendant la guerre</t>
  </si>
  <si>
    <t>Gédéon Groidenmabaignoire</t>
  </si>
  <si>
    <t>Gédéon Teuse Manie</t>
  </si>
  <si>
    <t>Gemal Allesse Thomas</t>
  </si>
  <si>
    <t>Gene Hétic; Gene Énéalogiste</t>
  </si>
  <si>
    <t>Geoffroy Denledo</t>
  </si>
  <si>
    <t>Geoffroy, Angèle et Firmin Unpeulaporte</t>
  </si>
  <si>
    <t>Georgette Tousskjebouf</t>
  </si>
  <si>
    <t>Voir Rébus</t>
  </si>
  <si>
    <t>Gérard – Lima Gérard (L'image est rare)</t>
  </si>
  <si>
    <t>Gérard Menvussa</t>
  </si>
  <si>
    <t>G + R(A + 1) = G + RA + R = GERAR =&gt; Gérard &gt;&gt;&gt;</t>
  </si>
  <si>
    <t>Gérard Mendufric, Menfaim, Menvussat, Menfroi, Mentor, etc.</t>
  </si>
  <si>
    <t>Germain – Cousin Germain</t>
  </si>
  <si>
    <t>Germaine la patronne: elle gère et elle mène.</t>
  </si>
  <si>
    <t>Gilbert Monlatin</t>
  </si>
  <si>
    <t>Gilles et Paul des Boité</t>
  </si>
  <si>
    <t>Gilles Haidesovetaj</t>
  </si>
  <si>
    <t>Gilles S. Desplumes</t>
  </si>
  <si>
    <t>Gina Bricot &amp; Paille</t>
  </si>
  <si>
    <t>Ginette Toyélépié; Ginette Toyélévécé</t>
  </si>
  <si>
    <t>Gisèle Parterre Houdan Sonlit</t>
  </si>
  <si>
    <t>Gordon Zola</t>
  </si>
  <si>
    <t>Guillaume Kipoura (Yom Kipour)</t>
  </si>
  <si>
    <t>Gustave, Isabelle Église</t>
  </si>
  <si>
    <t>Salut Guy =&gt; La cigüe (Contrepèterie)</t>
  </si>
  <si>
    <t>Guy – A. Guy Chant</t>
  </si>
  <si>
    <t>Guy Bol, Don, Gnol, Otine, Relande, etc.</t>
  </si>
  <si>
    <t>Guy de Michelin</t>
  </si>
  <si>
    <t>Guy Deduroutar</t>
  </si>
  <si>
    <t>Guy Don de Course</t>
  </si>
  <si>
    <t>Guy Homme des Cavernes</t>
  </si>
  <si>
    <t>Guy Li, Guy Li</t>
  </si>
  <si>
    <t>Guy Ness La Bière</t>
  </si>
  <si>
    <t>Hadémard Monoto, Alphonse Matire &amp; Hercule Danlapante.</t>
  </si>
  <si>
    <t>Hakim Membien; Hakim Horipil</t>
  </si>
  <si>
    <t>Hank Hulé de Médeux</t>
  </si>
  <si>
    <t>Hans Cenhalan; Hans Embrassant</t>
  </si>
  <si>
    <t>Hans de Panié</t>
  </si>
  <si>
    <t>Hans Kim Koncern</t>
  </si>
  <si>
    <t>Hans-Hubert Forme</t>
  </si>
  <si>
    <t>Hardy Petit</t>
  </si>
  <si>
    <t>Harley Lévert</t>
  </si>
  <si>
    <t>Harm Honnie</t>
  </si>
  <si>
    <t>Harry – Ilcanne Harry (Îles Canaries)</t>
  </si>
  <si>
    <t>Harry – Panne Harry; Org de Barbe Harry</t>
  </si>
  <si>
    <t>Harry &amp; Apleur</t>
  </si>
  <si>
    <t>Harry Co &amp; Gaspard Illy Co</t>
  </si>
  <si>
    <t>Harry Cover; Harry Zona; Harry Bo</t>
  </si>
  <si>
    <t>Harry Vatan Courant</t>
  </si>
  <si>
    <t>Harry Zona  &gt;&gt;&gt;</t>
  </si>
  <si>
    <t>Heinrich I. D.</t>
  </si>
  <si>
    <t>Heinz Zweidrei (un deux trois en allemand)</t>
  </si>
  <si>
    <t>Héléna Yves Ella Tougobé; Héléna Turelle; Héléna Tal du Sud</t>
  </si>
  <si>
    <t>Hélène Dehun C. Zorro (ln(1) = 0, voir logarithmes); Hélène de Troie (ln(3))</t>
  </si>
  <si>
    <t>Hélène &amp; Ludivine Enfant</t>
  </si>
  <si>
    <t>Helmut Ardel Pic, Edmond Toné</t>
  </si>
  <si>
    <t>Henri Amédé Pan</t>
  </si>
  <si>
    <t>Henri Cochet</t>
  </si>
  <si>
    <t>Henri Cording, pseudonyme d'Henri Salvador.</t>
  </si>
  <si>
    <t>Henri Gole et Henri Hencor</t>
  </si>
  <si>
    <t>Henri Stourne</t>
  </si>
  <si>
    <t>Henry Cording and his Original Rock and Roll Boys: pseudonyme d'Henri Salvador (1956). Recording en anglais signifie enregistrement.</t>
  </si>
  <si>
    <t>Henriette Duman-Purpor</t>
  </si>
  <si>
    <t>Herbert est basque</t>
  </si>
  <si>
    <t>Herbert – Turév Herbert; Allumeur de Rêve Herbert</t>
  </si>
  <si>
    <t>Hercule – Havanse Hercule, Tub Hercule</t>
  </si>
  <si>
    <t>Hercule Danlapante; Embraye Hercule; Hercule Sanpassélavitesse</t>
  </si>
  <si>
    <t>Hercule et Pamela Marcharrière</t>
  </si>
  <si>
    <t>Hervé – Emma N. Hervé</t>
  </si>
  <si>
    <t>Hilaire Evenu</t>
  </si>
  <si>
    <t>Hilapr Isabelle Sapioche et Sabine Hette</t>
  </si>
  <si>
    <t>Hilary John Quentin Modeste Urbain Louis Annick Et Sam Obilette (Il a rit jaune, quand un modeste urbain lui a niqué sa mobilette) – Emprunté à Rgistre de M. Mme</t>
  </si>
  <si>
    <t>Hillary Jaune; Hillary O'Zécla; Hillary Varien</t>
  </si>
  <si>
    <t>Hippolyte Ize le Débat</t>
  </si>
  <si>
    <t>Hiram Komunmalade</t>
  </si>
  <si>
    <t>Holly Elbez</t>
  </si>
  <si>
    <t>Homère d'Halor;</t>
  </si>
  <si>
    <t>Honoré – Djahun Rendévoude Honoré</t>
  </si>
  <si>
    <t>Honoré – Jsuitellement Honoré</t>
  </si>
  <si>
    <t>Honoré de Balle Sac</t>
  </si>
  <si>
    <t>Honoré Papu le Fer</t>
  </si>
  <si>
    <t>Honorine Passurtépié; Honorine Passurlemur</t>
  </si>
  <si>
    <t>Horace in Club</t>
  </si>
  <si>
    <t>Horace Modite</t>
  </si>
  <si>
    <t>Hubert Palenor</t>
  </si>
  <si>
    <t>Hugh Henot</t>
  </si>
  <si>
    <t>Hugo Slave</t>
  </si>
  <si>
    <t>Huguette, boutonnez votre brassard ou hussards boutonnez votre braguette (contrepèterie de Louis Perceau)</t>
  </si>
  <si>
    <t>Humphrey Biensucé et sa sœur Emma</t>
  </si>
  <si>
    <t>Hyppolite Hic</t>
  </si>
  <si>
    <t>Igor – Sarav Igor</t>
  </si>
  <si>
    <t>Imogène Ozan Tournure</t>
  </si>
  <si>
    <t>Inès Alamaternité ou Inès Aterme ou Inès É. Issenlechou</t>
  </si>
  <si>
    <t>Inès Péré Paotan, Ina Tendu</t>
  </si>
  <si>
    <t>Inès Tétic; Inès Timée</t>
  </si>
  <si>
    <t>Inge Énieur</t>
  </si>
  <si>
    <t>Irène – Lechant Déesse Irène</t>
  </si>
  <si>
    <t>Irénée Ledivinenfant</t>
  </si>
  <si>
    <t>Irma – Hirosh Irma &amp; Naga Zaki</t>
  </si>
  <si>
    <t>Irma Nadège Afévoir</t>
  </si>
  <si>
    <t>Irma, Rémi Enplace; Irma, Juste, Rémi Sadeplubel</t>
  </si>
  <si>
    <t>Isabeau Lisse les Nobles; Isabeau Lisse L'Éloi</t>
  </si>
  <si>
    <t>Isabelle le Sam U.</t>
  </si>
  <si>
    <t>Isabelle Parleur Nom</t>
  </si>
  <si>
    <t>Ismène Ambato, Isfoud Tageule</t>
  </si>
  <si>
    <t>Ismir Hans Cemiroir</t>
  </si>
  <si>
    <t>Isodore Miron</t>
  </si>
  <si>
    <t>Ivanhoé Lepoisson</t>
  </si>
  <si>
    <t>Izzy Passlanuit</t>
  </si>
  <si>
    <t>Jack Ett et Jack Pot</t>
  </si>
  <si>
    <t>Jacky Yes du Chef</t>
  </si>
  <si>
    <t>Jacob 1 Ougirondin</t>
  </si>
  <si>
    <t>Jacques Climate, Houche, Lame, Omode, etc.</t>
  </si>
  <si>
    <t>Jacques Hady Soté</t>
  </si>
  <si>
    <t>Jacques Obin (ou Aubain) et Giron d'Ain</t>
  </si>
  <si>
    <t>Jacques Ouzi et Sauna</t>
  </si>
  <si>
    <t>Jacques Tuhalize</t>
  </si>
  <si>
    <t>Jacques Use-le-cou</t>
  </si>
  <si>
    <t>Jacques Xellerre</t>
  </si>
  <si>
    <t>Jade Orlapizza</t>
  </si>
  <si>
    <t>James Tonptiku</t>
  </si>
  <si>
    <t>Jamie le Paquet</t>
  </si>
  <si>
    <t>Janette É. Sur</t>
  </si>
  <si>
    <t>Janine la Ninja  (Anacyclique)</t>
  </si>
  <si>
    <t>Jason Surlavoisine &amp; Medhi Surtonvoisin</t>
  </si>
  <si>
    <t>Jean – Dépropo en gars Jean</t>
  </si>
  <si>
    <t>Jean-Paul, le pape ou j'empale le pope (contrepèterie)</t>
  </si>
  <si>
    <t>Jean – Ver dit Ver Jean</t>
  </si>
  <si>
    <t>Jean Balle Toultan</t>
  </si>
  <si>
    <t>Jean Bomboeur, Jean Bonnaud</t>
  </si>
  <si>
    <t>Jean Caisse a remplacé Marc Lemoi</t>
  </si>
  <si>
    <t>Jean Civabimé et Jean Bave</t>
  </si>
  <si>
    <t>Jean Commilfo</t>
  </si>
  <si>
    <t>Jean Édeukompapa</t>
  </si>
  <si>
    <t>Jean Éhenvumil Komtoi, Jean Hévuhapoil, Jean Hévutounu</t>
  </si>
  <si>
    <t>Jean Konvien, Peste, Peuplu, Rage, etc.</t>
  </si>
  <si>
    <t>Jean – Laser Bailli de Jean</t>
  </si>
  <si>
    <t>Jean Peuplu; Jean Peste</t>
  </si>
  <si>
    <t>Jean Philémon Pull</t>
  </si>
  <si>
    <t>Jean Reu de Mende</t>
  </si>
  <si>
    <t>Jean Talu-Hamakess</t>
  </si>
  <si>
    <t>Jean Tanrien, Jean Sérien, Jean Raget</t>
  </si>
  <si>
    <t>Jean Titouplin</t>
  </si>
  <si>
    <t>Jean Vié, Cély Vert (et les Vié fuient, comme dirait Desproges)</t>
  </si>
  <si>
    <t>Jean-Aymard</t>
  </si>
  <si>
    <t>Jean-Loup Pahune</t>
  </si>
  <si>
    <t>Jean-Marc Débutt</t>
  </si>
  <si>
    <t>Jean-Pierre Monlatin</t>
  </si>
  <si>
    <t>Jean-Régis Tretou</t>
  </si>
  <si>
    <t>Jeanne Dmépassa</t>
  </si>
  <si>
    <t>Jeanne Aussi =&gt; Ça jaunit</t>
  </si>
  <si>
    <t>Jeanne É + K.C.  (J'en ai plus qu'assez)  &gt;&gt;&gt;</t>
  </si>
  <si>
    <t>Jeanne Héry Amor ou Sanfin</t>
  </si>
  <si>
    <t>Jed Daille (en anglais: Jed I)</t>
  </si>
  <si>
    <t>Jeff As l'ardoise</t>
  </si>
  <si>
    <t>Jeff, Edmons Mieux</t>
  </si>
  <si>
    <t>Jeff Hépipiholi</t>
  </si>
  <si>
    <t>Jeff Hun &amp; G. Soif</t>
  </si>
  <si>
    <t>Jennifer Nihacier, Jennifer Nitablarepasser</t>
  </si>
  <si>
    <t>Jenny Comprenrien; Jenny Entravkedal; Jenny Suipourien</t>
  </si>
  <si>
    <t>Jenny Kétamer</t>
  </si>
  <si>
    <t>Jenny Keunitêt</t>
  </si>
  <si>
    <t>Jérémy Monpullalenver, Jérémy Toutalendroit, Jéremy Monslip</t>
  </si>
  <si>
    <t>Jérémy Sadeplubel et Sam Haplu</t>
  </si>
  <si>
    <t>Jérémy, Mona, Nora Khe</t>
  </si>
  <si>
    <t>Jérome Tree (Voir Géométrie)</t>
  </si>
  <si>
    <t>Jerry Atric</t>
  </si>
  <si>
    <t>Jerry et Jean Pleure</t>
  </si>
  <si>
    <t>Jerry Golé et Harry Debonkeur</t>
  </si>
  <si>
    <t>Jerry O'Zécla</t>
  </si>
  <si>
    <t>Jerry Tméladanse</t>
  </si>
  <si>
    <t>Jess Père; Jess Tim</t>
  </si>
  <si>
    <t>Jessica Net O'frigo et Jessica Serole</t>
  </si>
  <si>
    <t>Jessica Potanglaise; Jessica Memberapoint</t>
  </si>
  <si>
    <t>Jessica Scrout Sétou</t>
  </si>
  <si>
    <t>Jessica Trizétrévit et mon Bobo Vamieu</t>
  </si>
  <si>
    <t>Jessie Chaud et son mari Geoffroy</t>
  </si>
  <si>
    <t>Jésus Afreusemempeur</t>
  </si>
  <si>
    <t>Jésus Lrume, Ella Migraine</t>
  </si>
  <si>
    <t>Jim &amp; Léform</t>
  </si>
  <si>
    <t>Jim Haimongrindsel</t>
  </si>
  <si>
    <t>Jim Nastik</t>
  </si>
  <si>
    <t>Jimmy Tebien Bourvil</t>
  </si>
  <si>
    <t>Jimmy Unpulover</t>
  </si>
  <si>
    <t>Jo Bar, Jo Gourte, Jo Ker, Jo Père, etc.</t>
  </si>
  <si>
    <t>Johannes Bourg, Jo Annesse Bourg</t>
  </si>
  <si>
    <t>John – Passedu John Ovaire</t>
  </si>
  <si>
    <t>John Deuf</t>
  </si>
  <si>
    <t>John Phil Gérarld Ken Eddy (John Fitzgerald Kennedy)</t>
  </si>
  <si>
    <t>John Veuplu</t>
  </si>
  <si>
    <t>Johnny Alidé et sa Sarah Laittla</t>
  </si>
  <si>
    <t>Jonathan Pluskeça, Jonathan Plurien, Jonathan Ketoi</t>
  </si>
  <si>
    <t>Jordan Nie</t>
  </si>
  <si>
    <t>José Paldir, José Pal de Mandé, José Pabougé</t>
  </si>
  <si>
    <t>Joseph Floret Sajouh</t>
  </si>
  <si>
    <t>Joy Heuse-Pak</t>
  </si>
  <si>
    <t>Judas Nanasse &amp; Judas Bricot</t>
  </si>
  <si>
    <t>Judie Cieux</t>
  </si>
  <si>
    <t>Judith – Cédu Judith Padelo</t>
  </si>
  <si>
    <t>Judy Nonécénon</t>
  </si>
  <si>
    <t>Jules Béguin</t>
  </si>
  <si>
    <t>Julie Dédialé</t>
  </si>
  <si>
    <t>Julie Komunkeur</t>
  </si>
  <si>
    <t>Julienne de Légume</t>
  </si>
  <si>
    <t>Juste Uncou</t>
  </si>
  <si>
    <t>Justin Calva</t>
  </si>
  <si>
    <t>Justin Ptipeu</t>
  </si>
  <si>
    <t>Justin Sam Suffi</t>
  </si>
  <si>
    <t>Justine Ptitghoute et sa sœur Anne-Corinne Ptitghoute</t>
  </si>
  <si>
    <t>Justine Ptitpip</t>
  </si>
  <si>
    <t>15 prénoms pour une famille de mathématiciens</t>
  </si>
  <si>
    <t>Source: Recueil de blagues mathématiques et autres curiosités – Fred Winkler</t>
  </si>
  <si>
    <t>Kader A. Tout</t>
  </si>
  <si>
    <t>Kader Roussel</t>
  </si>
  <si>
    <t>Karène de Montbatot</t>
  </si>
  <si>
    <t>Karine Sérien du Tout</t>
  </si>
  <si>
    <t>Karissa Danlesensdupoil</t>
  </si>
  <si>
    <t>Karl Amel Mou</t>
  </si>
  <si>
    <t>Karl Glassrépare</t>
  </si>
  <si>
    <t>Karl l'Âge.</t>
  </si>
  <si>
    <t>Kelly D.</t>
  </si>
  <si>
    <t>Kelly Diossi et Kelly Diot</t>
  </si>
  <si>
    <t>Kelly Vrogne; Kelly Stoir</t>
  </si>
  <si>
    <t>Kemal Enpoint</t>
  </si>
  <si>
    <t>Ken - Bowy Ken &amp; Alain Di</t>
  </si>
  <si>
    <t>Ken Eddy</t>
  </si>
  <si>
    <t>Ken Tucky; Ken Ya;</t>
  </si>
  <si>
    <t>Kenny Hom &amp; Kenny Pham</t>
  </si>
  <si>
    <t>Kévin – Zéro Kévin (0 kelvin, le zéro absolu)</t>
  </si>
  <si>
    <t>Khaled:  Ossecour Khaled</t>
  </si>
  <si>
    <t>Khan Jepet Jehpu</t>
  </si>
  <si>
    <t>Kiara Méléchocolat</t>
  </si>
  <si>
    <t>Kiara Menéssafraise</t>
  </si>
  <si>
    <t>Kim Hénerve; Kim O'Ripil; Kim M. Mesuive; Kim Auneau</t>
  </si>
  <si>
    <t>Kipette Trovitchy</t>
  </si>
  <si>
    <t>Kitty – Cétoi Kitty Kohl</t>
  </si>
  <si>
    <t>Klaus Toujours: Klaus Trofob</t>
  </si>
  <si>
    <t>Kurt Isane; Kurt Paille</t>
  </si>
  <si>
    <t>Lacey Fer</t>
  </si>
  <si>
    <t>                              (Aussi: chanson de Gainsbourg: l a, e dans l'a, t i, t, i, a )</t>
  </si>
  <si>
    <t>L'agent Beudeboit</t>
  </si>
  <si>
    <t>Lana Phalbête; Lana Rienafoutre; Lana Tomie</t>
  </si>
  <si>
    <t>Lana Rechie et Lachian Lie</t>
  </si>
  <si>
    <t>Lara chante =&gt; La Charente</t>
  </si>
  <si>
    <t>Lara Caille, Lara Clette, Lara Tatouille, etc.</t>
  </si>
  <si>
    <t>Lara Ménepas et Lady Rien</t>
  </si>
  <si>
    <t>Lara Surtil Aprélamour</t>
  </si>
  <si>
    <t>Larry Golade</t>
  </si>
  <si>
    <t>Larry Laura Hune Tapette</t>
  </si>
  <si>
    <t>Larry Stote, un célèbre philosophe de l'Antiquité – Bêtisier du bac.</t>
  </si>
  <si>
    <t>Larry Tmétiq; Larry te met Tic</t>
  </si>
  <si>
    <t>Larry V-É Proche et Don Netout</t>
  </si>
  <si>
    <t>Larry Zona et Missis Hippy</t>
  </si>
  <si>
    <t>Lars Végas, Lars Ouille</t>
  </si>
  <si>
    <t>Lassie A. Métaux; Lassie A. Tik</t>
  </si>
  <si>
    <t>Lassie Bérie, Terne, Trouille, Vière, etc.</t>
  </si>
  <si>
    <t>Laura de la Sainte (L'aura de la sainte)</t>
  </si>
  <si>
    <t>Laura Déville &amp; Laura Deschamps</t>
  </si>
  <si>
    <t>Laura Skelveu; Laura Skelmérite</t>
  </si>
  <si>
    <t>Laure – El Roulsur Laure</t>
  </si>
  <si>
    <t>Laure – Ella Laure Eille du Patron</t>
  </si>
  <si>
    <t>Laure – Ma Laure, je l'ai vue en face =&gt; Je l'ai vue, la mort en face (Contrepèterie)</t>
  </si>
  <si>
    <t>Laure &amp; Dubois</t>
  </si>
  <si>
    <t>Laure &amp; Yencoin</t>
  </si>
  <si>
    <t>Laure Age, Ange, Bite, Dinateur, Dure, Éole, Gasme, etc.</t>
  </si>
  <si>
    <t>Laure Brille</t>
  </si>
  <si>
    <t>Laure Fée &amp; Lory 10  (Orphée et Eurydice )</t>
  </si>
  <si>
    <t>Laure Olympique</t>
  </si>
  <si>
    <t>Laure Plaquée, Laure Pur, Laure Pailleur</t>
  </si>
  <si>
    <t>Laure Tiblanche</t>
  </si>
  <si>
    <t>Laure Voirrémerci</t>
  </si>
  <si>
    <t>Laurent Bar</t>
  </si>
  <si>
    <t>Laurent Gina et Laurent Ginette, Laurent Gina Sarah Fréchi, Laurent Jamère</t>
  </si>
  <si>
    <t>Laurent Kette-Piétine</t>
  </si>
  <si>
    <t>Laurent Naturel (l'un l'anagramme de l'autre)</t>
  </si>
  <si>
    <t>Laurent XIII Enhavionnexistepa</t>
  </si>
  <si>
    <t>Laurette – É. Laurette Pas de Menbété</t>
  </si>
  <si>
    <t>Laurie Gin du Monde</t>
  </si>
  <si>
    <t>Laurie Kulère</t>
  </si>
  <si>
    <t>Lazare Fébienléchose; Lazare, Fabien Léchoses</t>
  </si>
  <si>
    <t>Lazare Saint Lagare (contrepèterie: la gare saint Lazare)</t>
  </si>
  <si>
    <t>Léa – Hanvoyé Léa Perpette</t>
  </si>
  <si>
    <t>Léa Biberon; Léa Demi-Écrémé</t>
  </si>
  <si>
    <t>Léa Ricossec</t>
  </si>
  <si>
    <t>Léana Bolisant et Testo Stérone</t>
  </si>
  <si>
    <t>Léna Mouton et Léna Tricoté; lequel est l'aîné?</t>
  </si>
  <si>
    <t>Lennie Bar Alère</t>
  </si>
  <si>
    <t>Léo Chocolat</t>
  </si>
  <si>
    <t>Léo Gradé; Léo Par; Léo Landais; Léo Héléba</t>
  </si>
  <si>
    <t>Léon – Camé Léon</t>
  </si>
  <si>
    <t>Léon Dit et Léra Contars</t>
  </si>
  <si>
    <t>Léon Noël (Anacyclique)</t>
  </si>
  <si>
    <t>Leslie Vrognobar; Leslie Peukangourou</t>
  </si>
  <si>
    <t>L'Esmée Basket Emmée Témule</t>
  </si>
  <si>
    <t>Levis Héléclou, ennemi de Marc Thau</t>
  </si>
  <si>
    <t>Levis R.</t>
  </si>
  <si>
    <t>Levy Tation</t>
  </si>
  <si>
    <t>Lewis Titi (Voir Lewis Carroll)</t>
  </si>
  <si>
    <t>Lili Hade Élodie C.</t>
  </si>
  <si>
    <t>Lili Pute</t>
  </si>
  <si>
    <t>Lilou Calais Laville Éléonore (Lille ou Calais, la ville elle est au nord)</t>
  </si>
  <si>
    <t>Lilou Ikinze (Lit Louis quinze)</t>
  </si>
  <si>
    <t>Lilou Larchipel Paul Innézien (l'île ou l'archipel polynésien)</t>
  </si>
  <si>
    <t>Lilou Lesky &amp; Toulbarda (il loue les skis et tout le barda)</t>
  </si>
  <si>
    <t>Line Équation &gt;&gt;&gt;</t>
  </si>
  <si>
    <t>Line et Luc Table</t>
  </si>
  <si>
    <t>Line Évitable, Oxydable, Uzable, etc.</t>
  </si>
  <si>
    <t>Line Humanité; Line Aucent; Line Omable; Line Occulation</t>
  </si>
  <si>
    <t>Line Onde à Sion</t>
  </si>
  <si>
    <t>Line Ot'tension</t>
  </si>
  <si>
    <t>Line Oxydable</t>
  </si>
  <si>
    <t>Line-Aude Or</t>
  </si>
  <si>
    <t>Lise – Cata Lyse; Anna-Lise Enlabo</t>
  </si>
  <si>
    <t>Lise – Lady A. Lise</t>
  </si>
  <si>
    <t>Lise – Laval Lise</t>
  </si>
  <si>
    <t>Lise Toirédrole</t>
  </si>
  <si>
    <t>Liz – É. Liz É.</t>
  </si>
  <si>
    <t>Loïc – C. Bienla Loïc</t>
  </si>
  <si>
    <t>Lorie Blemonstre</t>
  </si>
  <si>
    <t>Lorie Fils;</t>
  </si>
  <si>
    <t>Lorie Q. l'R.</t>
  </si>
  <si>
    <t>Lorie Zonlointain</t>
  </si>
  <si>
    <t>Lotte Rinationale</t>
  </si>
  <si>
    <t>Lou Ange</t>
  </si>
  <si>
    <t>Lou Rseblanc</t>
  </si>
  <si>
    <t>Louis Ken Onsrepoz</t>
  </si>
  <si>
    <t>Louise Sky de 10 ans d'âge</t>
  </si>
  <si>
    <t>Louna Tic</t>
  </si>
  <si>
    <t>Luc Harne: Luc Hullus</t>
  </si>
  <si>
    <t>Luc Reine et Luc Ratif</t>
  </si>
  <si>
    <t>Luc Sassion; Luc Sur; Luc Souriant; Luc Ratif; Luc Centbourg</t>
  </si>
  <si>
    <t>Luce – Fa Luce Éva Gin</t>
  </si>
  <si>
    <t>Luce Hèje Supluto</t>
  </si>
  <si>
    <t>Luce Hyfer O'Zenfer</t>
  </si>
  <si>
    <t>Luce Tansil de cuisine</t>
  </si>
  <si>
    <t>Luce Yole</t>
  </si>
  <si>
    <t>Lucette – Née Lucette =&gt; ses lunettes (Contrepèterie)</t>
  </si>
  <si>
    <t>Lucette – Sol lucet omnibus: le soleil luit pour tout le monde; détourné par JL Chiflet en: Lucette astique le sol de l'autobus.</t>
  </si>
  <si>
    <t>Lucie – Lablaga Lucie Nogène</t>
  </si>
  <si>
    <t>Lucie Fer des Monts</t>
  </si>
  <si>
    <t>Lucie Hole</t>
  </si>
  <si>
    <t>Lucien Cien à sa mémère et Khan Hisch</t>
  </si>
  <si>
    <t>Lucien Népazamoi, Lucien C. Pazamoi ou C. Palemien</t>
  </si>
  <si>
    <t>Luck Reine &gt;&gt;&gt;</t>
  </si>
  <si>
    <t>Lulu – Ono Lulu &gt;&gt;&gt;</t>
  </si>
  <si>
    <t>Lydie Commandements</t>
  </si>
  <si>
    <t>Lydie O'Duvillage</t>
  </si>
  <si>
    <t>Lynn Droite</t>
  </si>
  <si>
    <t>Lynn Oui et Lynn Huit (L'innoui et l'Innuit)</t>
  </si>
  <si>
    <t>Mac Hette; Mac Hette Hette Halair</t>
  </si>
  <si>
    <t>Mac Honery Abby Salle</t>
  </si>
  <si>
    <t>Macha Bientrovite; Macha Tafédépetit</t>
  </si>
  <si>
    <t>Maëlis Apatourné</t>
  </si>
  <si>
    <t>Magalie Pette Héréussie</t>
  </si>
  <si>
    <t>Maggie Bolflajole</t>
  </si>
  <si>
    <t>Maguy Thar; Maguy Toune; Voir Guy</t>
  </si>
  <si>
    <t>Maida Afer Médevoir</t>
  </si>
  <si>
    <t>Maida Bord Mel Toidecekiteregarde</t>
  </si>
  <si>
    <t>Maida Yon de la Vierge</t>
  </si>
  <si>
    <t>Maïté-Laure Hizrich</t>
  </si>
  <si>
    <t>Mamie Trayette</t>
  </si>
  <si>
    <t>Manne Quint</t>
  </si>
  <si>
    <t>Mannie Cure</t>
  </si>
  <si>
    <t>Mannie Fest</t>
  </si>
  <si>
    <t>Manon Pamoi</t>
  </si>
  <si>
    <t>Manon Paparla Mon Chéri</t>
  </si>
  <si>
    <t>Manon Troppo (ma non troppo tempère un mouvement en musique).</t>
  </si>
  <si>
    <t>Manu Dité</t>
  </si>
  <si>
    <t>Manu et Pedi Curés</t>
  </si>
  <si>
    <t>Manuel Scolaire</t>
  </si>
  <si>
    <t>Marc – Jura Sik Marc</t>
  </si>
  <si>
    <t>Marc à Saint et Hassan Glier</t>
  </si>
  <si>
    <t>Marc A. Roni; Marc A.  Saint; Marc Sixte</t>
  </si>
  <si>
    <t>Marc des Points &amp; Amiden l'Émile</t>
  </si>
  <si>
    <t>Marc Heure; Marc Heurfluo; Marc Page</t>
  </si>
  <si>
    <t>Marc Isevobozieux; Marc, Lyse Veau Boziheu</t>
  </si>
  <si>
    <t>Marc Opolo ; Marc Ocro Crodile</t>
  </si>
  <si>
    <t>Marcel – Jean Eymard Khil Marcel</t>
  </si>
  <si>
    <t>Marchal Lombre</t>
  </si>
  <si>
    <t>Marga Rhine et Marga Rite ou Marga Rita</t>
  </si>
  <si>
    <t>Marge Hinnal</t>
  </si>
  <si>
    <t>Marie – Aubin Marie</t>
  </si>
  <si>
    <t>Marie – É. Marie-Jo =&gt; hémorragie</t>
  </si>
  <si>
    <t>Marie - I. Marie Vedipensé</t>
  </si>
  <si>
    <t>Marie Age</t>
  </si>
  <si>
    <t>Marie Édelan II (Mariés de l'an 2)</t>
  </si>
  <si>
    <t>Marie Éphamm Halamess</t>
  </si>
  <si>
    <t>Marie O'Net &amp; Camille O'Net</t>
  </si>
  <si>
    <t>Marie Ru Anna; Marie Roana</t>
  </si>
  <si>
    <t>Marie Tale de Rome; Marie Talement</t>
  </si>
  <si>
    <t>Marie Tim</t>
  </si>
  <si>
    <t>Marie-Ange Pluvieux, Marie-Ange Heureux</t>
  </si>
  <si>
    <t>Marina Voile;</t>
  </si>
  <si>
    <t>Marine Havoile; Marine Deguerre</t>
  </si>
  <si>
    <t>Mario Nette</t>
  </si>
  <si>
    <t>Marion Nousvite</t>
  </si>
  <si>
    <t>Marthe &amp; l'Entête (Martel en tête)</t>
  </si>
  <si>
    <t>Marthe Opilon; Marthe Ingal</t>
  </si>
  <si>
    <t>Martin Galle</t>
  </si>
  <si>
    <t>Martine Nie Sec</t>
  </si>
  <si>
    <t>Maryse Tourne Deddie Pourcent</t>
  </si>
  <si>
    <t>Matan Pajariv Alain Stan</t>
  </si>
  <si>
    <t>Mathias – Cépa Mathias de Kafé</t>
  </si>
  <si>
    <t>Matt &amp; Matt Hic &gt;&gt;&gt;</t>
  </si>
  <si>
    <t>Matt Cettmeuf ou Matt Moiceth Meuf</t>
  </si>
  <si>
    <t>Matt Érièle et Lo Gicièle</t>
  </si>
  <si>
    <t>Matt Lameuf</t>
  </si>
  <si>
    <t>Matt Rice K. Ré (Matrice carrée)</t>
  </si>
  <si>
    <t>Maud &amp; Tendance; Maud &amp; Lise Ation</t>
  </si>
  <si>
    <t>Maud de Cambronne; Maud d'humour; etc.</t>
  </si>
  <si>
    <t>Maud Intestins</t>
  </si>
  <si>
    <t>Maude Cambronne</t>
  </si>
  <si>
    <t>Maude et Lisa Sion</t>
  </si>
  <si>
    <t>Maude Gorge</t>
  </si>
  <si>
    <t>Maude Ysoitil</t>
  </si>
  <si>
    <t>Maurice – U. Maurice (humoriste)</t>
  </si>
  <si>
    <t>Maurice Zible &amp; Plaisant Herie</t>
  </si>
  <si>
    <t>Max Hymôme ou Max Imal</t>
  </si>
  <si>
    <t>Max I. Môme &amp; au petit Môme</t>
  </si>
  <si>
    <t>Maxime Homme, Mehdi Homme</t>
  </si>
  <si>
    <t>Maxime Homme; Maxime Hal; Maxime Hise</t>
  </si>
  <si>
    <t>Maya Partiraveclefisc</t>
  </si>
  <si>
    <t>Mazur Kha et Paul Kha cousins de Sam Bha</t>
  </si>
  <si>
    <t>Med Cin; Med V: Med de Saint</t>
  </si>
  <si>
    <t>Médée Capote</t>
  </si>
  <si>
    <t>Médée en K. de Besoin</t>
  </si>
  <si>
    <t>Medhi Dizan, Éval, Homme, Kamen, Ocre, etc.</t>
  </si>
  <si>
    <t>Medhi Doipourcompter</t>
  </si>
  <si>
    <t>Mehdi Khaman; Médhi VI  Nal; Médhi Sinal et Fatma Siparamédical</t>
  </si>
  <si>
    <t>Mehdi Nfrance</t>
  </si>
  <si>
    <t>Mehdi Tabutoi</t>
  </si>
  <si>
    <t>Mehdi Terannée; Mère Mehdi Thierry Anne Hé</t>
  </si>
  <si>
    <t>Mehdi Temoitou</t>
  </si>
  <si>
    <t>Mehdi VI - Catherine de Médhi VI &gt;&gt;&gt;</t>
  </si>
  <si>
    <t>Mel Ancolique; Mel Angé; Mel Usine; Mel As</t>
  </si>
  <si>
    <t>Mel Bourne</t>
  </si>
  <si>
    <t>Mel I. Mel O.</t>
  </si>
  <si>
    <t>Mel O. Man</t>
  </si>
  <si>
    <t>Mélanie Chedenlejardin</t>
  </si>
  <si>
    <t>Mélanie Maldanlacage</t>
  </si>
  <si>
    <t>Mélanie Zette Auffret</t>
  </si>
  <si>
    <t>Mélissa Tusseramoincon</t>
  </si>
  <si>
    <t>Mélusine Enperte, Enfaillite, etc.</t>
  </si>
  <si>
    <t>Mercédès Benz</t>
  </si>
  <si>
    <t>Merry Christmas</t>
  </si>
  <si>
    <t>Michel – Romane Michel</t>
  </si>
  <si>
    <t>Michel de Messe ou Missel de mèche</t>
  </si>
  <si>
    <t>Michel Mipoivre</t>
  </si>
  <si>
    <t>Micheline du Train</t>
  </si>
  <si>
    <t>Mick Rofone, Rohonde, Robe, Mack, Tion, etc.</t>
  </si>
  <si>
    <t>Mickey l'Ange</t>
  </si>
  <si>
    <t>Mike Rosoft</t>
  </si>
  <si>
    <t>Milord – Ella Milord Ocofre</t>
  </si>
  <si>
    <t>Minie Ature, Môme, Jupe, Stre, etc.</t>
  </si>
  <si>
    <t>Moby Lette, Lité</t>
  </si>
  <si>
    <t>Modeste Oma</t>
  </si>
  <si>
    <t>Moni Toring</t>
  </si>
  <si>
    <t>Monique – Art Monique, Sheery Art Monique</t>
  </si>
  <si>
    <t>Monique –Mné Monique; Hégé Monique; Philar Monique; Pneu Monique, etc.</t>
  </si>
  <si>
    <t>Mylène Micoton</t>
  </si>
  <si>
    <t>Nagui Kojourdelan</t>
  </si>
  <si>
    <t>Nat Urelle</t>
  </si>
  <si>
    <t>Natacha Pas Halapoil</t>
  </si>
  <si>
    <t>Natacha Tressachien</t>
  </si>
  <si>
    <t>Nathalie Thé</t>
  </si>
  <si>
    <t>Nathan – Ella Nathan Bocoutro</t>
  </si>
  <si>
    <t>Nathan Cotontressé; Nathan Mélé</t>
  </si>
  <si>
    <t>Nathan Paskejelefass</t>
  </si>
  <si>
    <t>Nathan Pluriendemoi; Nathan Ketoi; Natha Riendemoi</t>
  </si>
  <si>
    <t>Nathan Pluskessa; Nathan Pavatan</t>
  </si>
  <si>
    <t>Némo Globine &gt;&gt;&gt;</t>
  </si>
  <si>
    <t>Néo Prène copain de Nicole Niclou</t>
  </si>
  <si>
    <t>Néo Zhorhor ou Néo Ptimatin</t>
  </si>
  <si>
    <t>Nessy – Mon fils t'es Nessy (Le monstre du Loch Ness; détournement de Memphis Tennessee)</t>
  </si>
  <si>
    <t>Nessy Népal Messie</t>
  </si>
  <si>
    <t>Nick A.K. Ragoua (Nicaragua)</t>
  </si>
  <si>
    <t>Nick Elchrome; Nick Otine</t>
  </si>
  <si>
    <t>Nico Tine</t>
  </si>
  <si>
    <t>Nicole Esther Hol</t>
  </si>
  <si>
    <t>Nicole Niclou Satien</t>
  </si>
  <si>
    <t>Nikita Coup d'Chef (Khrouchtchev, dirigeant de l'URSS)</t>
  </si>
  <si>
    <t>Noah de Cajou; Noah Zette</t>
  </si>
  <si>
    <t>Noah Sonchagrin Dann Lalcol</t>
  </si>
  <si>
    <t>Nonce – Foktudé Nonce; Nonce Népamoi</t>
  </si>
  <si>
    <t>Nordin -  Hun Nordin Ateur</t>
  </si>
  <si>
    <t>Océane O'Graf</t>
  </si>
  <si>
    <t>Octave Hergé Bel &gt;&gt;&gt;</t>
  </si>
  <si>
    <t>Octave Montlagam</t>
  </si>
  <si>
    <t>Octavie Hébel</t>
  </si>
  <si>
    <t>Ode Javel, Cologne, etc.</t>
  </si>
  <si>
    <t>Odette – Ferfasse Odette</t>
  </si>
  <si>
    <t>Odette – Kibéz Odette San Richie &gt;&gt;&gt;</t>
  </si>
  <si>
    <t>Odette Dargent; Odette &amp; Sheila Ruine</t>
  </si>
  <si>
    <t>Odette Hecteur Elma Passé</t>
  </si>
  <si>
    <t>Odette Rit Ment</t>
  </si>
  <si>
    <t>Odile – Crock Odile, Ali Gator  et Marie Go</t>
  </si>
  <si>
    <t>Odile  Hatmoilarate</t>
  </si>
  <si>
    <t>Odile – Sem Odile (c'est mon deal =&gt; c'est ma proposition) &gt;&gt;&gt;</t>
  </si>
  <si>
    <t>Odile Lemoiplusfort</t>
  </si>
  <si>
    <t>Olga Jlejif; Olga Kilébo; Olga Jlekifgrave</t>
  </si>
  <si>
    <t>Olive de Messe &gt;&gt;&gt;</t>
  </si>
  <si>
    <t>Olive Vresse Métourdit</t>
  </si>
  <si>
    <t>Omar Oc, Omar Okin</t>
  </si>
  <si>
    <t>Omar – Yadé Médina Omar Hoc</t>
  </si>
  <si>
    <t>Omar – Zig Omar</t>
  </si>
  <si>
    <t>Omer Dalorditil</t>
  </si>
  <si>
    <t>Omer Thâ</t>
  </si>
  <si>
    <t>Ona Paksa Afoutre</t>
  </si>
  <si>
    <t>Ondine Ouhonsoupe; Ondine Tossessoir</t>
  </si>
  <si>
    <t>Ophélie Héhon Scouch</t>
  </si>
  <si>
    <t>Oreste Gédélasagne</t>
  </si>
  <si>
    <t>Oscar Abbé</t>
  </si>
  <si>
    <t>Oscar Pien (os carpien)</t>
  </si>
  <si>
    <t>Othello du Cano</t>
  </si>
  <si>
    <t>Otto Biografi, Bus, Car, Censure, Didact, Graf, etc</t>
  </si>
  <si>
    <t>Otto Moto</t>
  </si>
  <si>
    <t>Otton Ennanportelevant</t>
  </si>
  <si>
    <t>Oussama Lerléger; Oussama l'R Louche; Oussama Fémal</t>
  </si>
  <si>
    <t>Oussama Remidaplon</t>
  </si>
  <si>
    <t>Ovide la Tinette; Ovide Lapoubelle</t>
  </si>
  <si>
    <t>Ovide Tonsak Sahira Mieux</t>
  </si>
  <si>
    <t>Pacôme Les Autres</t>
  </si>
  <si>
    <t>Pacôme Savoyons; Pacôme Samonchou; C. Pacôme Hilfo; etc.</t>
  </si>
  <si>
    <t>Pacôme-Aude la Vielle</t>
  </si>
  <si>
    <t>Pamela Sapue, Pamela Sarentrepa</t>
  </si>
  <si>
    <t>Paoli O'Sofa Ella Joui</t>
  </si>
  <si>
    <t>Parfait O'Kafé</t>
  </si>
  <si>
    <t>Parfait Surtoutelaligne</t>
  </si>
  <si>
    <t>Paris Silabonnesoupe; Paris Scylla Monet</t>
  </si>
  <si>
    <t>Pat Amo de Lait</t>
  </si>
  <si>
    <t>Pat Atrac, Apouf, Auger, Chouli, Riarche, etc.</t>
  </si>
  <si>
    <t>Pat et Tic</t>
  </si>
  <si>
    <t>Pat Incoufin</t>
  </si>
  <si>
    <t>Pat Regret</t>
  </si>
  <si>
    <t>Pat Réloin &amp; Pat Houproch</t>
  </si>
  <si>
    <t>Pat Ri-Arches</t>
  </si>
  <si>
    <t>Patrick Hoté Alla Machine</t>
  </si>
  <si>
    <t>Patty Bulaire; Patty Mide; Patty Nage</t>
  </si>
  <si>
    <t>Patty Quai Alorrentrepa</t>
  </si>
  <si>
    <t>Paul – Lamétro Paul</t>
  </si>
  <si>
    <t>Paul Air, Ochon, Emploi, La Risée, Luxe, Hussion, etc.</t>
  </si>
  <si>
    <t>Paul An Ploi</t>
  </si>
  <si>
    <t>Paul I. Gone &gt;&gt;&gt;</t>
  </si>
  <si>
    <t>Paul I. Technicien; Paul I. Ment; Paul I. Tic; Paul I. Game; Paul I. Gone; Paul I. Styrène, etc.</t>
  </si>
  <si>
    <t>Paul Igone (Polygone)</t>
  </si>
  <si>
    <t>Paul Issier; Paul Icevopapié: Paul Issmonté</t>
  </si>
  <si>
    <t>Paul K. &amp; Rhum Ba</t>
  </si>
  <si>
    <t>Paula Roïd; Paula Risation</t>
  </si>
  <si>
    <t>Paule – É. Paule Art et Kash Allo</t>
  </si>
  <si>
    <t>Paule Nord</t>
  </si>
  <si>
    <t>Paulette – Les Paulettes du commandant</t>
  </si>
  <si>
    <t>Paulette Russe Jeudecon</t>
  </si>
  <si>
    <t>Paulette – La pipelette s'appelle Pauline, le pipe-line s'appelle Paulette – Pierre Desproges</t>
  </si>
  <si>
    <t>Pauline – A. Pauline R.</t>
  </si>
  <si>
    <t>Pauline – Tran Pauline;</t>
  </si>
  <si>
    <t>Pedro Psychiatre</t>
  </si>
  <si>
    <t>Peer Rioddeconsommation; Peer Manent; Peer I. Mé</t>
  </si>
  <si>
    <t>Pénélope Solète</t>
  </si>
  <si>
    <t>Penny Bilité; Penny VI Line</t>
  </si>
  <si>
    <t>Penny Sdilaté</t>
  </si>
  <si>
    <t>Percy Flage</t>
  </si>
  <si>
    <t>Perry Phéric; Perry Grination; Perry Ode; Perry Mètre</t>
  </si>
  <si>
    <t>Pete Uncoup; Pete O'Man</t>
  </si>
  <si>
    <t>Phèdre A. Matic Alla Kazern</t>
  </si>
  <si>
    <t>Phil A. Delphie; Phil Art Monique; Phil O'Sophe</t>
  </si>
  <si>
    <t>Phil Alapatte; Phil Aman</t>
  </si>
  <si>
    <t>Phil Art Monique</t>
  </si>
  <si>
    <t>Phil Lui Unerouste</t>
  </si>
  <si>
    <t>Phil O'Dendron</t>
  </si>
  <si>
    <t>Phil Trahuile; Phil Tre d'Amour</t>
  </si>
  <si>
    <t>Philémon Banylon</t>
  </si>
  <si>
    <t>Philémon Codesecret</t>
  </si>
  <si>
    <t>Pi Troikatorze</t>
  </si>
  <si>
    <t>Pia Nist de Koncert et Pia Nodroit</t>
  </si>
  <si>
    <t>Pia Nodroit</t>
  </si>
  <si>
    <t>Pierick Cône Néo Litic (Pierre, icône néolithique)</t>
  </si>
  <si>
    <t>Pierick Lamm Sony Nocence (Pierre, y clame son innocence)</t>
  </si>
  <si>
    <t>Pierre – Sert Pierre; Sou Pierre; etc.</t>
  </si>
  <si>
    <t>Pierre Danton Jardin</t>
  </si>
  <si>
    <t>Pierre Domsbale (frère d'Arielle?)</t>
  </si>
  <si>
    <t>Pierre Fémur; Ilfélemuran Pierre</t>
  </si>
  <si>
    <t>Pierre II ou Deux Pierre (dans le cercle: </t>
  </si>
  <si>
    <t>)</t>
  </si>
  <si>
    <t>Pierre Kiroul</t>
  </si>
  <si>
    <t>Pierre Ponce et père pionce</t>
  </si>
  <si>
    <t>Pit A. Gore</t>
  </si>
  <si>
    <t>Pit Zanapolitaine</t>
  </si>
  <si>
    <t>Polly Esther; Polly Gone</t>
  </si>
  <si>
    <t>Polly Pemalplacé</t>
  </si>
  <si>
    <t>Pom Fritte</t>
  </si>
  <si>
    <t>Prométhée Deneplumentir</t>
  </si>
  <si>
    <t>Prudence Avantou</t>
  </si>
  <si>
    <t>Prudence est mère de Sûreté</t>
  </si>
  <si>
    <t>Quentin – Nexist Quentin Breupost</t>
  </si>
  <si>
    <t>Quentin Gendarme Rit</t>
  </si>
  <si>
    <t>Quentin Tinri Milou Aboit</t>
  </si>
  <si>
    <t>Quentin, Gaspard, Alain Proviste</t>
  </si>
  <si>
    <t>Rachel M.</t>
  </si>
  <si>
    <t>Rachid – Yuilda Rachid</t>
  </si>
  <si>
    <t>Rambo Bine C. Fini</t>
  </si>
  <si>
    <t>Ramon Bonnet Emma K. Sket</t>
  </si>
  <si>
    <t>Raoul – Cool Raoul</t>
  </si>
  <si>
    <t>Ray Nette</t>
  </si>
  <si>
    <t>Ray Tension d'Urine</t>
  </si>
  <si>
    <t>Ray Zindecorinthe</t>
  </si>
  <si>
    <t>Raymond Nom de tes Tablettes</t>
  </si>
  <si>
    <t>Raymond Témoi Enkorunpeu</t>
  </si>
  <si>
    <t>Raymonde - Mon nom est Bond, James Bond. – Moi c’est Ray, Ray Mond</t>
  </si>
  <si>
    <t>Règis Sœur Désimpôts; Régis de Commerce</t>
  </si>
  <si>
    <t>Rémi – La Bonne Crizdu Rémi</t>
  </si>
  <si>
    <t>Rémi Odsudlapil</t>
  </si>
  <si>
    <t>Rémi Sion, Nissance,</t>
  </si>
  <si>
    <t>Renaud C. Nick</t>
  </si>
  <si>
    <t>René Gha; René Gossier</t>
  </si>
  <si>
    <t>René Kikoul et Jay La Grippe</t>
  </si>
  <si>
    <t>Renée - M'Édith T. Renée</t>
  </si>
  <si>
    <t>Renée de Cécendre</t>
  </si>
  <si>
    <t>Renée Sens</t>
  </si>
  <si>
    <t>Rési Gnation</t>
  </si>
  <si>
    <t>Rex Sonna</t>
  </si>
  <si>
    <t>Rhama Sageskolair</t>
  </si>
  <si>
    <t>Rhoda Sakess</t>
  </si>
  <si>
    <t>Richard Rabe du K. Tard</t>
  </si>
  <si>
    <t>Rick – La Mère Rick</t>
  </si>
  <si>
    <t>Rick Anement, Hochet, Tusse, etc.</t>
  </si>
  <si>
    <t>Rika – La mère Rika</t>
  </si>
  <si>
    <t>Riky Kitonnapart</t>
  </si>
  <si>
    <t>Rita Merteregarde</t>
  </si>
  <si>
    <t>Riton – Pourkoi Riton</t>
  </si>
  <si>
    <t>Rob Ho</t>
  </si>
  <si>
    <t>Robby Nais Hoover</t>
  </si>
  <si>
    <t>Robert de la Médaille (Revers …)</t>
  </si>
  <si>
    <t>Robin – Jeandé Robin Étuprand les autres</t>
  </si>
  <si>
    <t>Robin Merdalor</t>
  </si>
  <si>
    <t>Rod Hanien</t>
  </si>
  <si>
    <t>Roger – Fopa D. Roger</t>
  </si>
  <si>
    <t>Roland – Yadé Roland et Yadé Rototos</t>
  </si>
  <si>
    <t>Roland Dégouts</t>
  </si>
  <si>
    <t>Romain Paholandemain</t>
  </si>
  <si>
    <t>Romane Esque et Roman Tique</t>
  </si>
  <si>
    <t>Roméo Frigo et Roméo Lendemain, copains de Hippocrate Stine</t>
  </si>
  <si>
    <t>Ron Dell et Boule On</t>
  </si>
  <si>
    <t>Rony Vienplus</t>
  </si>
  <si>
    <t>Rose – le père Rose Guy Rek</t>
  </si>
  <si>
    <t>Rose As ou Rose A. C.</t>
  </si>
  <si>
    <t>Rose Bif</t>
  </si>
  <si>
    <t>Rose Blanche de Corfou</t>
  </si>
  <si>
    <t>Rose Édépré le Matin &amp; Sacha Bon</t>
  </si>
  <si>
    <t>Roy Ialcerepa Gastronomik</t>
  </si>
  <si>
    <t>Rudi Men d'Anglais;</t>
  </si>
  <si>
    <t>Rudy Men Terre; Ruddy Nanterre</t>
  </si>
  <si>
    <t>Sabine – Le port de Sabine ou le bord de sa pine (Contrepèterie)</t>
  </si>
  <si>
    <t>Sabine Hessassarcle ou Sabine Hessabèche</t>
  </si>
  <si>
    <t>Sacha Hutte</t>
  </si>
  <si>
    <t>Sacha Sanson Shah Étriste</t>
  </si>
  <si>
    <t>Sacha Tépoilue; Sacha Tésauvage</t>
  </si>
  <si>
    <t>Sacha Touille et Sagra Touille</t>
  </si>
  <si>
    <t>Sally Cent; Sally Diot; Sally Stoir</t>
  </si>
  <si>
    <t>Salvator – Ilatirélé Salvator</t>
  </si>
  <si>
    <t>Sam Atriste et Sam Penn</t>
  </si>
  <si>
    <t>Sam d'Issoire</t>
  </si>
  <si>
    <t>Sam Eugène et Sam Hénerve</t>
  </si>
  <si>
    <t>Sam Gratte, Sam Pique et Sam Hirite</t>
  </si>
  <si>
    <t>Sam Hovar; Voukipassé Sam Hovar</t>
  </si>
  <si>
    <t>Sam Irrite-les-Fesses</t>
  </si>
  <si>
    <t>Sam Sofie &amp; Sam Ekeur, les cousins de Georgette Tout</t>
  </si>
  <si>
    <t>Sam, Eugène, Tom Hambre</t>
  </si>
  <si>
    <t>Samir Hacomsa</t>
  </si>
  <si>
    <t>Samir Hitte ou Sammy Rite</t>
  </si>
  <si>
    <t>Samira Pourcetfois; Samira Trébien</t>
  </si>
  <si>
    <t>Sammy – Elfé Sammy Joré</t>
  </si>
  <si>
    <t>Sammy Nedéconfite</t>
  </si>
  <si>
    <t>Samson Appareil, il est Sanson</t>
  </si>
  <si>
    <t>Samson Nouveaux Parfum</t>
  </si>
  <si>
    <t>Samuel Nenfinipa</t>
  </si>
  <si>
    <t>Sanchez Essan Tabouret</t>
  </si>
  <si>
    <t>Sandra de Dessous, Sam Gratte</t>
  </si>
  <si>
    <t>Sandra de Lit Geoffroy</t>
  </si>
  <si>
    <t>Sandra Matt Hiser</t>
  </si>
  <si>
    <t>Sandra Po, c'est pas Pat Riote</t>
  </si>
  <si>
    <t>Sandrine O'Céross  et Corinne O'Céross</t>
  </si>
  <si>
    <t>Sandy Égo Kally Forny</t>
  </si>
  <si>
    <t>Sandy Ferrance Séfade</t>
  </si>
  <si>
    <t>Sandy Kilo, Ella Mégri (Sandy, comme cent-dix kilos? Sketch de Franck Dubosc)</t>
  </si>
  <si>
    <t>Sandy Métrehé</t>
  </si>
  <si>
    <t>Sandy Relavérité</t>
  </si>
  <si>
    <t>Sandy Zuit 218 (Numéro de téléphone)</t>
  </si>
  <si>
    <t>Sanson Éssanzimage; Sanson Assam Image</t>
  </si>
  <si>
    <t>Sanson Slip Ilénu</t>
  </si>
  <si>
    <t>Sarah Bâche, Biboche, Commode, Fraichi, Tatouille, etc.</t>
  </si>
  <si>
    <t>Sarah Fréchit, Sarah Croche, Sarah Pèle …</t>
  </si>
  <si>
    <t>On ne peut pas appeler Sarah au téléphone, car ça raccroche.</t>
  </si>
  <si>
    <t>Sarah-Kate É.K.C.</t>
  </si>
  <si>
    <t>Sarah Sazi</t>
  </si>
  <si>
    <t>Sarah Sion</t>
  </si>
  <si>
    <t>Sarah Vigote</t>
  </si>
  <si>
    <t>Sarah Visseuse</t>
  </si>
  <si>
    <t>Sarah Yévo</t>
  </si>
  <si>
    <t>Sarko Mance et Carla Yanamar</t>
  </si>
  <si>
    <t>Saturnin Peuvitpourmoi</t>
  </si>
  <si>
    <t>Sébastienne Touseul</t>
  </si>
  <si>
    <t>Ségolène – Et elle est pas mal Ségolène =&gt; Elle est mal gaulée et pas saine (Contrepèterie)</t>
  </si>
  <si>
    <t>Serge – Ki Serge le premier</t>
  </si>
  <si>
    <t>Serge An Chef; Serge An Major; Serge An Garcia</t>
  </si>
  <si>
    <t>Serge Oin et Marc Tô</t>
  </si>
  <si>
    <t>Serge Ouvouvou Servez Voumém</t>
  </si>
  <si>
    <t>Serge Y. Pontoise &gt;&gt;&gt;</t>
  </si>
  <si>
    <t>Séverine de Confiture; Séverine Apéro</t>
  </si>
  <si>
    <t>Seymore Bienmort; Seymore Irunpeu</t>
  </si>
  <si>
    <t>Seymour Rirunpeu;</t>
  </si>
  <si>
    <t>Sharon Ronnetoutletemps</t>
  </si>
  <si>
    <t>Sheila Lulu Tutéklate</t>
  </si>
  <si>
    <t>Sheila Lutfinale</t>
  </si>
  <si>
    <t>Sheila Mère Michel</t>
  </si>
  <si>
    <t>Sheila Plusbeldenoustoutes</t>
  </si>
  <si>
    <t>Sheila Tournée Générale</t>
  </si>
  <si>
    <t>Sheila Zizanie</t>
  </si>
  <si>
    <t>Sid &amp; Ral; Sid &amp; Rurgi</t>
  </si>
  <si>
    <t>Sidonie – Hépan Cheman de Sidonie</t>
  </si>
  <si>
    <t>Silly Konvalley</t>
  </si>
  <si>
    <t>Sim Iesk, cousin de Laurent Houtan</t>
  </si>
  <si>
    <t>Sim Ilicuir</t>
  </si>
  <si>
    <t>Sim K. Mil</t>
  </si>
  <si>
    <t>Simon Djean Haisalle</t>
  </si>
  <si>
    <t>Solène Vierge</t>
  </si>
  <si>
    <t>Sonia Avandentrer</t>
  </si>
  <si>
    <t>Sonia et Hammam à Djerba</t>
  </si>
  <si>
    <t>Sonny – Loiseaufé Sonny</t>
  </si>
  <si>
    <t>Sophie – Mademoselle (mademoiselle Sophie, sauf I)</t>
  </si>
  <si>
    <t>Sophie Sonsek</t>
  </si>
  <si>
    <t>Sophie Stiké, Eddy Ficil</t>
  </si>
  <si>
    <t>Stan Dard</t>
  </si>
  <si>
    <t>Stan Néhla G.T. Musclé</t>
  </si>
  <si>
    <t>Stromaé Maestro (Anacyclique des syllabes)</t>
  </si>
  <si>
    <t>Sue Chi A Emporter ou Sue Chigastriques ou Sue Chihassfer</t>
  </si>
  <si>
    <t>Sue Piré; Sue Lagé</t>
  </si>
  <si>
    <t>Suzie Laure Eille</t>
  </si>
  <si>
    <t>Sylvain Étiré, Gilles Foleboir</t>
  </si>
  <si>
    <t>Sylvain Jemebar</t>
  </si>
  <si>
    <t>Sylvain Taplevoirsortonpépin</t>
  </si>
  <si>
    <t>Sylvère Évid Tata Leremplir</t>
  </si>
  <si>
    <t>Sylvia Aude Anne Marc Sanson Gilles Et Laura Froid</t>
  </si>
  <si>
    <t>(variante avec Eva au lieu de Sylvia)</t>
  </si>
  <si>
    <t>Sylvia Gra Agibien</t>
  </si>
  <si>
    <t>Sylvie Bromasseur ne marche pas fais autre chose</t>
  </si>
  <si>
    <t>Sylvie Cekilépamor</t>
  </si>
  <si>
    <t>Syvie Kultur du Pin et Laure Hédubois</t>
  </si>
  <si>
    <t>Sylvie Enkor Hasommle</t>
  </si>
  <si>
    <t>Sylvie Ilzygote (S'il vit, il gigote; allusion au zygote, première cellule du fœtus)</t>
  </si>
  <si>
    <t>Sylvie Ragesurvient Jevire</t>
  </si>
  <si>
    <t>Tad Bozieux</t>
  </si>
  <si>
    <t>Tanguy Yadlavi-Yadlespoir</t>
  </si>
  <si>
    <t>Tatiana Pourun y'en a pour deux</t>
  </si>
  <si>
    <t>Tatiana Rhinebouché</t>
  </si>
  <si>
    <t>Téa Lamente</t>
  </si>
  <si>
    <t>Ted Bouvamechercher Unebière</t>
  </si>
  <si>
    <t>Ted de Nœud</t>
  </si>
  <si>
    <t>Ted et Bill Maparole; Ted et Bill Houkoi; Ted et Bill Mental</t>
  </si>
  <si>
    <t>Ted Hure à cuire</t>
  </si>
  <si>
    <t>Ted Issy Houpa</t>
  </si>
  <si>
    <t>Teddy Ficile; Teddy Fils Il; Teddy Ferrant</t>
  </si>
  <si>
    <t>Teddy Nainportekoi</t>
  </si>
  <si>
    <t>Terry Er l'Église</t>
  </si>
  <si>
    <t>Terry Ridule, Terry Golo</t>
  </si>
  <si>
    <t>Tess – Mon amie pour la Vie Tess</t>
  </si>
  <si>
    <t>Tess Ticule; Tess Tament</t>
  </si>
  <si>
    <t>Tex Agère; Tex Tho</t>
  </si>
  <si>
    <t>Thalès Étonchienhou</t>
  </si>
  <si>
    <t>Théa Ter-Abandonne</t>
  </si>
  <si>
    <t>Thècle Abouss. Thècle Hassic</t>
  </si>
  <si>
    <t>Théo Baize; Théo Poil; Théo Dieu; Théo Ri, etc</t>
  </si>
  <si>
    <t>Théo Courant</t>
  </si>
  <si>
    <t>Théo Jasmin et Théa Lamenthe</t>
  </si>
  <si>
    <t>Théo Plancher; Théo Max</t>
  </si>
  <si>
    <t>Théo Septièmeciel et Théo Sibakemoi</t>
  </si>
  <si>
    <t>Théo Taquet et Théa Lamasse</t>
  </si>
  <si>
    <t>Théodore An</t>
  </si>
  <si>
    <t>Théodore Toir</t>
  </si>
  <si>
    <t>Thérèse et Suzie Thé; Thérèse, Théo Li</t>
  </si>
  <si>
    <t>Thérèse Hisstante</t>
  </si>
  <si>
    <t>Thérèse Ponsabledumatos</t>
  </si>
  <si>
    <t>Thérèse Ulta Sonnul</t>
  </si>
  <si>
    <t>Thésée Vous</t>
  </si>
  <si>
    <t>Thibault Comhumkeur</t>
  </si>
  <si>
    <t>Thibault Timeplé</t>
  </si>
  <si>
    <t>Thierry Chmonfils</t>
  </si>
  <si>
    <t>Thierry dit Cul</t>
  </si>
  <si>
    <t>Thomas – Ulcer d'S. Thomas; É. Greurdesse Thomas</t>
  </si>
  <si>
    <t>Thomas Oque l'Indien</t>
  </si>
  <si>
    <t>Thomas Te Cerise</t>
  </si>
  <si>
    <t>Thor Boyaux, Tikoli, etc.</t>
  </si>
  <si>
    <t>Thor Épavumélunette</t>
  </si>
  <si>
    <t>Thor Nade, Nessie Clone</t>
  </si>
  <si>
    <t>Tom Bola et Tom Hatte</t>
  </si>
  <si>
    <t>Tom de Savoie</t>
  </si>
  <si>
    <t>Tom Hawack</t>
  </si>
  <si>
    <t>Tom-Ambre Meplé et Tom-Ambre Eugène</t>
  </si>
  <si>
    <t>Tony – S. Tony, Lé Tony et Litu Annie &gt;&gt;&gt;</t>
  </si>
  <si>
    <t>Toussaint Cout</t>
  </si>
  <si>
    <t>Tristan Amour</t>
  </si>
  <si>
    <t>Ulrich – Set Ulrich I.D.</t>
  </si>
  <si>
    <t>Urbain – Buspéri Urbain; Labita Urbain;</t>
  </si>
  <si>
    <t>Que préférez-vous, l'habitat rural ou l'habitat urbain? – Mais, celle de mon mari me suffit.</t>
  </si>
  <si>
    <t>Urbain – Ilvahotte Urbain</t>
  </si>
  <si>
    <t>Urbain – Lhabitat Urbain</t>
  </si>
  <si>
    <t>Valérie – Et Valérie =&gt; Elle est ravie (Contrepèterie)</t>
  </si>
  <si>
    <t>Valérie Diculiser</t>
  </si>
  <si>
    <t>Vasco Munikan</t>
  </si>
  <si>
    <t>Véronique et Sarah Porte</t>
  </si>
  <si>
    <t>Vic Tim</t>
  </si>
  <si>
    <t>Vincent Al Kohl</t>
  </si>
  <si>
    <t>Vincent Cenvin (20 100 120) Allographe</t>
  </si>
  <si>
    <t>Vincent Tim d'Euro</t>
  </si>
  <si>
    <t>Virginie T.</t>
  </si>
  <si>
    <t>Vivien Chezmoi</t>
  </si>
  <si>
    <t>Walter Polo; Walter Closet</t>
  </si>
  <si>
    <t>Wallace Sasse corse</t>
  </si>
  <si>
    <t>Walter Closet</t>
  </si>
  <si>
    <t>Walter ou Wal'diratoutlemonde</t>
  </si>
  <si>
    <t>Wanda Lisme</t>
  </si>
  <si>
    <t>Wanda Pert</t>
  </si>
  <si>
    <t>Wanna Deubal</t>
  </si>
  <si>
    <t>Willie Mépahahautevoix; Willie Médansatête; Willie Lanotice de la Box</t>
  </si>
  <si>
    <t>Xavier K. Paétrela; Xavier K. Sméfié; Xavier K. Écouté</t>
  </si>
  <si>
    <t>Xavier Pasvumamob</t>
  </si>
  <si>
    <t>Yann Akepourlui</t>
  </si>
  <si>
    <t>Yannick Eunitêt</t>
  </si>
  <si>
    <t>Yolande – Il faisait du Yo-Gars dans Yo-Land</t>
  </si>
  <si>
    <t>Ysé - Ilaform Ysé o’Je (Il a fort misé aux jeux)</t>
  </si>
  <si>
    <t>Ysé Tétrois petits enfants qui s'en allaient glaner aux champs.</t>
  </si>
  <si>
    <t>Yvan – Morve Yvan</t>
  </si>
  <si>
    <t>Yvan César Chives</t>
  </si>
  <si>
    <t>Yvan Pèrémère</t>
  </si>
  <si>
    <t>Yvan Tou Hassan Souh</t>
  </si>
  <si>
    <t>Yvan, Dédé Cartepostale; Yvan Dédé Condom</t>
  </si>
  <si>
    <t>Yvan Sam Otto</t>
  </si>
  <si>
    <t>Yves – Lalaisse Yves</t>
  </si>
  <si>
    <t>Yves Atrovite, Adrouille, Vapartout, Vapabien, etc.</t>
  </si>
  <si>
    <t>Yves Hégé</t>
  </si>
  <si>
    <t>Yves Héron Ski Vérons</t>
  </si>
  <si>
    <t>Yves Remor</t>
  </si>
  <si>
    <t>Yves Vavite</t>
  </si>
  <si>
    <t>Yves-André Pérémer</t>
  </si>
  <si>
    <t>Yvon-Alex Térieur</t>
  </si>
  <si>
    <t>Yvon Aude Anne Marc</t>
  </si>
  <si>
    <t>Yvon Enbavé</t>
  </si>
  <si>
    <t>Yvon et Jacques Kulé</t>
  </si>
  <si>
    <t>Yvonne – D'Yvonne Lébin (Divonne-les-Bains dans l'Ain)</t>
  </si>
  <si>
    <t>Zinedine Pacesoir &amp; Janette Pafin</t>
  </si>
  <si>
    <t>Zita – Ellé Zita</t>
  </si>
  <si>
    <r>
      <t>Éden Shoulder </t>
    </r>
    <r>
      <rPr>
        <i/>
        <sz val="11"/>
        <color theme="1"/>
        <rFont val="Century Gothic"/>
        <family val="2"/>
      </rPr>
      <t>(Head and shoulders, tête et epaulets en anglais; marque de shampoing)</t>
    </r>
  </si>
  <si>
    <r>
      <t>Edmond Midi </t>
    </r>
    <r>
      <rPr>
        <i/>
        <sz val="11"/>
        <color theme="1"/>
        <rFont val="Century Gothic"/>
        <family val="2"/>
      </rPr>
      <t>(démon du Midi)</t>
    </r>
  </si>
  <si>
    <r>
      <t>Edmond Papahojardin </t>
    </r>
    <r>
      <rPr>
        <i/>
        <sz val="11"/>
        <color theme="1"/>
        <rFont val="Century Gothic"/>
        <family val="2"/>
      </rPr>
      <t>(Aide mon papa au jardin)</t>
    </r>
  </si>
  <si>
    <r>
      <t>Éléonore Ésauf </t>
    </r>
    <r>
      <rPr>
        <i/>
        <sz val="11"/>
        <color theme="1"/>
        <rFont val="Century Gothic"/>
        <family val="2"/>
      </rPr>
      <t>(et l'honneur est sauf)</t>
    </r>
  </si>
  <si>
    <r>
      <t>Éléonore Sabbagh </t>
    </r>
    <r>
      <rPr>
        <i/>
        <sz val="11"/>
        <color theme="1"/>
        <rFont val="Century Gothic"/>
        <family val="2"/>
      </rPr>
      <t>(Elle est en or sa bague)</t>
    </r>
  </si>
  <si>
    <r>
      <t>Ella Lagingrat </t>
    </r>
    <r>
      <rPr>
        <i/>
        <sz val="11"/>
        <color theme="1"/>
        <rFont val="Century Gothic"/>
        <family val="2"/>
      </rPr>
      <t>(âge ingrat et engin gras)</t>
    </r>
  </si>
  <si>
    <r>
      <t>Ella, Nadège Avudotre </t>
    </r>
    <r>
      <rPr>
        <i/>
        <sz val="11"/>
        <color theme="1"/>
        <rFont val="Century Gothic"/>
        <family val="2"/>
      </rPr>
      <t>(elle en a déjà vu d'autres)</t>
    </r>
  </si>
  <si>
    <r>
      <t>Ella-Rhianna Smet; Ella-Cathy Nioré; etc. </t>
    </r>
    <r>
      <rPr>
        <i/>
        <sz val="11"/>
        <color theme="1"/>
        <rFont val="Century Gothic"/>
        <family val="2"/>
      </rPr>
      <t>(Nombreux double-prénoms avec: elle a …)</t>
    </r>
  </si>
  <si>
    <r>
      <t>Émile et son copain Milot </t>
    </r>
    <r>
      <rPr>
        <i/>
        <sz val="11"/>
        <color theme="1"/>
        <rFont val="Century Gothic"/>
        <family val="2"/>
      </rPr>
      <t>(É 1000 et 1000 O)</t>
    </r>
  </si>
  <si>
    <r>
      <t>Emma Carène Ha </t>
    </r>
    <r>
      <rPr>
        <i/>
        <sz val="11"/>
        <color theme="1"/>
        <rFont val="Century Gothic"/>
        <family val="2"/>
      </rPr>
      <t>(Macarena, chanson)</t>
    </r>
  </si>
  <si>
    <r>
      <t>Emma Soirsurunban </t>
    </r>
    <r>
      <rPr>
        <i/>
        <sz val="11"/>
        <color theme="1"/>
        <rFont val="Century Gothic"/>
        <family val="2"/>
      </rPr>
      <t>(Chanson de Renaud – Mistral gagnant)</t>
    </r>
  </si>
  <si>
    <r>
      <t>Emma Tenankevéjefaire </t>
    </r>
    <r>
      <rPr>
        <i/>
        <sz val="11"/>
        <color theme="1"/>
        <rFont val="Century Gothic"/>
        <family val="2"/>
      </rPr>
      <t>(Chanson de Gilbert Bécaud)</t>
    </r>
  </si>
  <si>
    <r>
      <t>Ernie – Aillewont Ernie Sink </t>
    </r>
    <r>
      <rPr>
        <i/>
        <sz val="11"/>
        <color theme="1"/>
        <rFont val="Century Gothic"/>
        <family val="2"/>
      </rPr>
      <t>(Anglais: I want everything, je veux tout)</t>
    </r>
  </si>
  <si>
    <r>
      <t>Ernie Homme Billy Kal &amp; Ernie X</t>
    </r>
    <r>
      <rPr>
        <vertAlign val="subscript"/>
        <sz val="11"/>
        <color theme="1"/>
        <rFont val="Century Gothic"/>
        <family val="2"/>
      </rPr>
      <t>(lire: dix)</t>
    </r>
    <r>
      <rPr>
        <sz val="11"/>
        <color theme="1"/>
        <rFont val="Century Gothic"/>
        <family val="2"/>
      </rPr>
      <t> Kal </t>
    </r>
    <r>
      <rPr>
        <i/>
        <sz val="11"/>
        <color theme="1"/>
        <rFont val="Century Gothic"/>
        <family val="2"/>
      </rPr>
      <t>(Ernie: diminutif d'Ernest)</t>
    </r>
  </si>
  <si>
    <r>
      <t>Erwan ErForsouhone </t>
    </r>
    <r>
      <rPr>
        <i/>
        <sz val="11"/>
        <color theme="1"/>
        <rFont val="Century Gothic"/>
        <family val="2"/>
      </rPr>
      <t>(Se prononce airouhone, comme Air Force One, indicatif des avions où se trouve le président des</t>
    </r>
    <r>
      <rPr>
        <sz val="11"/>
        <color theme="1"/>
        <rFont val="Century Gothic"/>
        <family val="2"/>
      </rPr>
      <t> </t>
    </r>
    <r>
      <rPr>
        <i/>
        <sz val="11"/>
        <color theme="1"/>
        <rFont val="Century Gothic"/>
        <family val="2"/>
      </rPr>
      <t>États-Unis)</t>
    </r>
  </si>
  <si>
    <r>
      <t>Erwin: L'Erwin Tamanké </t>
    </r>
    <r>
      <rPr>
        <i/>
        <sz val="11"/>
        <color theme="1"/>
        <rFont val="Century Gothic"/>
        <family val="2"/>
      </rPr>
      <t>(L'air vint a manquer); </t>
    </r>
    <r>
      <rPr>
        <sz val="11"/>
        <color theme="1"/>
        <rFont val="Century Gothic"/>
        <family val="2"/>
      </rPr>
      <t>L'Erwin Cœur </t>
    </r>
    <r>
      <rPr>
        <i/>
        <sz val="11"/>
        <color theme="1"/>
        <rFont val="Century Gothic"/>
        <family val="2"/>
      </rPr>
      <t>(Note: prononcé R20, certains prononcent ervi-ne: aussi, la R20 fut le nom d'une voiture Renault)</t>
    </r>
    <r>
      <rPr>
        <sz val="11"/>
        <color theme="1"/>
        <rFont val="Century Gothic"/>
        <family val="2"/>
      </rPr>
      <t> </t>
    </r>
    <r>
      <rPr>
        <i/>
        <sz val="11"/>
        <color theme="1"/>
        <rFont val="Century Gothic"/>
        <family val="2"/>
      </rPr>
      <t> </t>
    </r>
  </si>
  <si>
    <r>
      <t>Esmeralda </t>
    </r>
    <r>
      <rPr>
        <i/>
        <sz val="11"/>
        <color theme="1"/>
        <rFont val="Century Gothic"/>
        <family val="2"/>
      </rPr>
      <t>(Est-ce mes (pastilles) Valda)</t>
    </r>
  </si>
  <si>
    <r>
      <t>Estelle: Sous cet arbre volait une estelle? Non, mélaménavéness </t>
    </r>
    <r>
      <rPr>
        <i/>
        <sz val="11"/>
        <color theme="1"/>
        <rFont val="Century Gothic"/>
        <family val="2"/>
      </rPr>
      <t>(Sous cet arbre vos laitues naissent-elles? Non, mais là mes navets naissent)</t>
    </r>
  </si>
  <si>
    <r>
      <t>Estelle Hertz</t>
    </r>
    <r>
      <rPr>
        <i/>
        <sz val="11"/>
        <color theme="1"/>
        <rFont val="Century Gothic"/>
        <family val="2"/>
      </rPr>
      <t> (lu en anglais: it still hurts)</t>
    </r>
  </si>
  <si>
    <r>
      <t>Étienne – Halatienne Étienne </t>
    </r>
    <r>
      <rPr>
        <i/>
        <sz val="11"/>
        <color theme="1"/>
        <rFont val="Century Gothic"/>
        <family val="2"/>
      </rPr>
      <t>(Expression)</t>
    </r>
  </si>
  <si>
    <r>
      <t>Ettore Pumledirpluto </t>
    </r>
    <r>
      <rPr>
        <i/>
        <sz val="11"/>
        <color theme="1"/>
        <rFont val="Century Gothic"/>
        <family val="2"/>
      </rPr>
      <t>(Prononcez: é to ré)</t>
    </r>
  </si>
  <si>
    <r>
      <t>Eugène – Marcel Eugène Démat </t>
    </r>
    <r>
      <rPr>
        <i/>
        <sz val="11"/>
        <color theme="1"/>
        <rFont val="Century Gothic"/>
        <family val="2"/>
      </rPr>
      <t>("Mare", c'est le gène des maths)</t>
    </r>
  </si>
  <si>
    <r>
      <t>Eugène – Saint Eustr Eugène </t>
    </r>
    <r>
      <rPr>
        <i/>
        <sz val="11"/>
        <color theme="1"/>
        <rFont val="Century Gothic"/>
        <family val="2"/>
      </rPr>
      <t>(L'œstrogène: hormone responsable notamment du développement des seins)</t>
    </r>
  </si>
  <si>
    <r>
      <t>Eugénie – Engin d'Eugénie </t>
    </r>
    <r>
      <rPr>
        <i/>
        <sz val="11"/>
        <color theme="1"/>
        <rFont val="Century Gothic"/>
        <family val="2"/>
      </rPr>
      <t>(engins du génie militaire)</t>
    </r>
  </si>
  <si>
    <r>
      <t>Eugénie Glandait </t>
    </r>
    <r>
      <rPr>
        <i/>
        <sz val="11"/>
        <color theme="1"/>
        <rFont val="Century Gothic"/>
        <family val="2"/>
      </rPr>
      <t>(Allusion à Eugénie Grandet de Balzac – 1833)</t>
    </r>
  </si>
  <si>
    <r>
      <t>Éve Ribodiwilgo </t>
    </r>
    <r>
      <rPr>
        <i/>
        <sz val="11"/>
        <color theme="1"/>
        <rFont val="Century Gothic"/>
        <family val="2"/>
      </rPr>
      <t>(Everybody will go, tout le monde ira)</t>
    </r>
  </si>
  <si>
    <r>
      <t>Ève Angile et Pitt Reu </t>
    </r>
    <r>
      <rPr>
        <i/>
        <sz val="11"/>
        <color theme="1"/>
        <rFont val="Century Gothic"/>
        <family val="2"/>
      </rPr>
      <t>(Évangiles, épitres)</t>
    </r>
  </si>
  <si>
    <r>
      <t>Évelyne: Enl'Évelyne NR </t>
    </r>
    <r>
      <rPr>
        <i/>
        <sz val="11"/>
        <color theme="1"/>
        <rFont val="Century Gothic"/>
        <family val="2"/>
      </rPr>
      <t>(enlève (le) linéaire)</t>
    </r>
  </si>
  <si>
    <r>
      <t>Évelyne: L'Évelyne Takana Pèchplie </t>
    </r>
    <r>
      <rPr>
        <i/>
        <sz val="11"/>
        <rFont val="Century Gothic"/>
        <family val="2"/>
      </rPr>
      <t>(lève ligne, ta canne à pèche plie)</t>
    </r>
  </si>
  <si>
    <r>
      <t>Fabien – Esqueje Fabien </t>
    </r>
    <r>
      <rPr>
        <i/>
        <sz val="11"/>
        <color theme="1"/>
        <rFont val="Century Gothic"/>
        <family val="2"/>
      </rPr>
      <t>(Est-ce que je fais bien?)</t>
    </r>
  </si>
  <si>
    <r>
      <t>Fany – Embrasse Fany </t>
    </r>
    <r>
      <rPr>
        <i/>
        <sz val="11"/>
        <color theme="1"/>
        <rFont val="Century Gothic"/>
        <family val="2"/>
      </rPr>
      <t>(Expression au jeu de boules)</t>
    </r>
  </si>
  <si>
    <r>
      <t>Fany – Épi Fany </t>
    </r>
    <r>
      <rPr>
        <i/>
        <sz val="11"/>
        <color theme="1"/>
        <rFont val="Century Gothic"/>
        <family val="2"/>
      </rPr>
      <t>(Prénom Fany ou Fanny)</t>
    </r>
  </si>
  <si>
    <r>
      <t>Farid Hannibal </t>
    </r>
    <r>
      <rPr>
        <i/>
        <sz val="11"/>
        <color theme="1"/>
        <rFont val="Century Gothic"/>
        <family val="2"/>
      </rPr>
      <t>(farine animale)</t>
    </r>
  </si>
  <si>
    <r>
      <t>Faustine Mulet la Libido </t>
    </r>
    <r>
      <rPr>
        <i/>
        <sz val="11"/>
        <color theme="1"/>
        <rFont val="Century Gothic"/>
        <family val="2"/>
      </rPr>
      <t>(Faut stimuler la libido)</t>
    </r>
  </si>
  <si>
    <r>
      <t>Faustine Nette, Ella Fé KKK Mêm </t>
    </r>
    <r>
      <rPr>
        <i/>
        <sz val="11"/>
        <color theme="1"/>
        <rFont val="Century Gothic"/>
        <family val="2"/>
      </rPr>
      <t>(Fausse tinette; elle a fait caca quant même)</t>
    </r>
  </si>
  <si>
    <r>
      <t>Félix – Ella Félix </t>
    </r>
    <r>
      <rPr>
        <i/>
        <sz val="11"/>
        <color theme="1"/>
        <rFont val="Century Gothic"/>
        <family val="2"/>
      </rPr>
      <t>(Elle a fait l'X, c'est-à-dire: Polytechnique)</t>
    </r>
  </si>
  <si>
    <r>
      <t>Félix Héléna Tora Bonne Mine </t>
    </r>
    <r>
      <rPr>
        <i/>
        <sz val="11"/>
        <color theme="1"/>
        <rFont val="Century Gothic"/>
        <family val="2"/>
      </rPr>
      <t>(trois écoles supérieures: X, ENA, Mines)</t>
    </r>
  </si>
  <si>
    <r>
      <t>Fiona Gapa </t>
    </r>
    <r>
      <rPr>
        <i/>
        <sz val="11"/>
        <color theme="1"/>
        <rFont val="Century Gothic"/>
        <family val="2"/>
      </rPr>
      <t>(Filles, on a; gars, pas!)</t>
    </r>
  </si>
  <si>
    <r>
      <t>Fiona – </t>
    </r>
    <r>
      <rPr>
        <sz val="11"/>
        <color rgb="FFFF0000"/>
        <rFont val="Century Gothic"/>
        <family val="2"/>
      </rPr>
      <t>WiWi Fiona</t>
    </r>
    <r>
      <rPr>
        <sz val="11"/>
        <color theme="1"/>
        <rFont val="Century Gothic"/>
        <family val="2"/>
      </rPr>
      <t> </t>
    </r>
    <r>
      <rPr>
        <i/>
        <sz val="11"/>
        <color theme="1"/>
        <rFont val="Century Gothic"/>
        <family val="2"/>
      </rPr>
      <t>(Oui, huit filles on a) </t>
    </r>
    <r>
      <rPr>
        <sz val="11"/>
        <color theme="1"/>
        <rFont val="Century Gothic"/>
        <family val="2"/>
      </rPr>
      <t>– Wi Fiona </t>
    </r>
    <r>
      <rPr>
        <i/>
        <sz val="11"/>
        <color theme="1"/>
        <rFont val="Century Gothic"/>
        <family val="2"/>
      </rPr>
      <t>(Wi-Fi, on a)</t>
    </r>
  </si>
  <si>
    <r>
      <t>Florentin Testinal </t>
    </r>
    <r>
      <rPr>
        <i/>
        <sz val="11"/>
        <color theme="1"/>
        <rFont val="Century Gothic"/>
        <family val="2"/>
      </rPr>
      <t>(Flore intestinale)</t>
    </r>
  </si>
  <si>
    <r>
      <t>Francis Caine et Dominique Caine </t>
    </r>
    <r>
      <rPr>
        <i/>
        <sz val="11"/>
        <color theme="1"/>
        <rFont val="Century Gothic"/>
        <family val="2"/>
      </rPr>
      <t>(Un couple de religieux)</t>
    </r>
  </si>
  <si>
    <r>
      <t>Francis est eurosceptique </t>
    </r>
    <r>
      <rPr>
        <i/>
        <sz val="11"/>
        <color theme="1"/>
        <rFont val="Century Gothic"/>
        <family val="2"/>
      </rPr>
      <t>(Franc VI et Euro VII)</t>
    </r>
  </si>
  <si>
    <r>
      <t>Francis et Eurydice </t>
    </r>
    <r>
      <rPr>
        <i/>
        <sz val="11"/>
        <color theme="1"/>
        <rFont val="Century Gothic"/>
        <family val="2"/>
      </rPr>
      <t>(Francs 6 et Euros 10)</t>
    </r>
  </si>
  <si>
    <r>
      <t>Frank Furtammeïn </t>
    </r>
    <r>
      <rPr>
        <i/>
        <sz val="11"/>
        <color theme="1"/>
        <rFont val="Century Gothic"/>
        <family val="2"/>
      </rPr>
      <t>(Frankfurt am Main)</t>
    </r>
  </si>
  <si>
    <r>
      <t>Frank Reich </t>
    </r>
    <r>
      <rPr>
        <i/>
        <sz val="11"/>
        <color theme="1"/>
        <rFont val="Century Gothic"/>
        <family val="2"/>
      </rPr>
      <t>(Frankreich, France en allemand)</t>
    </r>
  </si>
  <si>
    <r>
      <t>Frans Oseu </t>
    </r>
    <r>
      <rPr>
        <i/>
        <sz val="11"/>
        <color theme="1"/>
        <rFont val="Century Gothic"/>
        <family val="2"/>
      </rPr>
      <t>(Franzose, Français en allemand)</t>
    </r>
  </si>
  <si>
    <r>
      <t>Gaby Tènflamm</t>
    </r>
    <r>
      <rPr>
        <sz val="11"/>
        <color theme="1"/>
        <rFont val="Century Gothic"/>
        <family val="2"/>
      </rPr>
      <t> </t>
    </r>
    <r>
      <rPr>
        <i/>
        <sz val="11"/>
        <color theme="1"/>
        <rFont val="Century Gothic"/>
        <family val="2"/>
      </rPr>
      <t>(Tu n'es pas de notre galaxie)</t>
    </r>
  </si>
  <si>
    <r>
      <t>Galiléo =&gt; Au lit les gars </t>
    </r>
    <r>
      <rPr>
        <i/>
        <sz val="11"/>
        <color theme="1"/>
        <rFont val="Century Gothic"/>
        <family val="2"/>
      </rPr>
      <t>(Contrepèterie)</t>
    </r>
  </si>
  <si>
    <r>
      <t>Garry Citon Otto </t>
    </r>
    <r>
      <rPr>
        <i/>
        <sz val="11"/>
        <color theme="1"/>
        <rFont val="Century Gothic"/>
        <family val="2"/>
      </rPr>
      <t>(Gare ici ton auto)</t>
    </r>
  </si>
  <si>
    <r>
      <t>Gaspard Alizan </t>
    </r>
    <r>
      <rPr>
        <i/>
        <sz val="11"/>
        <color theme="1"/>
        <rFont val="Century Gothic"/>
        <family val="2"/>
      </rPr>
      <t>(gaz paralysant)</t>
    </r>
  </si>
  <si>
    <r>
      <t>Gautier – Abri Gautier </t>
    </r>
    <r>
      <rPr>
        <i/>
        <sz val="11"/>
        <color theme="1"/>
        <rFont val="Century Gothic"/>
        <family val="2"/>
      </rPr>
      <t>(abri côtier)</t>
    </r>
  </si>
  <si>
    <r>
      <t>Gautier – Centié Gautier </t>
    </r>
    <r>
      <rPr>
        <i/>
        <sz val="11"/>
        <color theme="1"/>
        <rFont val="Century Gothic"/>
        <family val="2"/>
      </rPr>
      <t>(sentier côtier)</t>
    </r>
  </si>
  <si>
    <r>
      <t>Gautier - Keske Voufry Gautier </t>
    </r>
    <r>
      <rPr>
        <i/>
        <sz val="11"/>
        <color theme="1"/>
        <rFont val="Century Gothic"/>
        <family val="2"/>
      </rPr>
      <t>(Qu’est ce que vous fricotiez ?)</t>
    </r>
  </si>
  <si>
    <r>
      <t>Gépetto Bain </t>
    </r>
    <r>
      <rPr>
        <i/>
        <sz val="11"/>
        <color theme="1"/>
        <rFont val="Century Gothic"/>
        <family val="2"/>
      </rPr>
      <t>(Diminutif de Giuseppe, Joseph en italien)</t>
    </r>
  </si>
  <si>
    <r>
      <t>Gérard – Elsonlé Gérard Regarder </t>
    </r>
    <r>
      <rPr>
        <i/>
        <sz val="11"/>
        <color theme="1"/>
        <rFont val="Century Gothic"/>
        <family val="2"/>
      </rPr>
      <t>(elles sont légères à regarder)</t>
    </r>
  </si>
  <si>
    <r>
      <t>Gérard – Hilem Lézob Gérard</t>
    </r>
    <r>
      <rPr>
        <i/>
        <sz val="11"/>
        <color rgb="FF000000"/>
        <rFont val="Century Gothic"/>
        <family val="2"/>
      </rPr>
      <t> (i</t>
    </r>
    <r>
      <rPr>
        <i/>
        <sz val="11"/>
        <color theme="1"/>
        <rFont val="Century Gothic"/>
        <family val="2"/>
      </rPr>
      <t>l aime les objets rares)</t>
    </r>
  </si>
  <si>
    <r>
      <t>Gérard – Iladé Gérard Méhacid </t>
    </r>
    <r>
      <rPr>
        <i/>
        <sz val="11"/>
        <color theme="1"/>
        <rFont val="Century Gothic"/>
        <family val="2"/>
      </rPr>
      <t>(il a des jets rares mais acides)</t>
    </r>
  </si>
  <si>
    <r>
      <t>Gérard – Papillonlet Gérard </t>
    </r>
    <r>
      <rPr>
        <i/>
        <sz val="11"/>
        <color theme="1"/>
        <rFont val="Century Gothic"/>
        <family val="2"/>
      </rPr>
      <t>(papillons légers, rares)</t>
    </r>
  </si>
  <si>
    <r>
      <t>Gérard Haplumbleue </t>
    </r>
    <r>
      <rPr>
        <i/>
        <sz val="11"/>
        <color theme="1"/>
        <rFont val="Century Gothic"/>
        <family val="2"/>
      </rPr>
      <t>(Geai rare à plumes bleues)</t>
    </r>
  </si>
  <si>
    <r>
      <t>Gérard Issime </t>
    </r>
    <r>
      <rPr>
        <i/>
        <sz val="11"/>
        <color theme="1"/>
        <rFont val="Century Gothic"/>
        <family val="2"/>
      </rPr>
      <t>(Geai rarissime)</t>
    </r>
  </si>
  <si>
    <r>
      <t>Gérard Mer </t>
    </r>
    <r>
      <rPr>
        <i/>
        <sz val="11"/>
        <color theme="1"/>
        <rFont val="Century Gothic"/>
        <family val="2"/>
      </rPr>
      <t>(Ville des Vosges)</t>
    </r>
  </si>
  <si>
    <r>
      <t>Gérard Ni-Homme Dujardin </t>
    </r>
    <r>
      <rPr>
        <i/>
        <sz val="11"/>
        <color theme="1"/>
        <rFont val="Century Gothic"/>
        <family val="2"/>
      </rPr>
      <t>(Géranium …)</t>
    </r>
  </si>
  <si>
    <r>
      <t>Géraud de Konduite </t>
    </r>
    <r>
      <rPr>
        <i/>
        <sz val="11"/>
        <color theme="1"/>
        <rFont val="Century Gothic"/>
        <family val="2"/>
      </rPr>
      <t>(</t>
    </r>
    <r>
      <rPr>
        <i/>
        <u/>
        <sz val="11"/>
        <color rgb="FF0000FF"/>
        <rFont val="Century Gothic"/>
        <family val="2"/>
      </rPr>
      <t>Zéro</t>
    </r>
    <r>
      <rPr>
        <i/>
        <sz val="11"/>
        <color theme="1"/>
        <rFont val="Century Gothic"/>
        <family val="2"/>
      </rPr>
      <t> de conduite, </t>
    </r>
    <r>
      <rPr>
        <i/>
        <u/>
        <sz val="11"/>
        <color rgb="FF0000FF"/>
        <rFont val="Century Gothic"/>
        <family val="2"/>
      </rPr>
      <t>film</t>
    </r>
    <r>
      <rPr>
        <i/>
        <sz val="11"/>
        <color theme="1"/>
        <rFont val="Century Gothic"/>
        <family val="2"/>
      </rPr>
      <t> de Jean Vigo – 1933).</t>
    </r>
  </si>
  <si>
    <r>
      <t>Gilbert – G-bear </t>
    </r>
    <r>
      <rPr>
        <i/>
        <sz val="11"/>
        <color theme="1"/>
        <rFont val="Century Gothic"/>
        <family val="2"/>
      </rPr>
      <t>en anglais fait </t>
    </r>
    <r>
      <rPr>
        <sz val="11"/>
        <color theme="1"/>
        <rFont val="Century Gothic"/>
        <family val="2"/>
      </rPr>
      <t>dji-ber</t>
    </r>
    <r>
      <rPr>
        <i/>
        <sz val="11"/>
        <color theme="1"/>
        <rFont val="Century Gothic"/>
        <family val="2"/>
      </rPr>
      <t> que l'on peut traduire par Ours G.</t>
    </r>
  </si>
  <si>
    <r>
      <t>Gilles &amp; Parbal </t>
    </r>
    <r>
      <rPr>
        <i/>
        <sz val="11"/>
        <color theme="1"/>
        <rFont val="Century Gothic"/>
        <family val="2"/>
      </rPr>
      <t>ou</t>
    </r>
    <r>
      <rPr>
        <sz val="11"/>
        <color theme="1"/>
        <rFont val="Century Gothic"/>
        <family val="2"/>
      </rPr>
      <t> Gilles &amp; de Sauvetage</t>
    </r>
  </si>
  <si>
    <r>
      <t>Gina L'Eau </t>
    </r>
    <r>
      <rPr>
        <i/>
        <sz val="11"/>
        <color theme="1"/>
        <rFont val="Century Gothic"/>
        <family val="2"/>
      </rPr>
      <t>(prononcez djin)</t>
    </r>
  </si>
  <si>
    <r>
      <t>Grégory – Dankel Cat Grégory </t>
    </r>
    <r>
      <rPr>
        <i/>
        <sz val="11"/>
        <color theme="1"/>
        <rFont val="Century Gothic"/>
        <family val="2"/>
      </rPr>
      <t>(Dans quelle catégorie)</t>
    </r>
  </si>
  <si>
    <r>
      <t>Gret Britten </t>
    </r>
    <r>
      <rPr>
        <i/>
        <sz val="11"/>
        <color theme="1"/>
        <rFont val="Century Gothic"/>
        <family val="2"/>
      </rPr>
      <t>(Great Britain)</t>
    </r>
  </si>
  <si>
    <r>
      <t>Guillaume Haison </t>
    </r>
    <r>
      <rPr>
        <i/>
        <sz val="11"/>
        <color theme="1"/>
        <rFont val="Century Gothic"/>
        <family val="2"/>
      </rPr>
      <t>(gui aux maisons, pour le nouvel an)</t>
    </r>
  </si>
  <si>
    <r>
      <t>Guillaume et de Toudir </t>
    </r>
    <r>
      <rPr>
        <i/>
        <sz val="11"/>
        <color theme="1"/>
        <rFont val="Century Gothic"/>
        <family val="2"/>
      </rPr>
      <t>(Guy omet de tout dire)</t>
    </r>
  </si>
  <si>
    <r>
      <t>Guillaume Tinné </t>
    </r>
    <r>
      <rPr>
        <i/>
        <sz val="11"/>
        <color theme="1"/>
        <rFont val="Century Gothic"/>
        <family val="2"/>
      </rPr>
      <t>(guillotiné)</t>
    </r>
  </si>
  <si>
    <r>
      <t>Guy Cholard </t>
    </r>
    <r>
      <rPr>
        <i/>
        <sz val="11"/>
        <color theme="1"/>
        <rFont val="Century Gothic"/>
        <family val="2"/>
      </rPr>
      <t>(Quiche au lard, mais aussi guiche qui en argot est synonyme de bite; plaisanterie à la mode dans les années 1960)</t>
    </r>
  </si>
  <si>
    <r>
      <t>Guy Tard et son copain Alberto </t>
    </r>
    <r>
      <rPr>
        <i/>
        <sz val="11"/>
        <color theme="1"/>
        <rFont val="Century Gothic"/>
        <family val="2"/>
      </rPr>
      <t>(tard et tôt)</t>
    </r>
  </si>
  <si>
    <r>
      <t>Gwladys (ou Gladys) Glassant </t>
    </r>
    <r>
      <rPr>
        <i/>
        <sz val="11"/>
        <color theme="1"/>
        <rFont val="Century Gothic"/>
        <family val="2"/>
      </rPr>
      <t>(Glas 10, glas 100; les cloches qui sonnent le glas annonce la mort).</t>
    </r>
  </si>
  <si>
    <r>
      <t>Habib Bob Haloula </t>
    </r>
    <r>
      <rPr>
        <i/>
        <sz val="11"/>
        <color theme="1"/>
        <rFont val="Century Gothic"/>
        <family val="2"/>
      </rPr>
      <t>(Be Bop A Lula chanson de Gene Vincent)</t>
    </r>
  </si>
  <si>
    <r>
      <t>Hans A. Plast </t>
    </r>
    <r>
      <rPr>
        <i/>
        <sz val="11"/>
        <color theme="1"/>
        <rFont val="Century Gothic"/>
        <family val="2"/>
      </rPr>
      <t>(Marque de compresses, sparadrap …)</t>
    </r>
  </si>
  <si>
    <r>
      <t>Hans-Otto Détruisant </t>
    </r>
    <r>
      <rPr>
        <i/>
        <sz val="11"/>
        <color theme="1"/>
        <rFont val="Century Gothic"/>
        <family val="2"/>
      </rPr>
      <t>(En s'auto-détruisant)</t>
    </r>
  </si>
  <si>
    <r>
      <t>Harold Sulbodé </t>
    </r>
    <r>
      <rPr>
        <i/>
        <sz val="11"/>
        <color theme="1"/>
        <rFont val="Century Gothic"/>
        <family val="2"/>
      </rPr>
      <t>(Haro sur le Baudet – Jean de la Fontaine)</t>
    </r>
  </si>
  <si>
    <r>
      <t>Harry – Mat A. Harry </t>
    </r>
    <r>
      <rPr>
        <i/>
        <sz val="11"/>
        <color theme="1"/>
        <rFont val="Century Gothic"/>
        <family val="2"/>
      </rPr>
      <t>(Mata Hari (1876-1917), espionne, danseuse et courtisane néerlandaise)</t>
    </r>
  </si>
  <si>
    <r>
      <t>Harry Vedertchi </t>
    </r>
    <r>
      <rPr>
        <i/>
        <sz val="11"/>
        <color theme="1"/>
        <rFont val="Century Gothic"/>
        <family val="2"/>
      </rPr>
      <t>(Arrivederci, au revoir en italien)</t>
    </r>
  </si>
  <si>
    <r>
      <t>Hassan Cehef</t>
    </r>
    <r>
      <rPr>
        <sz val="11"/>
        <color theme="1"/>
        <rFont val="Century Gothic"/>
        <family val="2"/>
      </rPr>
      <t>  </t>
    </r>
    <r>
      <rPr>
        <i/>
        <sz val="11"/>
        <color theme="1"/>
        <rFont val="Century Gothic"/>
        <family val="2"/>
      </rPr>
      <t>(SNCF)</t>
    </r>
  </si>
  <si>
    <r>
      <t>Héléna du Mondaubalcon </t>
    </r>
    <r>
      <rPr>
        <i/>
        <sz val="11"/>
        <color theme="1"/>
        <rFont val="Century Gothic"/>
        <family val="2"/>
      </rPr>
      <t>(Elle en a …)</t>
    </r>
  </si>
  <si>
    <r>
      <t>Hélène – Jelèze Héléne </t>
    </r>
    <r>
      <rPr>
        <i/>
        <sz val="11"/>
        <color theme="1"/>
        <rFont val="Century Gothic"/>
        <family val="2"/>
      </rPr>
      <t>(j'aime les Hellènes, les Grecs quoi!)</t>
    </r>
  </si>
  <si>
    <r>
      <t>Héloïse Correctatphone </t>
    </r>
    <r>
      <rPr>
        <i/>
        <sz val="11"/>
        <color theme="1"/>
        <rFont val="Century Gothic"/>
        <family val="2"/>
      </rPr>
      <t>(Hello is correct at phone)</t>
    </r>
  </si>
  <si>
    <r>
      <t>Henri Poste, Henri Plait </t>
    </r>
    <r>
      <rPr>
        <i/>
        <sz val="11"/>
        <color theme="1"/>
        <rFont val="Century Gothic"/>
        <family val="2"/>
      </rPr>
      <t>(En replay)</t>
    </r>
  </si>
  <si>
    <r>
      <t>Herbert – Attak Deub Herbert </t>
    </r>
    <r>
      <rPr>
        <i/>
        <sz val="11"/>
        <color theme="1"/>
        <rFont val="Century Gothic"/>
        <family val="2"/>
      </rPr>
      <t>(Attaque de Berbères)</t>
    </r>
  </si>
  <si>
    <r>
      <t>Herr Khül </t>
    </r>
    <r>
      <rPr>
        <i/>
        <sz val="11"/>
        <color theme="1"/>
        <rFont val="Century Gothic"/>
        <family val="2"/>
      </rPr>
      <t>(Monsieur Frais en allemand)</t>
    </r>
  </si>
  <si>
    <r>
      <t>Hilarav Isabelle o'clairdlune </t>
    </r>
    <r>
      <rPr>
        <i/>
        <sz val="11"/>
        <color theme="1"/>
        <rFont val="Century Gothic"/>
        <family val="2"/>
      </rPr>
      <t>(Il a ravi sa belle)</t>
    </r>
  </si>
  <si>
    <r>
      <t>Homère Si </t>
    </r>
    <r>
      <rPr>
        <i/>
        <sz val="11"/>
        <color theme="1"/>
        <rFont val="Century Gothic"/>
        <family val="2"/>
      </rPr>
      <t>(Proche de Omar Si, acteur)</t>
    </r>
  </si>
  <si>
    <r>
      <t>Hugo – F'Hugo Tell </t>
    </r>
    <r>
      <rPr>
        <i/>
        <sz val="11"/>
        <color theme="1"/>
        <rFont val="Century Gothic"/>
        <family val="2"/>
      </rPr>
      <t>(Fugue Hôtel)</t>
    </r>
  </si>
  <si>
    <r>
      <t>Hugues No </t>
    </r>
    <r>
      <rPr>
        <i/>
        <sz val="11"/>
        <color theme="1"/>
        <rFont val="Century Gothic"/>
        <family val="2"/>
      </rPr>
      <t>(Il dit non en protestant)</t>
    </r>
  </si>
  <si>
    <r>
      <t>Huguette – San Huguette </t>
    </r>
    <r>
      <rPr>
        <i/>
        <sz val="11"/>
        <color theme="1"/>
        <rFont val="Century Gothic"/>
        <family val="2"/>
      </rPr>
      <t>(Ça nous guette)</t>
    </r>
  </si>
  <si>
    <r>
      <t>Humbert Savah </t>
    </r>
    <r>
      <rPr>
        <i/>
        <sz val="11"/>
        <color theme="1"/>
        <rFont val="Century Gothic"/>
        <family val="2"/>
      </rPr>
      <t>mais deux bonjour les dégâts</t>
    </r>
  </si>
  <si>
    <r>
      <t>Ignace – Kelfé Ignace </t>
    </r>
    <r>
      <rPr>
        <i/>
        <sz val="11"/>
        <color theme="1"/>
        <rFont val="Century Gothic"/>
        <family val="2"/>
      </rPr>
      <t>(Quelle feignasse)</t>
    </r>
  </si>
  <si>
    <r>
      <t>Ignace – Saint Ignace </t>
    </r>
    <r>
      <rPr>
        <i/>
        <sz val="11"/>
        <color theme="1"/>
        <rFont val="Century Gothic"/>
        <family val="2"/>
      </rPr>
      <t>était tondu</t>
    </r>
  </si>
  <si>
    <r>
      <t>Inès – Hap Inés </t>
    </r>
    <r>
      <rPr>
        <i/>
        <sz val="11"/>
        <color theme="1"/>
        <rFont val="Century Gothic"/>
        <family val="2"/>
      </rPr>
      <t>(Happiness = bonheur en anglais)</t>
    </r>
  </si>
  <si>
    <r>
      <t>Isabelle – Hilam Isabelle Holly </t>
    </r>
    <r>
      <rPr>
        <i/>
        <sz val="11"/>
        <color theme="1"/>
        <rFont val="Century Gothic"/>
        <family val="2"/>
      </rPr>
      <t>(il a mis sa belle au lit)</t>
    </r>
  </si>
  <si>
    <r>
      <t>Isabelle – Taton</t>
    </r>
    <r>
      <rPr>
        <b/>
        <i/>
        <sz val="11"/>
        <color theme="1"/>
        <rFont val="Century Gothic"/>
        <family val="2"/>
      </rPr>
      <t>v' Isa</t>
    </r>
    <r>
      <rPr>
        <sz val="11"/>
        <color theme="1"/>
        <rFont val="Century Gothic"/>
        <family val="2"/>
      </rPr>
      <t>belle Poupée </t>
    </r>
    <r>
      <rPr>
        <i/>
        <sz val="11"/>
        <color theme="1"/>
        <rFont val="Century Gothic"/>
        <family val="2"/>
      </rPr>
      <t>(visa pour passer la frontière)</t>
    </r>
  </si>
  <si>
    <r>
      <t>Isabelle – Ta</t>
    </r>
    <r>
      <rPr>
        <b/>
        <i/>
        <sz val="11"/>
        <color theme="1"/>
        <rFont val="Century Gothic"/>
        <family val="2"/>
      </rPr>
      <t>vern' I</t>
    </r>
    <r>
      <rPr>
        <sz val="11"/>
        <color theme="1"/>
        <rFont val="Century Gothic"/>
        <family val="2"/>
      </rPr>
      <t>sabelle Porte </t>
    </r>
    <r>
      <rPr>
        <i/>
        <sz val="11"/>
        <color theme="1"/>
        <rFont val="Century Gothic"/>
        <family val="2"/>
      </rPr>
      <t>(verni pour quelle brille)</t>
    </r>
  </si>
  <si>
    <r>
      <t>Jacqueline des Zieux </t>
    </r>
    <r>
      <rPr>
        <i/>
        <sz val="11"/>
        <color theme="1"/>
        <rFont val="Century Gothic"/>
        <family val="2"/>
      </rPr>
      <t>(Je cligne des yeux)</t>
    </r>
  </si>
  <si>
    <r>
      <t>Jacques André le jour et la nuit </t>
    </r>
    <r>
      <rPr>
        <i/>
        <sz val="11"/>
        <color theme="1"/>
        <rFont val="Century Gothic"/>
        <family val="2"/>
      </rPr>
      <t>(chanson! J'attendrai …)</t>
    </r>
  </si>
  <si>
    <r>
      <t>Jacques et Nicole =&gt; Nique et cajole </t>
    </r>
    <r>
      <rPr>
        <i/>
        <sz val="11"/>
        <color theme="1"/>
        <rFont val="Century Gothic"/>
        <family val="2"/>
      </rPr>
      <t>(Contrepèterie)</t>
    </r>
  </si>
  <si>
    <r>
      <t>James Ensorbien </t>
    </r>
    <r>
      <rPr>
        <i/>
        <sz val="11"/>
        <color theme="1"/>
        <rFont val="Century Gothic"/>
        <family val="2"/>
      </rPr>
      <t>(Prononcez : j'aime)</t>
    </r>
  </si>
  <si>
    <r>
      <t>James Pascal Hambourg</t>
    </r>
    <r>
      <rPr>
        <sz val="11"/>
        <color theme="1"/>
        <rFont val="Century Gothic"/>
        <family val="2"/>
      </rPr>
      <t> </t>
    </r>
    <r>
      <rPr>
        <i/>
        <sz val="11"/>
        <color theme="1"/>
        <rFont val="Century Gothic"/>
        <family val="2"/>
      </rPr>
      <t>(Je n'aime pas ce calembour)</t>
    </r>
  </si>
  <si>
    <r>
      <t>Janette – Komçasséd Janette </t>
    </r>
    <r>
      <rPr>
        <i/>
        <sz val="11"/>
        <color theme="1"/>
        <rFont val="Century Gothic"/>
        <family val="2"/>
      </rPr>
      <t>(Comme ça c'est déjà net)</t>
    </r>
  </si>
  <si>
    <r>
      <t>Jean – Mon excellent Jean, voici Rose </t>
    </r>
    <r>
      <rPr>
        <i/>
        <sz val="11"/>
        <color theme="1"/>
        <rFont val="Century Gothic"/>
        <family val="2"/>
      </rPr>
      <t>(Mon ex est lent, j'envoie six roses)</t>
    </r>
  </si>
  <si>
    <r>
      <t>Jean, Régis Trinfilme </t>
    </r>
    <r>
      <rPr>
        <i/>
        <sz val="11"/>
        <color theme="1"/>
        <rFont val="Century Gothic"/>
        <family val="2"/>
      </rPr>
      <t>(J’enregistre un film)</t>
    </r>
  </si>
  <si>
    <r>
      <t>Jean-Frédéric Hochet </t>
    </r>
    <r>
      <rPr>
        <i/>
        <sz val="11"/>
        <color theme="1"/>
        <rFont val="Century Gothic"/>
        <family val="2"/>
      </rPr>
      <t>(J'en ferais des ricochets)</t>
    </r>
  </si>
  <si>
    <r>
      <t>Jean-Marie Deudilemer </t>
    </r>
    <r>
      <rPr>
        <i/>
        <sz val="11"/>
        <color theme="1"/>
        <rFont val="Century Gothic"/>
        <family val="2"/>
      </rPr>
      <t>(J'en marie deux, dit le maire)</t>
    </r>
  </si>
  <si>
    <r>
      <t>Jennifer Rien &amp; Emma bête </t>
    </r>
    <r>
      <rPr>
        <i/>
        <sz val="11"/>
        <color theme="1"/>
        <rFont val="Century Gothic"/>
        <family val="2"/>
      </rPr>
      <t>(Je n'y fais rien et elle m'embête)</t>
    </r>
  </si>
  <si>
    <r>
      <t>Jerôme Ontélacote </t>
    </r>
    <r>
      <rPr>
        <i/>
        <sz val="11"/>
        <color theme="1"/>
        <rFont val="Century Gothic"/>
        <family val="2"/>
      </rPr>
      <t>(J'ai remonté la côte)</t>
    </r>
  </si>
  <si>
    <r>
      <t>Jerry Jtèm, Jerry Jtador </t>
    </r>
    <r>
      <rPr>
        <i/>
        <sz val="11"/>
        <color theme="1"/>
        <rFont val="Century Gothic"/>
        <family val="2"/>
      </rPr>
      <t>(Chanson égyptienne: Ya Mustapha, interprétée notamment par Dalida)</t>
    </r>
  </si>
  <si>
    <r>
      <t>Jerry Kaner; Jeery Khan </t>
    </r>
    <r>
      <rPr>
        <i/>
        <sz val="11"/>
        <color theme="1"/>
        <rFont val="Century Gothic"/>
        <family val="2"/>
      </rPr>
      <t>(Jerrican, nom donné par les Américains au bidon (can) des soldats allemands (jerries))</t>
    </r>
  </si>
  <si>
    <r>
      <t>Jessica Nichenin </t>
    </r>
    <r>
      <rPr>
        <i/>
        <sz val="11"/>
        <color theme="1"/>
        <rFont val="Century Gothic"/>
        <family val="2"/>
      </rPr>
      <t>(J'ai six caniches nains)</t>
    </r>
  </si>
  <si>
    <r>
      <t>Jésus C. Nazareth </t>
    </r>
    <r>
      <rPr>
        <i/>
        <sz val="11"/>
        <color theme="1"/>
        <rFont val="Century Gothic"/>
        <family val="2"/>
      </rPr>
      <t>(C'est naze, arrête!)</t>
    </r>
  </si>
  <si>
    <r>
      <t>Jésus, Hans, Hubert Forme</t>
    </r>
    <r>
      <rPr>
        <i/>
        <sz val="11"/>
        <color theme="1"/>
        <rFont val="Century Gothic"/>
        <family val="2"/>
      </rPr>
      <t> (prononcez à l'allemande)</t>
    </r>
  </si>
  <si>
    <r>
      <t>Jimmy Miss Partout </t>
    </r>
    <r>
      <rPr>
        <i/>
        <sz val="11"/>
        <color theme="1"/>
        <rFont val="Century Gothic"/>
        <family val="2"/>
      </rPr>
      <t>(Je m'immisce partout)</t>
    </r>
  </si>
  <si>
    <r>
      <t>Jonathan Laplace </t>
    </r>
    <r>
      <rPr>
        <i/>
        <sz val="11"/>
        <color theme="1"/>
        <rFont val="Century Gothic"/>
        <family val="2"/>
      </rPr>
      <t>pour installer son commerce</t>
    </r>
  </si>
  <si>
    <r>
      <t>José O'Moine </t>
    </r>
    <r>
      <rPr>
        <i/>
        <sz val="11"/>
        <color theme="1"/>
        <rFont val="Century Gothic"/>
        <family val="2"/>
      </rPr>
      <t>(Chaussée au moines, le fromage)</t>
    </r>
  </si>
  <si>
    <r>
      <t>José, Paul, Louis, Ramone et Zazie sauteuse </t>
    </r>
    <r>
      <rPr>
        <i/>
        <sz val="11"/>
        <color theme="1"/>
        <rFont val="Century Gothic"/>
        <family val="2"/>
      </rPr>
      <t>(J’osais pas lui ramener sa scie sauteuse)</t>
    </r>
  </si>
  <si>
    <r>
      <t>Joséphine – Lablagueque Joséphine </t>
    </r>
    <r>
      <rPr>
        <i/>
        <sz val="11"/>
        <color theme="1"/>
        <rFont val="Century Gothic"/>
        <family val="2"/>
      </rPr>
      <t>(hyper classique)</t>
    </r>
  </si>
  <si>
    <r>
      <t>Judy Foster </t>
    </r>
    <r>
      <rPr>
        <i/>
        <sz val="11"/>
        <color theme="1"/>
        <rFont val="Century Gothic"/>
        <family val="2"/>
      </rPr>
      <t>pour bien garder le secret</t>
    </r>
  </si>
  <si>
    <r>
      <t>Jules Uffet </t>
    </r>
    <r>
      <rPr>
        <i/>
        <sz val="11"/>
        <color theme="1"/>
        <rFont val="Century Gothic"/>
        <family val="2"/>
      </rPr>
      <t>(j'eus l'eu fait)</t>
    </r>
    <r>
      <rPr>
        <i/>
        <vertAlign val="subscript"/>
        <sz val="11"/>
        <color theme="1"/>
        <rFont val="Century Gothic"/>
        <family val="2"/>
      </rPr>
      <t>Passé antérieur</t>
    </r>
  </si>
  <si>
    <r>
      <t>Justin Case </t>
    </r>
    <r>
      <rPr>
        <i/>
        <sz val="11"/>
        <color theme="1"/>
        <rFont val="Century Gothic"/>
        <family val="2"/>
      </rPr>
      <t>(anglais: just in case, seulement en cas)</t>
    </r>
  </si>
  <si>
    <r>
      <t>Justin Thyme</t>
    </r>
    <r>
      <rPr>
        <i/>
        <sz val="11"/>
        <color theme="1"/>
        <rFont val="Century Gothic"/>
        <family val="2"/>
      </rPr>
      <t> (anglais: just in time, tout à fait à l'heure)</t>
    </r>
  </si>
  <si>
    <r>
      <t>Kai Sehr </t>
    </r>
    <r>
      <rPr>
        <i/>
        <sz val="11"/>
        <color theme="1"/>
        <rFont val="Century Gothic"/>
        <family val="2"/>
      </rPr>
      <t>(Kaiser qui vient de César, empereur)</t>
    </r>
  </si>
  <si>
    <r>
      <t>Katy Penflamme </t>
    </r>
    <r>
      <rPr>
        <i/>
        <sz val="11"/>
        <color theme="1"/>
        <rFont val="Century Gothic"/>
        <family val="2"/>
      </rPr>
      <t>(Capitaine Flamme)</t>
    </r>
  </si>
  <si>
    <r>
      <t>Laetitia Hélétitien </t>
    </r>
    <r>
      <rPr>
        <i/>
        <sz val="11"/>
        <color theme="1"/>
        <rFont val="Century Gothic"/>
        <family val="2"/>
      </rPr>
      <t>(Les petits chats et les petits chiens)</t>
    </r>
  </si>
  <si>
    <r>
      <t>Lambert Dudécor</t>
    </r>
    <r>
      <rPr>
        <sz val="11"/>
        <color theme="1"/>
        <rFont val="Century Gothic"/>
        <family val="2"/>
      </rPr>
      <t> (l'envers du décor)</t>
    </r>
  </si>
  <si>
    <r>
      <t>Lapinou Year – </t>
    </r>
    <r>
      <rPr>
        <i/>
        <sz val="11"/>
        <color theme="1"/>
        <rFont val="Century Gothic"/>
        <family val="2"/>
      </rPr>
      <t>Toc, toc, toc, c'est qui ? – C'est lapinou. – Lapinou qui ? – Lapinou Year.</t>
    </r>
  </si>
  <si>
    <r>
      <t>Laurel Encoin </t>
    </r>
    <r>
      <rPr>
        <i/>
        <sz val="11"/>
        <color theme="1"/>
        <rFont val="Century Gothic"/>
        <family val="2"/>
      </rPr>
      <t>(L'oreille en coin, programme de France Inter de 1968 à 1990)</t>
    </r>
  </si>
  <si>
    <r>
      <t>Laurent Houtan, Louis Stiti et Lucien Panzé occupés à de saints jeux </t>
    </r>
    <r>
      <rPr>
        <i/>
        <sz val="11"/>
        <color theme="1"/>
        <rFont val="Century Gothic"/>
        <family val="2"/>
      </rPr>
      <t>(singe)</t>
    </r>
  </si>
  <si>
    <r>
      <t>Léo de Hurlevent </t>
    </r>
    <r>
      <rPr>
        <i/>
        <sz val="11"/>
        <color theme="1"/>
        <rFont val="Century Gothic"/>
        <family val="2"/>
      </rPr>
      <t>(Les hauts de Hurlevent, roman d'Emily Brontë)</t>
    </r>
  </si>
  <si>
    <r>
      <t>Léonie C. Pourlézègle </t>
    </r>
    <r>
      <rPr>
        <i/>
        <sz val="11"/>
        <color theme="1"/>
        <rFont val="Century Gothic"/>
        <family val="2"/>
      </rPr>
      <t>(les hauts nids c'est pour les aigles)</t>
    </r>
  </si>
  <si>
    <r>
      <t>Lindsey Unbonchocolat </t>
    </r>
    <r>
      <rPr>
        <i/>
        <sz val="11"/>
        <color theme="1"/>
        <rFont val="Century Gothic"/>
        <family val="2"/>
      </rPr>
      <t>(Marque Lindt)</t>
    </r>
  </si>
  <si>
    <r>
      <t>Lola Mouille-les-Sec </t>
    </r>
    <r>
      <rPr>
        <i/>
        <sz val="11"/>
        <color theme="1"/>
        <rFont val="Century Gothic"/>
        <family val="2"/>
      </rPr>
      <t>(l'eau là …)</t>
    </r>
  </si>
  <si>
    <r>
      <t>Lola Pisse =&gt; la police </t>
    </r>
    <r>
      <rPr>
        <i/>
        <sz val="11"/>
        <color theme="1"/>
        <rFont val="Century Gothic"/>
        <family val="2"/>
      </rPr>
      <t>(Contrepèterie)</t>
    </r>
  </si>
  <si>
    <r>
      <t>Lola Surledgin </t>
    </r>
    <r>
      <rPr>
        <i/>
        <sz val="11"/>
        <color theme="1"/>
        <rFont val="Century Gothic"/>
        <family val="2"/>
      </rPr>
      <t>(l'eau là sur le gin)</t>
    </r>
  </si>
  <si>
    <r>
      <t>Louis Dort &amp; Holion Dort </t>
    </r>
    <r>
      <rPr>
        <i/>
        <sz val="11"/>
        <color theme="1"/>
        <rFont val="Century Gothic"/>
        <family val="2"/>
      </rPr>
      <t>(aussi "Au lion d'or")</t>
    </r>
  </si>
  <si>
    <r>
      <t>Louis-Philippe – Wi-Fi Lipp </t>
    </r>
    <r>
      <rPr>
        <i/>
        <sz val="11"/>
        <color theme="1"/>
        <rFont val="Century Gothic"/>
        <family val="2"/>
      </rPr>
      <t>(repris par la publicité de WifiLib)</t>
    </r>
  </si>
  <si>
    <r>
      <t>Lucas Bonbon </t>
    </r>
    <r>
      <rPr>
        <i/>
        <sz val="11"/>
        <color theme="1"/>
        <rFont val="Century Gothic"/>
        <family val="2"/>
      </rPr>
      <t>(Prononcez lucasse)</t>
    </r>
  </si>
  <si>
    <r>
      <t>Lucas-René Fenêtre </t>
    </r>
    <r>
      <rPr>
        <i/>
        <sz val="11"/>
        <color theme="1"/>
        <rFont val="Century Gothic"/>
        <family val="2"/>
      </rPr>
      <t>(lucarne et fenêtre)</t>
    </r>
  </si>
  <si>
    <r>
      <t>Luce Tukruh – </t>
    </r>
    <r>
      <rPr>
        <i/>
        <sz val="11"/>
        <color theme="1"/>
        <rFont val="Century Gothic"/>
        <family val="2"/>
      </rPr>
      <t>San Antonio</t>
    </r>
  </si>
  <si>
    <r>
      <t>Lucie – Gépa Lucie Page </t>
    </r>
    <r>
      <rPr>
        <i/>
        <sz val="11"/>
        <color theme="1"/>
        <rFont val="Century Gothic"/>
        <family val="2"/>
      </rPr>
      <t>(j'ai pas lu six pages)</t>
    </r>
  </si>
  <si>
    <r>
      <t>Lucie Biennécri </t>
    </r>
    <r>
      <rPr>
        <i/>
        <sz val="11"/>
        <color theme="1"/>
        <rFont val="Century Gothic"/>
        <family val="2"/>
      </rPr>
      <t>(Lu si bien écrit)</t>
    </r>
  </si>
  <si>
    <r>
      <t>Lucie Ditée &amp; Claire Voyance</t>
    </r>
    <r>
      <rPr>
        <sz val="11"/>
        <color theme="1"/>
        <rFont val="Century Gothic"/>
        <family val="2"/>
      </rPr>
      <t> (Lucie 10T)</t>
    </r>
  </si>
  <si>
    <r>
      <t>Lydie Manchabamako</t>
    </r>
    <r>
      <rPr>
        <sz val="11"/>
        <color theme="1"/>
        <rFont val="Century Gothic"/>
        <family val="2"/>
      </rPr>
      <t> </t>
    </r>
    <r>
      <rPr>
        <i/>
        <sz val="11"/>
        <color theme="1"/>
        <rFont val="Century Gothic"/>
        <family val="2"/>
      </rPr>
      <t>(Chanson d'Amadou et Myriam)</t>
    </r>
  </si>
  <si>
    <r>
      <t>Lynn Pète Haut en Secret </t>
    </r>
    <r>
      <rPr>
        <i/>
        <sz val="11"/>
        <color theme="1"/>
        <rFont val="Century Gothic"/>
        <family val="2"/>
      </rPr>
      <t>(In-petto)</t>
    </r>
  </si>
  <si>
    <r>
      <t>Maëlis Satangabor </t>
    </r>
    <r>
      <rPr>
        <i/>
        <sz val="11"/>
        <color theme="1"/>
        <rFont val="Century Gothic"/>
        <family val="2"/>
      </rPr>
      <t>(Mât, hélice, ça tangue à bord)</t>
    </r>
  </si>
  <si>
    <r>
      <t>Maïa </t>
    </r>
    <r>
      <rPr>
        <i/>
        <sz val="11"/>
        <color theme="1"/>
        <rFont val="Century Gothic"/>
        <family val="2"/>
      </rPr>
      <t>Voir Maya</t>
    </r>
  </si>
  <si>
    <r>
      <t>Maida Fric du Nord </t>
    </r>
    <r>
      <rPr>
        <i/>
        <sz val="11"/>
        <color theme="1"/>
        <rFont val="Century Gothic"/>
        <family val="2"/>
      </rPr>
      <t>(Mets d'Afrique)</t>
    </r>
  </si>
  <si>
    <r>
      <t>Malcom Jamet </t>
    </r>
    <r>
      <rPr>
        <i/>
        <sz val="11"/>
        <color theme="1"/>
        <rFont val="Century Gothic"/>
        <family val="2"/>
      </rPr>
      <t>(Mal comme jamais)</t>
    </r>
  </si>
  <si>
    <r>
      <t>Manon Enfants de la Patrie </t>
    </r>
    <r>
      <rPr>
        <i/>
        <sz val="11"/>
        <color theme="1"/>
        <rFont val="Century Gothic"/>
        <family val="2"/>
      </rPr>
      <t>(La Marseillaise)</t>
    </r>
  </si>
  <si>
    <r>
      <t>Manuela =&gt; l'âne et moi </t>
    </r>
    <r>
      <rPr>
        <i/>
        <sz val="11"/>
        <color theme="1"/>
        <rFont val="Century Gothic"/>
        <family val="2"/>
      </rPr>
      <t>(sorte de contrepèterie)</t>
    </r>
  </si>
  <si>
    <r>
      <t>Marc Hassin et Salé </t>
    </r>
    <r>
      <rPr>
        <i/>
        <sz val="11"/>
        <color theme="1"/>
        <rFont val="Century Gothic"/>
        <family val="2"/>
      </rPr>
      <t>(marcassin et sa laie)</t>
    </r>
  </si>
  <si>
    <r>
      <t>Marc Page ou Marc Tapage </t>
    </r>
    <r>
      <rPr>
        <i/>
        <sz val="11"/>
        <color theme="1"/>
        <rFont val="Century Gothic"/>
        <family val="2"/>
      </rPr>
      <t>(Selon le sketch de Dany Boon)</t>
    </r>
  </si>
  <si>
    <r>
      <t>Marcel – Chof Marcel </t>
    </r>
    <r>
      <rPr>
        <i/>
        <sz val="11"/>
        <color theme="1"/>
        <rFont val="Century Gothic"/>
        <family val="2"/>
      </rPr>
      <t>(expression)</t>
    </r>
  </si>
  <si>
    <r>
      <t>Marcel – Débroussaillema Parcel </t>
    </r>
    <r>
      <rPr>
        <i/>
        <sz val="11"/>
        <color theme="1"/>
        <rFont val="Century Gothic"/>
        <family val="2"/>
      </rPr>
      <t>(un à-peu-près phonétique)</t>
    </r>
  </si>
  <si>
    <r>
      <t>Marcel – Else Marcel Lahatédépen </t>
    </r>
    <r>
      <rPr>
        <i/>
        <sz val="11"/>
        <color theme="1"/>
        <rFont val="Century Gothic"/>
        <family val="2"/>
      </rPr>
      <t>(elle se marre celle là, à tes dépens)</t>
    </r>
  </si>
  <si>
    <r>
      <t>Marcel – Toultan Il Marcel </t>
    </r>
    <r>
      <rPr>
        <i/>
        <sz val="11"/>
        <color theme="1"/>
        <rFont val="Century Gothic"/>
        <family val="2"/>
      </rPr>
      <t>(tout le temps, il m'harcèle)</t>
    </r>
  </si>
  <si>
    <r>
      <t>Marcel Ranout </t>
    </r>
    <r>
      <rPr>
        <i/>
        <sz val="11"/>
        <color theme="1"/>
        <rFont val="Century Gothic"/>
        <family val="2"/>
      </rPr>
      <t>(Ras el ranout)</t>
    </r>
  </si>
  <si>
    <r>
      <t>Margot – D. Margot Tarétpa </t>
    </r>
    <r>
      <rPr>
        <i/>
        <sz val="11"/>
        <color theme="1"/>
        <rFont val="Century Gothic"/>
        <family val="2"/>
      </rPr>
      <t>(Démmare, go, t'arrête-pas!)</t>
    </r>
  </si>
  <si>
    <r>
      <t>Marie – Sainte Marie =&gt; Site marin </t>
    </r>
    <r>
      <rPr>
        <i/>
        <sz val="11"/>
        <color theme="1"/>
        <rFont val="Century Gothic"/>
        <family val="2"/>
      </rPr>
      <t>(Contrepèterie)</t>
    </r>
  </si>
  <si>
    <r>
      <t>Marie Krismass </t>
    </r>
    <r>
      <rPr>
        <i/>
        <sz val="11"/>
        <color theme="1"/>
        <rFont val="Century Gothic"/>
        <family val="2"/>
      </rPr>
      <t>(Merry Chrismas)</t>
    </r>
  </si>
  <si>
    <r>
      <t>Marry Chrismas </t>
    </r>
    <r>
      <rPr>
        <i/>
        <sz val="11"/>
        <color theme="1"/>
        <rFont val="Century Gothic"/>
        <family val="2"/>
      </rPr>
      <t>(anglais: merry Chrismas)</t>
    </r>
  </si>
  <si>
    <r>
      <t>Martial Lacour </t>
    </r>
    <r>
      <rPr>
        <i/>
        <sz val="11"/>
        <color theme="1"/>
        <rFont val="Century Gothic"/>
        <family val="2"/>
      </rPr>
      <t>(La cour martiale)</t>
    </r>
  </si>
  <si>
    <r>
      <t>Martine de Pin Beurré </t>
    </r>
    <r>
      <rPr>
        <i/>
        <sz val="11"/>
        <color theme="1"/>
        <rFont val="Century Gothic"/>
        <family val="2"/>
      </rPr>
      <t>(Pour tartine)</t>
    </r>
  </si>
  <si>
    <r>
      <t>Marylise – Ha Marylise </t>
    </r>
    <r>
      <rPr>
        <i/>
        <sz val="11"/>
        <color theme="1"/>
        <rFont val="Century Gothic"/>
        <family val="2"/>
      </rPr>
      <t>(Amaryllis, plante présentant de jolies fleurs)</t>
    </r>
  </si>
  <si>
    <r>
      <t>Mathilde Ivertement </t>
    </r>
    <r>
      <rPr>
        <i/>
        <sz val="11"/>
        <color theme="1"/>
        <rFont val="Century Gothic"/>
        <family val="2"/>
      </rPr>
      <t>(m'a-t-il dit vertement)</t>
    </r>
  </si>
  <si>
    <r>
      <t>Mathilde Seprononcegne </t>
    </r>
    <r>
      <rPr>
        <i/>
        <sz val="11"/>
        <color theme="1"/>
        <rFont val="Century Gothic"/>
        <family val="2"/>
      </rPr>
      <t>(En fait tilde est masculin, ce signe transforme le "n" en "gne")</t>
    </r>
  </si>
  <si>
    <r>
      <t>Max – Relax Max </t>
    </r>
    <r>
      <rPr>
        <i/>
        <sz val="11"/>
        <color theme="1"/>
        <rFont val="Century Gothic"/>
        <family val="2"/>
      </rPr>
      <t>(Expression)</t>
    </r>
  </si>
  <si>
    <r>
      <t>Maxime: Mea Maxime Maculpa </t>
    </r>
    <r>
      <rPr>
        <i/>
        <sz val="11"/>
        <color theme="1"/>
        <rFont val="Century Gothic"/>
        <family val="2"/>
      </rPr>
      <t>(mea maxima culpa: ma plus grande faute)</t>
    </r>
  </si>
  <si>
    <r>
      <t>Medhi Ane &amp; Médi Atrice </t>
    </r>
    <r>
      <rPr>
        <i/>
        <sz val="11"/>
        <color theme="1"/>
        <rFont val="Century Gothic"/>
        <family val="2"/>
      </rPr>
      <t>(</t>
    </r>
    <r>
      <rPr>
        <i/>
        <u/>
        <sz val="11"/>
        <color rgb="FF0000FF"/>
        <rFont val="Century Gothic"/>
        <family val="2"/>
      </rPr>
      <t>Médiane</t>
    </r>
    <r>
      <rPr>
        <i/>
        <sz val="11"/>
        <color theme="1"/>
        <rFont val="Century Gothic"/>
        <family val="2"/>
      </rPr>
      <t> et </t>
    </r>
    <r>
      <rPr>
        <i/>
        <u/>
        <sz val="11"/>
        <color rgb="FF0000FF"/>
        <rFont val="Century Gothic"/>
        <family val="2"/>
      </rPr>
      <t>médiatrice</t>
    </r>
    <r>
      <rPr>
        <i/>
        <sz val="11"/>
        <color theme="1"/>
        <rFont val="Century Gothic"/>
        <family val="2"/>
      </rPr>
      <t>)</t>
    </r>
  </si>
  <si>
    <r>
      <t>Mehdi Moissijedoipartiroupas </t>
    </r>
    <r>
      <rPr>
        <i/>
        <sz val="11"/>
        <color theme="1"/>
        <rFont val="Century Gothic"/>
        <family val="2"/>
      </rPr>
      <t>(Chanson de BB Brunes)</t>
    </r>
  </si>
  <si>
    <r>
      <t>Mélodie Enroute </t>
    </r>
    <r>
      <rPr>
        <i/>
        <sz val="11"/>
        <color theme="1"/>
        <rFont val="Century Gothic"/>
        <family val="2"/>
      </rPr>
      <t>(Audi, constructeur de voiture)</t>
    </r>
  </si>
  <si>
    <r>
      <t>Michaël &amp; Silly Cat Pourlui </t>
    </r>
    <r>
      <rPr>
        <i/>
        <sz val="11"/>
        <color theme="1"/>
        <rFont val="Century Gothic"/>
        <family val="2"/>
      </rPr>
      <t>(mica, elle et silicate pour lui)</t>
    </r>
  </si>
  <si>
    <r>
      <t>Michaël Vaha Laporte &amp; Jacques sonne </t>
    </r>
    <r>
      <rPr>
        <i/>
        <sz val="11"/>
        <color theme="1"/>
        <rFont val="Century Gothic"/>
        <family val="2"/>
      </rPr>
      <t>(Michael Jackson)</t>
    </r>
  </si>
  <si>
    <r>
      <t>Michelle Mabelle </t>
    </r>
    <r>
      <rPr>
        <i/>
        <sz val="11"/>
        <color theme="1"/>
        <rFont val="Century Gothic"/>
        <family val="2"/>
      </rPr>
      <t>(Chanson des Beatles)</t>
    </r>
  </si>
  <si>
    <r>
      <t>Mike &amp; Kate Emma Main </t>
    </r>
    <r>
      <rPr>
        <i/>
        <sz val="11"/>
        <color theme="1"/>
        <rFont val="Century Gothic"/>
        <family val="2"/>
      </rPr>
      <t>(Ma quéquette et ma main)</t>
    </r>
  </si>
  <si>
    <r>
      <t>Mimi  Quart </t>
    </r>
    <r>
      <rPr>
        <i/>
        <sz val="11"/>
        <color theme="1"/>
        <rFont val="Century Gothic"/>
        <family val="2"/>
      </rPr>
      <t>(La </t>
    </r>
    <r>
      <rPr>
        <i/>
        <u/>
        <sz val="11"/>
        <color rgb="FF0000FF"/>
        <rFont val="Century Gothic"/>
        <family val="2"/>
      </rPr>
      <t>moitié</t>
    </r>
    <r>
      <rPr>
        <i/>
        <sz val="11"/>
        <color theme="1"/>
        <rFont val="Century Gothic"/>
        <family val="2"/>
      </rPr>
      <t> de la moitié égal </t>
    </r>
    <r>
      <rPr>
        <i/>
        <u/>
        <sz val="11"/>
        <color rgb="FF0000FF"/>
        <rFont val="Century Gothic"/>
        <family val="2"/>
      </rPr>
      <t>quart</t>
    </r>
    <r>
      <rPr>
        <i/>
        <sz val="11"/>
        <color theme="1"/>
        <rFont val="Century Gothic"/>
        <family val="2"/>
      </rPr>
      <t>; Mimi ets le diminutif de Michèle)</t>
    </r>
  </si>
  <si>
    <r>
      <t>Modeste Hival </t>
    </r>
    <r>
      <rPr>
        <i/>
        <sz val="11"/>
        <color theme="1"/>
        <rFont val="Century Gothic"/>
        <family val="2"/>
      </rPr>
      <t>(Mode estivale)</t>
    </r>
  </si>
  <si>
    <r>
      <t>Modeste Man </t>
    </r>
    <r>
      <rPr>
        <i/>
        <sz val="11"/>
        <color theme="1"/>
        <rFont val="Century Gothic"/>
        <family val="2"/>
      </rPr>
      <t>(Modestement)</t>
    </r>
  </si>
  <si>
    <r>
      <t>Mohamed – Ed Mohamed Sadanlsac </t>
    </r>
    <r>
      <rPr>
        <i/>
        <sz val="11"/>
        <color theme="1"/>
        <rFont val="Century Gothic"/>
        <family val="2"/>
      </rPr>
      <t>(Aide-moi à mettre ça dans le sac)</t>
    </r>
  </si>
  <si>
    <r>
      <t>Monica – Art Monica </t>
    </r>
    <r>
      <rPr>
        <i/>
        <sz val="11"/>
        <color theme="1"/>
        <rFont val="Century Gothic"/>
        <family val="2"/>
      </rPr>
      <t>(Objet d'une blague salace: Art Monica veut dire fellation aux États-Unis, cf. aventure du président Clinton)</t>
    </r>
  </si>
  <si>
    <r>
      <t>Mort &amp; Entéré </t>
    </r>
    <r>
      <rPr>
        <i/>
        <sz val="11"/>
        <color theme="1"/>
        <rFont val="Century Gothic"/>
        <family val="2"/>
      </rPr>
      <t>(se prononce "morte")</t>
    </r>
  </si>
  <si>
    <r>
      <t>Moshé Rimonamour </t>
    </r>
    <r>
      <rPr>
        <i/>
        <sz val="11"/>
        <color theme="1"/>
        <rFont val="Century Gothic"/>
        <family val="2"/>
      </rPr>
      <t>(Mon chéri, mon amour)</t>
    </r>
  </si>
  <si>
    <r>
      <t>Mozart M'Sitoyen</t>
    </r>
    <r>
      <rPr>
        <sz val="11"/>
        <color theme="1"/>
        <rFont val="Century Gothic"/>
        <family val="2"/>
      </rPr>
      <t> </t>
    </r>
    <r>
      <rPr>
        <i/>
        <sz val="11"/>
        <color theme="1"/>
        <rFont val="Century Gothic"/>
        <family val="2"/>
      </rPr>
      <t>(Marseillaise)</t>
    </r>
  </si>
  <si>
    <r>
      <t>Mustafa Sade Salav </t>
    </r>
    <r>
      <rPr>
        <i/>
        <sz val="11"/>
        <color theme="1"/>
        <rFont val="Century Gothic"/>
        <family val="2"/>
      </rPr>
      <t>(Mousse ta façade, ça lave)</t>
    </r>
  </si>
  <si>
    <r>
      <t>Nadège Eunékedunneuf </t>
    </r>
    <r>
      <rPr>
        <i/>
        <sz val="11"/>
        <color theme="1"/>
        <rFont val="Century Gothic"/>
        <family val="2"/>
      </rPr>
      <t>(N'a déjeuné que d'un œuf)</t>
    </r>
  </si>
  <si>
    <r>
      <t>Nadine – Greux Nadine </t>
    </r>
    <r>
      <rPr>
        <i/>
        <sz val="11"/>
        <color theme="1"/>
        <rFont val="Century Gothic"/>
        <family val="2"/>
      </rPr>
      <t>(Grenadine: seul mot contenant Nadine)</t>
    </r>
  </si>
  <si>
    <r>
      <t>Nagui – Hava Nagui La </t>
    </r>
    <r>
      <rPr>
        <i/>
        <sz val="11"/>
        <color theme="1"/>
        <rFont val="Century Gothic"/>
        <family val="2"/>
      </rPr>
      <t>(Titre d'une chanson en hébreu qui signifie: réjouissons-nous).</t>
    </r>
  </si>
  <si>
    <r>
      <t>Nagui Cheke-les-Moches </t>
    </r>
    <r>
      <rPr>
        <i/>
        <sz val="11"/>
        <color theme="1"/>
        <rFont val="Century Gothic"/>
        <family val="2"/>
      </rPr>
      <t>(N'aguiche que les moches)</t>
    </r>
  </si>
  <si>
    <r>
      <t>Nathan Vécu </t>
    </r>
    <r>
      <rPr>
        <i/>
        <sz val="11"/>
        <color theme="1"/>
        <rFont val="Century Gothic"/>
        <family val="2"/>
      </rPr>
      <t>(que pour cette infamie!)</t>
    </r>
  </si>
  <si>
    <r>
      <t>Néo Parbrise </t>
    </r>
    <r>
      <rPr>
        <i/>
        <sz val="11"/>
        <color theme="1"/>
        <rFont val="Century Gothic"/>
        <family val="2"/>
      </rPr>
      <t>(et pied au plancher)</t>
    </r>
  </si>
  <si>
    <r>
      <t>Nestor Pétard =&gt; Pater noster </t>
    </r>
    <r>
      <rPr>
        <i/>
        <sz val="11"/>
        <color theme="1"/>
        <rFont val="Century Gothic"/>
        <family val="2"/>
      </rPr>
      <t>(Contrepèterie)</t>
    </r>
  </si>
  <si>
    <r>
      <t>Nick – F.É.C. Nick </t>
    </r>
    <r>
      <rPr>
        <i/>
        <sz val="11"/>
        <color theme="1"/>
        <rFont val="Century Gothic"/>
        <family val="2"/>
      </rPr>
      <t>(effet scénique)</t>
    </r>
  </si>
  <si>
    <r>
      <t>Nicolas en rébus: NiA </t>
    </r>
    <r>
      <rPr>
        <i/>
        <sz val="11"/>
        <color theme="1"/>
        <rFont val="Century Gothic"/>
        <family val="2"/>
      </rPr>
      <t>(Ni colle A)</t>
    </r>
  </si>
  <si>
    <r>
      <t>Nicolas Nihorangina, </t>
    </r>
    <r>
      <rPr>
        <sz val="11"/>
        <color rgb="FFFF0000"/>
        <rFont val="Century Gothic"/>
        <family val="2"/>
      </rPr>
      <t>Nicolas Nicoca</t>
    </r>
  </si>
  <si>
    <r>
      <t>Nicole An-niba </t>
    </r>
    <r>
      <rPr>
        <i/>
        <sz val="11"/>
        <color theme="1"/>
        <rFont val="Century Gothic"/>
        <family val="2"/>
      </rPr>
      <t>(Ni collant ni bas)</t>
    </r>
  </si>
  <si>
    <r>
      <t>Nicole Patalangue dans ma Bush </t>
    </r>
    <r>
      <rPr>
        <i/>
        <sz val="11"/>
        <color theme="1"/>
        <rFont val="Century Gothic"/>
        <family val="2"/>
      </rPr>
      <t>(prononcez: bouche)</t>
    </r>
  </si>
  <si>
    <r>
      <t>Noé de Lèze Thomas</t>
    </r>
    <r>
      <rPr>
        <sz val="11"/>
        <color theme="1"/>
        <rFont val="Century Gothic"/>
        <family val="2"/>
      </rPr>
      <t> </t>
    </r>
    <r>
      <rPr>
        <i/>
        <sz val="11"/>
        <color theme="1"/>
        <rFont val="Century Gothic"/>
        <family val="2"/>
      </rPr>
      <t>(noué de l'estomac)</t>
    </r>
  </si>
  <si>
    <r>
      <t>Noé Zabonde </t>
    </r>
    <r>
      <rPr>
        <i/>
        <sz val="11"/>
        <color theme="1"/>
        <rFont val="Century Gothic"/>
        <family val="2"/>
      </rPr>
      <t>(nauséabonde)</t>
    </r>
  </si>
  <si>
    <r>
      <t>Nora Tagauche Tuvahalest </t>
    </r>
    <r>
      <rPr>
        <i/>
        <sz val="11"/>
        <color theme="1"/>
        <rFont val="Century Gothic"/>
        <family val="2"/>
      </rPr>
      <t>(si tu as le nord à ta gauche …)</t>
    </r>
  </si>
  <si>
    <r>
      <t>Nordine – Kid Nordine </t>
    </r>
    <r>
      <rPr>
        <i/>
        <sz val="11"/>
        <color theme="1"/>
        <rFont val="Century Gothic"/>
        <family val="2"/>
      </rPr>
      <t>(Détournement du proverbe: Qui dort dîne)</t>
    </r>
  </si>
  <si>
    <r>
      <t>Norma Leman, salle fée </t>
    </r>
    <r>
      <rPr>
        <i/>
        <sz val="11"/>
        <color theme="1"/>
        <rFont val="Century Gothic"/>
        <family val="2"/>
      </rPr>
      <t>(normalement ça le fait)</t>
    </r>
  </si>
  <si>
    <r>
      <t>Océane, Étan et Lancelot, cousins lointains de Marc O'Kanar </t>
    </r>
    <r>
      <rPr>
        <i/>
        <sz val="11"/>
        <color theme="1"/>
        <rFont val="Century Gothic"/>
        <family val="2"/>
      </rPr>
      <t>(mare aux canards)</t>
    </r>
  </si>
  <si>
    <r>
      <t>Odile – Je m'appelle Odile; Daf Odile </t>
    </r>
    <r>
      <rPr>
        <i/>
        <sz val="11"/>
        <color theme="1"/>
        <rFont val="Century Gothic"/>
        <family val="2"/>
      </rPr>
      <t>(daffodil: jonquille en anglais)</t>
    </r>
  </si>
  <si>
    <r>
      <t>Olga MinPleur </t>
    </r>
    <r>
      <rPr>
        <i/>
        <sz val="11"/>
        <color theme="1"/>
        <rFont val="Century Gothic"/>
        <family val="2"/>
      </rPr>
      <t>(Oh, le gamin pleure)</t>
    </r>
  </si>
  <si>
    <r>
      <t>Olga Mplépadutou </t>
    </r>
    <r>
      <rPr>
        <i/>
        <sz val="11"/>
        <color theme="1"/>
        <rFont val="Century Gothic"/>
        <family val="2"/>
      </rPr>
      <t>(Oh le gars …)</t>
    </r>
  </si>
  <si>
    <r>
      <t>Olga Tokilébon </t>
    </r>
    <r>
      <rPr>
        <i/>
        <sz val="11"/>
        <color theme="1"/>
        <rFont val="Century Gothic"/>
        <family val="2"/>
      </rPr>
      <t>(Oh, le gâteau …)</t>
    </r>
  </si>
  <si>
    <r>
      <t>Olive Moitonkeur </t>
    </r>
    <r>
      <rPr>
        <i/>
        <sz val="11"/>
        <color theme="1"/>
        <rFont val="Century Gothic"/>
        <family val="2"/>
      </rPr>
      <t>(Oh, livre-moi …)</t>
    </r>
  </si>
  <si>
    <r>
      <t>Oliver Vintheur </t>
    </r>
    <r>
      <rPr>
        <i/>
        <sz val="11"/>
        <color theme="1"/>
        <rFont val="Century Gothic"/>
        <family val="2"/>
      </rPr>
      <t>(Au lit vers </t>
    </r>
    <r>
      <rPr>
        <i/>
        <u/>
        <sz val="11"/>
        <color rgb="FF0000FF"/>
        <rFont val="Century Gothic"/>
        <family val="2"/>
      </rPr>
      <t>vingt</t>
    </r>
    <r>
      <rPr>
        <i/>
        <sz val="11"/>
        <color theme="1"/>
        <rFont val="Century Gothic"/>
        <family val="2"/>
      </rPr>
      <t> </t>
    </r>
    <r>
      <rPr>
        <i/>
        <u/>
        <sz val="11"/>
        <color rgb="FF0000FF"/>
        <rFont val="Century Gothic"/>
        <family val="2"/>
      </rPr>
      <t>heures</t>
    </r>
    <r>
      <rPr>
        <i/>
        <sz val="11"/>
        <color theme="1"/>
        <rFont val="Century Gothic"/>
        <family val="2"/>
      </rPr>
      <t>)</t>
    </r>
  </si>
  <si>
    <r>
      <t>Olivia Lasalle de Bain </t>
    </r>
    <r>
      <rPr>
        <i/>
        <sz val="11"/>
        <color theme="1"/>
        <rFont val="Century Gothic"/>
        <family val="2"/>
      </rPr>
      <t>(Au lit via la salle de bains)</t>
    </r>
  </si>
  <si>
    <r>
      <t>Olivia Monnaman </t>
    </r>
    <r>
      <rPr>
        <i/>
        <sz val="11"/>
        <color theme="1"/>
        <rFont val="Century Gothic"/>
        <family val="2"/>
      </rPr>
      <t>(Au lit y'a mon amant)</t>
    </r>
  </si>
  <si>
    <r>
      <t>Omar et Clovis </t>
    </r>
    <r>
      <rPr>
        <i/>
        <sz val="11"/>
        <color theme="1"/>
        <rFont val="Century Gothic"/>
        <family val="2"/>
      </rPr>
      <t>(Homard écrevisse)</t>
    </r>
  </si>
  <si>
    <r>
      <t>Oscar O'Fess </t>
    </r>
    <r>
      <rPr>
        <i/>
        <sz val="11"/>
        <color theme="1"/>
        <rFont val="Century Gothic"/>
        <family val="2"/>
      </rPr>
      <t>(Escarres)</t>
    </r>
  </si>
  <si>
    <r>
      <t>Otto Man &amp; Anatole I. </t>
    </r>
    <r>
      <rPr>
        <i/>
        <sz val="11"/>
        <color theme="1"/>
        <rFont val="Century Gothic"/>
        <family val="2"/>
      </rPr>
      <t>(Les Ottomans vivaient en Anatolie – Turquie)</t>
    </r>
  </si>
  <si>
    <r>
      <t>Paco Tison </t>
    </r>
    <r>
      <rPr>
        <i/>
        <sz val="11"/>
        <color theme="1"/>
        <rFont val="Century Gothic"/>
        <family val="2"/>
      </rPr>
      <t>(Dicton: Noël au balcon, Pâques au tison)</t>
    </r>
  </si>
  <si>
    <r>
      <t>Paola – Éva Paula Clément </t>
    </r>
    <r>
      <rPr>
        <i/>
        <sz val="11"/>
        <color theme="1"/>
        <rFont val="Century Gothic"/>
        <family val="2"/>
      </rPr>
      <t>(Lac Léman ou lac de Genève)</t>
    </r>
  </si>
  <si>
    <r>
      <t>Pat Air Nos Stères </t>
    </r>
    <r>
      <rPr>
        <i/>
        <sz val="11"/>
        <color theme="1"/>
        <rFont val="Century Gothic"/>
        <family val="2"/>
      </rPr>
      <t>(Pater Noster, notre père en latin; nom d'une prière)</t>
    </r>
  </si>
  <si>
    <r>
      <t>Pat Chou Li, un chinois </t>
    </r>
    <r>
      <rPr>
        <i/>
        <sz val="11"/>
        <color theme="1"/>
        <rFont val="Century Gothic"/>
        <family val="2"/>
      </rPr>
      <t>– San Antonio</t>
    </r>
  </si>
  <si>
    <r>
      <t>Pat Redway</t>
    </r>
    <r>
      <rPr>
        <sz val="11"/>
        <rFont val="Century Gothic"/>
        <family val="2"/>
      </rPr>
      <t> </t>
    </r>
    <r>
      <rPr>
        <i/>
        <sz val="11"/>
        <rFont val="Century Gothic"/>
        <family val="2"/>
      </rPr>
      <t>(pas très doué; pour info: red way veut dire: chemin rouge)</t>
    </r>
  </si>
  <si>
    <r>
      <t>Patrice Tounet </t>
    </r>
    <r>
      <rPr>
        <i/>
        <sz val="11"/>
        <color theme="1"/>
        <rFont val="Century Gothic"/>
        <family val="2"/>
      </rPr>
      <t>(Si t'es gai ris-donc!)</t>
    </r>
  </si>
  <si>
    <r>
      <t>Paul et Mick </t>
    </r>
    <r>
      <rPr>
        <i/>
        <sz val="11"/>
        <color theme="1"/>
        <rFont val="Century Gothic"/>
        <family val="2"/>
      </rPr>
      <t>ou </t>
    </r>
    <r>
      <rPr>
        <sz val="11"/>
        <color rgb="FFFF0000"/>
        <rFont val="Century Gothic"/>
        <family val="2"/>
      </rPr>
      <t>Paul et Mickey</t>
    </r>
  </si>
  <si>
    <r>
      <t>Paul Yves Hallant</t>
    </r>
    <r>
      <rPr>
        <sz val="11"/>
        <color theme="1"/>
        <rFont val="Century Gothic"/>
        <family val="2"/>
      </rPr>
      <t>, Paul Y Valant</t>
    </r>
  </si>
  <si>
    <r>
      <t>Paulette – </t>
    </r>
    <r>
      <rPr>
        <sz val="11"/>
        <color rgb="FFFF0000"/>
        <rFont val="Century Gothic"/>
        <family val="2"/>
      </rPr>
      <t>Les Paulettes et les gars longs</t>
    </r>
  </si>
  <si>
    <r>
      <t>Paulette – Oscar Paulette </t>
    </r>
    <r>
      <rPr>
        <i/>
        <sz val="11"/>
        <color theme="1"/>
        <rFont val="Century Gothic"/>
        <family val="2"/>
      </rPr>
      <t>(Escarpolette = balançoire)</t>
    </r>
  </si>
  <si>
    <r>
      <t>Paulette Lopette </t>
    </r>
    <r>
      <rPr>
        <i/>
        <sz val="11"/>
        <color theme="1"/>
        <rFont val="Century Gothic"/>
        <family val="2"/>
      </rPr>
      <t>(avec contrepèterie)</t>
    </r>
  </si>
  <si>
    <r>
      <t>Pauline – Ri Pauline </t>
    </r>
    <r>
      <rPr>
        <i/>
        <sz val="11"/>
        <color theme="1"/>
        <rFont val="Century Gothic"/>
        <family val="2"/>
      </rPr>
      <t>(Je ripoline, je passe en peinture)</t>
    </r>
  </si>
  <si>
    <r>
      <t>Pauline Izé </t>
    </r>
    <r>
      <rPr>
        <i/>
        <sz val="11"/>
        <color theme="1"/>
        <rFont val="Century Gothic"/>
        <family val="2"/>
      </rPr>
      <t>(Polliniser)</t>
    </r>
  </si>
  <si>
    <r>
      <t>Peer N-Mi </t>
    </r>
    <r>
      <rPr>
        <i/>
        <sz val="11"/>
        <color theme="1"/>
        <rFont val="Century Gothic"/>
        <family val="2"/>
      </rPr>
      <t>(Pire ennemi)</t>
    </r>
  </si>
  <si>
    <r>
      <t>Pépito Nicolas Son </t>
    </r>
    <r>
      <rPr>
        <i/>
        <sz val="11"/>
        <color theme="1"/>
        <rFont val="Century Gothic"/>
        <family val="2"/>
      </rPr>
      <t>(Pepito mi corazon, Pepito, mon coeur; chanson des Machucambos)</t>
    </r>
  </si>
  <si>
    <r>
      <t>Piéric Clesse </t>
    </r>
    <r>
      <rPr>
        <i/>
        <sz val="11"/>
        <color theme="1"/>
        <rFont val="Century Gothic"/>
        <family val="2"/>
      </rPr>
      <t>(Périclès)</t>
    </r>
  </si>
  <si>
    <r>
      <t>Piéric Colososporgersi </t>
    </r>
    <r>
      <rPr>
        <i/>
        <sz val="11"/>
        <color theme="1"/>
        <rFont val="Century Gothic"/>
        <family val="2"/>
      </rPr>
      <t>(è pericoloso sporgersi : il est dangereux de se pencher par la fenêtre du train)</t>
    </r>
  </si>
  <si>
    <r>
      <t>Prosper Yoplaboum </t>
    </r>
    <r>
      <rPr>
        <i/>
        <sz val="11"/>
        <color theme="1"/>
        <rFont val="Century Gothic"/>
        <family val="2"/>
      </rPr>
      <t>(Yop la Boum, chanson de Maurice Chevalier)</t>
    </r>
  </si>
  <si>
    <r>
      <t>Quentin Genmiliterre </t>
    </r>
    <r>
      <rPr>
        <i/>
        <sz val="11"/>
        <color theme="1"/>
        <rFont val="Century Gothic"/>
        <family val="2"/>
      </rPr>
      <t>(Contingent militaire)</t>
    </r>
  </si>
  <si>
    <r>
      <t>Quentin Rit et Candice Pleur </t>
    </r>
    <r>
      <rPr>
        <i/>
        <sz val="11"/>
        <color theme="1"/>
        <rFont val="Century Gothic"/>
        <family val="2"/>
      </rPr>
      <t>(Quand un rit et quand dix pleurent)</t>
    </r>
  </si>
  <si>
    <r>
      <t>Rabbi Boché (</t>
    </r>
    <r>
      <rPr>
        <i/>
        <sz val="11"/>
        <color theme="1"/>
        <rFont val="Century Gothic"/>
        <family val="2"/>
      </rPr>
      <t>aussi</t>
    </r>
    <r>
      <rPr>
        <sz val="11"/>
        <color theme="1"/>
        <rFont val="Century Gothic"/>
        <family val="2"/>
      </rPr>
      <t> Habib Oché)</t>
    </r>
  </si>
  <si>
    <r>
      <t>Ramon la Cheminée </t>
    </r>
    <r>
      <rPr>
        <i/>
        <sz val="11"/>
        <color theme="1"/>
        <rFont val="Century Gothic"/>
        <family val="2"/>
      </rPr>
      <t>(ramone …)</t>
    </r>
  </si>
  <si>
    <r>
      <t>Raoul – Pierre Ki Raoul </t>
    </r>
    <r>
      <rPr>
        <i/>
        <sz val="11"/>
        <color theme="1"/>
        <rFont val="Century Gothic"/>
        <family val="2"/>
      </rPr>
      <t>n'amasse pas mousse</t>
    </r>
  </si>
  <si>
    <r>
      <t>Raph du Veldiv </t>
    </r>
    <r>
      <rPr>
        <i/>
        <sz val="11"/>
        <color theme="1"/>
        <rFont val="Century Gothic"/>
        <family val="2"/>
      </rPr>
      <t>(Raffle du Veldiv – Vélofrome d'hiver à Paris; arestation des juifs durant la seconde guerre mondiale)</t>
    </r>
  </si>
  <si>
    <r>
      <t>Raquel Sonjoliléfilledemonpays </t>
    </r>
    <r>
      <rPr>
        <i/>
        <sz val="11"/>
        <color theme="1"/>
        <rFont val="Century Gothic"/>
        <family val="2"/>
      </rPr>
      <t>(Chanson d'Enrico Macias)</t>
    </r>
  </si>
  <si>
    <r>
      <t>Régis A. Déca l'âge </t>
    </r>
    <r>
      <rPr>
        <i/>
        <sz val="11"/>
        <color theme="1"/>
        <rFont val="Century Gothic"/>
        <family val="2"/>
      </rPr>
      <t>(Registre à décalage, bien connu des concepteurs de circuits numériques; multiplication ou division par 2)</t>
    </r>
  </si>
  <si>
    <r>
      <t>Rémi  - É. Rémi </t>
    </r>
    <r>
      <rPr>
        <i/>
        <sz val="11"/>
        <color theme="1"/>
        <rFont val="Century Gothic"/>
        <family val="2"/>
      </rPr>
      <t>(le RMI a été remplacé par le RSA en 2009)</t>
    </r>
  </si>
  <si>
    <r>
      <t>Rémi Lassiré </t>
    </r>
    <r>
      <rPr>
        <i/>
        <sz val="11"/>
        <color theme="1"/>
        <rFont val="Century Gothic"/>
        <family val="2"/>
      </rPr>
      <t>(Ré, mi, la, si, ré)</t>
    </r>
    <r>
      <rPr>
        <sz val="11"/>
        <color theme="1"/>
        <rFont val="Century Gothic"/>
        <family val="2"/>
      </rPr>
      <t>; Rémi Façilassido;</t>
    </r>
  </si>
  <si>
    <r>
      <t>Rémi Raymond </t>
    </r>
    <r>
      <rPr>
        <i/>
        <sz val="11"/>
        <color theme="1"/>
        <rFont val="Century Gothic"/>
        <family val="2"/>
      </rPr>
      <t>(Remiremont, ville des Vosges)</t>
    </r>
  </si>
  <si>
    <r>
      <t>Rémi Solfado </t>
    </r>
    <r>
      <rPr>
        <i/>
        <sz val="11"/>
        <color theme="1"/>
        <rFont val="Century Gothic"/>
        <family val="2"/>
      </rPr>
      <t>(San Antonio)</t>
    </r>
  </si>
  <si>
    <r>
      <t>René - Chemin Goude René </t>
    </r>
    <r>
      <rPr>
        <i/>
        <sz val="11"/>
        <color theme="1"/>
        <rFont val="Century Gothic"/>
        <family val="2"/>
      </rPr>
      <t>(Chemin goudronné)</t>
    </r>
  </si>
  <si>
    <r>
      <t>René - G. Malamon Harié René </t>
    </r>
    <r>
      <rPr>
        <i/>
        <sz val="11"/>
        <color theme="1"/>
        <rFont val="Century Gothic"/>
        <family val="2"/>
      </rPr>
      <t>(Arrière nez)</t>
    </r>
  </si>
  <si>
    <r>
      <t>René – Kano K. René </t>
    </r>
    <r>
      <rPr>
        <i/>
        <sz val="11"/>
        <color theme="1"/>
        <rFont val="Century Gothic"/>
        <family val="2"/>
      </rPr>
      <t>(canot caréné; caréner: donner un profil aérodynamique)</t>
    </r>
  </si>
  <si>
    <r>
      <t>René – Pet René </t>
    </r>
    <r>
      <rPr>
        <i/>
        <sz val="11"/>
        <color theme="1"/>
        <rFont val="Century Gothic"/>
        <family val="2"/>
      </rPr>
      <t>(Péroné)</t>
    </r>
  </si>
  <si>
    <r>
      <t>René – Hiléra C. René </t>
    </r>
    <r>
      <rPr>
        <i/>
        <sz val="11"/>
        <color theme="1"/>
        <rFont val="Century Gothic"/>
        <family val="2"/>
      </rPr>
      <t>(Il est rasséréné)</t>
    </r>
  </si>
  <si>
    <r>
      <t>René - Vitilap René </t>
    </r>
    <r>
      <rPr>
        <i/>
        <sz val="11"/>
        <color theme="1"/>
        <rFont val="Century Gothic"/>
        <family val="2"/>
      </rPr>
      <t>(vite, il apprenait)</t>
    </r>
  </si>
  <si>
    <r>
      <t>Renée - Claire-Renée la Victoire </t>
    </r>
    <r>
      <rPr>
        <i/>
        <sz val="11"/>
        <color theme="1"/>
        <rFont val="Century Gothic"/>
        <family val="2"/>
      </rPr>
      <t>(Claironner)</t>
    </r>
  </si>
  <si>
    <r>
      <t>Reynald – Glande sur Reynald </t>
    </r>
    <r>
      <rPr>
        <i/>
        <sz val="11"/>
        <color theme="1"/>
        <rFont val="Century Gothic"/>
        <family val="2"/>
      </rPr>
      <t>(Glande surrénale – Sans prononcer le "d")</t>
    </r>
  </si>
  <si>
    <r>
      <t>Reynald – Gref Reynald </t>
    </r>
    <r>
      <rPr>
        <i/>
        <sz val="11"/>
        <color theme="1"/>
        <rFont val="Century Gothic"/>
        <family val="2"/>
      </rPr>
      <t>(Greffe rénale – Sans prononcer le "d")</t>
    </r>
  </si>
  <si>
    <r>
      <t>Rick Chaud </t>
    </r>
    <r>
      <rPr>
        <i/>
        <sz val="11"/>
        <color theme="1"/>
        <rFont val="Century Gothic"/>
        <family val="2"/>
      </rPr>
      <t>(Rickshaw)</t>
    </r>
  </si>
  <si>
    <r>
      <t>Rika Sa Raille </t>
    </r>
    <r>
      <rPr>
        <i/>
        <sz val="11"/>
        <color theme="1"/>
        <rFont val="Century Gothic"/>
        <family val="2"/>
      </rPr>
      <t>(Rika Zaraï)</t>
    </r>
  </si>
  <si>
    <r>
      <t>Robert et Monique =&gt; Et mort aux berniques </t>
    </r>
    <r>
      <rPr>
        <i/>
        <sz val="11"/>
        <color theme="1"/>
        <rFont val="Century Gothic"/>
        <family val="2"/>
      </rPr>
      <t>(Contrepèterie)</t>
    </r>
  </si>
  <si>
    <r>
      <t>Robert Matartine </t>
    </r>
    <r>
      <rPr>
        <i/>
        <sz val="11"/>
        <color theme="1"/>
        <rFont val="Century Gothic"/>
        <family val="2"/>
      </rPr>
      <t>(Rebeure ma tartine)</t>
    </r>
  </si>
  <si>
    <r>
      <t>Robin Color </t>
    </r>
    <r>
      <rPr>
        <i/>
        <sz val="11"/>
        <color theme="1"/>
        <rFont val="Century Gothic"/>
        <family val="2"/>
      </rPr>
      <t>(Robe incolore)</t>
    </r>
  </si>
  <si>
    <r>
      <t>Roland Laisse Thomas Tranquille </t>
    </r>
    <r>
      <rPr>
        <i/>
        <sz val="11"/>
        <color theme="1"/>
        <rFont val="Century Gothic"/>
        <family val="2"/>
      </rPr>
      <t>(Rots lents, l'estomac tranquille)</t>
    </r>
  </si>
  <si>
    <r>
      <t>Romain Dvanlabouche </t>
    </r>
    <r>
      <rPr>
        <i/>
        <sz val="11"/>
        <color theme="1"/>
        <rFont val="Century Gothic"/>
        <family val="2"/>
      </rPr>
      <t>(Rots, main devant la bouche)</t>
    </r>
  </si>
  <si>
    <r>
      <t>Rose – Les six Roses du Foix ou Bill Hier </t>
    </r>
    <r>
      <rPr>
        <i/>
        <sz val="11"/>
        <color theme="1"/>
        <rFont val="Century Gothic"/>
        <family val="2"/>
      </rPr>
      <t>(S'écrit: cirrhose du foi et cirrhose biliaire)</t>
    </r>
  </si>
  <si>
    <r>
      <t>Rose des Vents cousine d'Éléonore, de Paul Nord et Paul Sud </t>
    </r>
    <r>
      <rPr>
        <i/>
        <sz val="11"/>
        <color theme="1"/>
        <rFont val="Century Gothic"/>
        <family val="2"/>
      </rPr>
      <t>(Méfie-toi! Elle trop pique)</t>
    </r>
  </si>
  <si>
    <r>
      <t>Rosie Nantes </t>
    </r>
    <r>
      <rPr>
        <i/>
        <sz val="11"/>
        <color theme="1"/>
        <rFont val="Century Gothic"/>
        <family val="2"/>
      </rPr>
      <t>(Rossinante, le cheval de Don Quichotte)</t>
    </r>
  </si>
  <si>
    <r>
      <t>Russel comme la Fontaine </t>
    </r>
    <r>
      <rPr>
        <i/>
        <sz val="11"/>
        <color theme="1"/>
        <rFont val="Century Gothic"/>
        <family val="2"/>
      </rPr>
      <t>(Ruisselle)</t>
    </r>
  </si>
  <si>
    <r>
      <t>Russel de Bienbellerichesses </t>
    </r>
    <r>
      <rPr>
        <i/>
        <sz val="11"/>
        <color theme="1"/>
        <rFont val="Century Gothic"/>
        <family val="2"/>
      </rPr>
      <t>(Recèle)</t>
    </r>
  </si>
  <si>
    <r>
      <t>Sabine adore les prunes ou sa pine adore les brunes – </t>
    </r>
    <r>
      <rPr>
        <i/>
        <sz val="11"/>
        <color theme="1"/>
        <rFont val="Century Gothic"/>
        <family val="2"/>
      </rPr>
      <t>Louis Perceau</t>
    </r>
  </si>
  <si>
    <r>
      <t>Sacha Vent É. Sarevient</t>
    </r>
    <r>
      <rPr>
        <sz val="11"/>
        <color theme="1"/>
        <rFont val="Century Gothic"/>
        <family val="2"/>
      </rPr>
      <t> </t>
    </r>
    <r>
      <rPr>
        <i/>
        <sz val="11"/>
        <color theme="1"/>
        <rFont val="Century Gothic"/>
        <family val="2"/>
      </rPr>
      <t>(Chanson de Claude François)</t>
    </r>
  </si>
  <si>
    <r>
      <t>Salim Sapiens </t>
    </r>
    <r>
      <rPr>
        <i/>
        <sz val="11"/>
        <color theme="1"/>
        <rFont val="Century Gothic"/>
        <family val="2"/>
      </rPr>
      <t>(sa lime, sa pince)</t>
    </r>
  </si>
  <si>
    <r>
      <t>Salomon =&gt; mon salaud </t>
    </r>
    <r>
      <rPr>
        <i/>
        <sz val="11"/>
        <color theme="1"/>
        <rFont val="Century Gothic"/>
        <family val="2"/>
      </rPr>
      <t>(Contrepèterie)</t>
    </r>
  </si>
  <si>
    <r>
      <t>Sam Ed Messé Dur </t>
    </r>
    <r>
      <rPr>
        <i/>
        <sz val="11"/>
        <color theme="1"/>
        <rFont val="Century Gothic"/>
        <family val="2"/>
      </rPr>
      <t>(ça m'aide, mais 'est dur)</t>
    </r>
  </si>
  <si>
    <r>
      <t>Sam et Thérèse Pas </t>
    </r>
    <r>
      <rPr>
        <i/>
        <sz val="11"/>
        <color theme="1"/>
        <rFont val="Century Gothic"/>
        <family val="2"/>
      </rPr>
      <t>(À peu près pour: ça m'intéresse)</t>
    </r>
  </si>
  <si>
    <r>
      <t>Samantha Lôhellabu </t>
    </r>
    <r>
      <rPr>
        <i/>
        <sz val="11"/>
        <color theme="1"/>
        <rFont val="Century Gothic"/>
        <family val="2"/>
      </rPr>
      <t>(Sa menthe à l'eau, elle l'a bu)</t>
    </r>
  </si>
  <si>
    <r>
      <t>Samuel – Lo Samuel </t>
    </r>
    <r>
      <rPr>
        <i/>
        <sz val="11"/>
        <color theme="1"/>
        <rFont val="Century Gothic"/>
        <family val="2"/>
      </rPr>
      <t>(L'os à moelle)</t>
    </r>
  </si>
  <si>
    <r>
      <t>Sandra Sanchocolat </t>
    </r>
    <r>
      <rPr>
        <i/>
        <sz val="11"/>
        <color theme="1"/>
        <rFont val="Century Gothic"/>
        <family val="2"/>
      </rPr>
      <t>(allusion 0: sans bras, pas de chocolat)</t>
    </r>
  </si>
  <si>
    <r>
      <t>Sandy Koné </t>
    </r>
    <r>
      <rPr>
        <i/>
        <sz val="11"/>
        <color theme="1"/>
        <rFont val="Century Gothic"/>
        <family val="2"/>
      </rPr>
      <t>(sans déconner)</t>
    </r>
  </si>
  <si>
    <r>
      <t>Sandy Sam Honze </t>
    </r>
    <r>
      <rPr>
        <i/>
        <sz val="11"/>
        <color theme="1"/>
        <rFont val="Century Gothic"/>
        <family val="2"/>
      </rPr>
      <t>(Cent dix, cent onze)</t>
    </r>
  </si>
  <si>
    <r>
      <t>Sandy Vrogne ou Sandy Zar </t>
    </r>
    <r>
      <rPr>
        <i/>
        <sz val="11"/>
        <color theme="1"/>
        <rFont val="Century Gothic"/>
        <family val="2"/>
      </rPr>
      <t>(Sang d'izar)</t>
    </r>
  </si>
  <si>
    <r>
      <t>Sanson - Toufig Ni-an Sanson </t>
    </r>
    <r>
      <rPr>
        <i/>
        <sz val="11"/>
        <color theme="1"/>
        <rFont val="Century Gothic"/>
        <family val="2"/>
      </rPr>
      <t>(Tout finit en chanson)</t>
    </r>
  </si>
  <si>
    <r>
      <t>Sarah Rat et Sacha Sresse </t>
    </r>
    <r>
      <rPr>
        <i/>
        <sz val="11"/>
        <color theme="1"/>
        <rFont val="Century Gothic"/>
        <family val="2"/>
      </rPr>
      <t>(Sahara et sa sécheresse)</t>
    </r>
  </si>
  <si>
    <r>
      <t>Sarah Zin et Lara B'davan </t>
    </r>
    <r>
      <rPr>
        <i/>
        <sz val="11"/>
        <color theme="1"/>
        <rFont val="Century Gothic"/>
        <family val="2"/>
      </rPr>
      <t>(Sarrasins: peuples musulmans au Moyen Âge en Europe)</t>
    </r>
  </si>
  <si>
    <r>
      <t>Serge – Jecherche Serge ou Suigechécecher Serge </t>
    </r>
    <r>
      <rPr>
        <i/>
        <sz val="11"/>
        <color theme="1"/>
        <rFont val="Century Gothic"/>
        <family val="2"/>
      </rPr>
      <t>(virelangues)</t>
    </r>
  </si>
  <si>
    <r>
      <t>Serge Ypontoise </t>
    </r>
    <r>
      <rPr>
        <i/>
        <sz val="11"/>
        <color theme="1"/>
        <rFont val="Century Gothic"/>
        <family val="2"/>
      </rPr>
      <t>(Cergy-Pontoise, ville créée dans les années 1970)</t>
    </r>
  </si>
  <si>
    <r>
      <t>Seymore C. Plus </t>
    </r>
    <r>
      <rPr>
        <i/>
        <sz val="11"/>
        <color theme="1"/>
        <rFont val="Century Gothic"/>
        <family val="2"/>
      </rPr>
      <t>(more en anglais = plus)</t>
    </r>
  </si>
  <si>
    <r>
      <t>Seymour Archimour </t>
    </r>
    <r>
      <rPr>
        <i/>
        <sz val="11"/>
        <color theme="1"/>
        <rFont val="Century Gothic"/>
        <family val="2"/>
      </rPr>
      <t>(c'est mort archi mort)</t>
    </r>
  </si>
  <si>
    <r>
      <t>Sheila Sim Camille </t>
    </r>
    <r>
      <rPr>
        <i/>
        <sz val="11"/>
        <color theme="1"/>
        <rFont val="Century Gothic"/>
        <family val="2"/>
      </rPr>
      <t>(C'est la Simca 1000, voiture modeste lancée en 1961)</t>
    </r>
  </si>
  <si>
    <r>
      <t>Sim Amansi </t>
    </r>
    <r>
      <rPr>
        <i/>
        <sz val="11"/>
        <color theme="1"/>
        <rFont val="Century Gothic"/>
        <family val="2"/>
      </rPr>
      <t>(Si, maman si, chanson de France Gall)</t>
    </r>
  </si>
  <si>
    <r>
      <t>Simon Cussonet</t>
    </r>
    <r>
      <rPr>
        <sz val="11"/>
        <color theme="1"/>
        <rFont val="Century Gothic"/>
        <family val="2"/>
      </rPr>
      <t> -Taurel-Eure </t>
    </r>
    <r>
      <rPr>
        <i/>
        <sz val="11"/>
        <color theme="1"/>
        <rFont val="Century Gothic"/>
        <family val="2"/>
      </rPr>
      <t>(Déjà connu dans les années 1960. Origine?)</t>
    </r>
  </si>
  <si>
    <r>
      <t>Sophie Fonfec </t>
    </r>
    <r>
      <rPr>
        <i/>
        <sz val="11"/>
        <color theme="1"/>
        <rFont val="Century Gothic"/>
        <family val="2"/>
      </rPr>
      <t>(Saucisson sec, avec un certain accent!)</t>
    </r>
  </si>
  <si>
    <r>
      <t>Sophie Sofa; Sophie Sophe </t>
    </r>
    <r>
      <rPr>
        <i/>
        <sz val="11"/>
        <color theme="1"/>
        <rFont val="Century Gothic"/>
        <family val="2"/>
      </rPr>
      <t>(toujours sur le thème sauf i)</t>
    </r>
  </si>
  <si>
    <r>
      <t>Sue Archisou </t>
    </r>
    <r>
      <rPr>
        <i/>
        <sz val="11"/>
        <color theme="1"/>
        <rFont val="Century Gothic"/>
        <family val="2"/>
      </rPr>
      <t>(En anglais, Sue se prononce sou)</t>
    </r>
  </si>
  <si>
    <r>
      <t>Sunny Éneuf </t>
    </r>
    <r>
      <rPr>
        <i/>
        <sz val="11"/>
        <color theme="1"/>
        <rFont val="Century Gothic"/>
        <family val="2"/>
      </rPr>
      <t>(Ce nid est neuf ou n'œuf )</t>
    </r>
  </si>
  <si>
    <r>
      <t>Suzanne – L. Suzanne É. Apré-Année </t>
    </r>
    <r>
      <rPr>
        <i/>
        <sz val="11"/>
        <color theme="1"/>
        <rFont val="Century Gothic"/>
        <family val="2"/>
      </rPr>
      <t>(Elle s'use année après année)</t>
    </r>
  </si>
  <si>
    <r>
      <t>Sylvette Érinerre Passe </t>
    </r>
    <r>
      <rPr>
        <i/>
        <sz val="11"/>
        <color theme="1"/>
        <rFont val="Century Gothic"/>
        <family val="2"/>
      </rPr>
      <t>(Si l vétérinaire passe)</t>
    </r>
  </si>
  <si>
    <r>
      <t>Tacray Christelle </t>
    </r>
    <r>
      <rPr>
        <i/>
        <sz val="11"/>
        <color theme="1"/>
        <rFont val="Century Gothic"/>
        <family val="2"/>
      </rPr>
      <t>(sur le tableau)</t>
    </r>
  </si>
  <si>
    <r>
      <t>Tanguy Yaura des étoiles </t>
    </r>
    <r>
      <rPr>
        <i/>
        <sz val="11"/>
        <color theme="1"/>
        <rFont val="Century Gothic"/>
        <family val="2"/>
      </rPr>
      <t>(sous la voute des cieux, Tino Rossi)</t>
    </r>
  </si>
  <si>
    <r>
      <t>Tatord – Taitoi Tatord </t>
    </r>
    <r>
      <rPr>
        <i/>
        <sz val="11"/>
        <color theme="1"/>
        <rFont val="Century Gothic"/>
        <family val="2"/>
      </rPr>
      <t>(Tais-toi t'as tord – Mais, je ne m'appelle pas Tatord!)</t>
    </r>
  </si>
  <si>
    <r>
      <t>Ted Anos </t>
    </r>
    <r>
      <rPr>
        <i/>
        <sz val="11"/>
        <color theme="1"/>
        <rFont val="Century Gothic"/>
        <family val="2"/>
      </rPr>
      <t>(Tétanos)</t>
    </r>
  </si>
  <si>
    <r>
      <t>Ted I. Ber </t>
    </r>
    <r>
      <rPr>
        <i/>
        <sz val="11"/>
        <color theme="1"/>
        <rFont val="Century Gothic"/>
        <family val="2"/>
      </rPr>
      <t>(Teddy bear, nounours en anglais)</t>
    </r>
  </si>
  <si>
    <r>
      <t>Teddy: 100 Teddy Fils </t>
    </r>
    <r>
      <rPr>
        <i/>
        <sz val="11"/>
        <color theme="1"/>
        <rFont val="Century Gothic"/>
        <family val="2"/>
      </rPr>
      <t>(entreprise de maçonnerie)</t>
    </r>
  </si>
  <si>
    <r>
      <t>Tess Sérieux </t>
    </r>
    <r>
      <rPr>
        <i/>
        <sz val="11"/>
        <color theme="1"/>
        <rFont val="Century Gothic"/>
        <family val="2"/>
      </rPr>
      <t>(Expression de djeuns)</t>
    </r>
  </si>
  <si>
    <r>
      <t>Thadéthapi Perséh, </t>
    </r>
    <r>
      <rPr>
        <i/>
        <sz val="11"/>
        <color theme="1"/>
        <rFont val="Century Gothic"/>
        <family val="2"/>
      </rPr>
      <t>un perse – San Antonio</t>
    </r>
  </si>
  <si>
    <r>
      <t>Thelma Jtèmjepensatoi </t>
    </r>
    <r>
      <rPr>
        <i/>
        <sz val="11"/>
        <color theme="1"/>
        <rFont val="Century Gothic"/>
        <family val="2"/>
      </rPr>
      <t>(Chanson de Faudel)</t>
    </r>
  </si>
  <si>
    <r>
      <t>Théo Smic; Théo et Rémi </t>
    </r>
    <r>
      <rPr>
        <i/>
        <sz val="11"/>
        <color theme="1"/>
        <rFont val="Century Gothic"/>
        <family val="2"/>
      </rPr>
      <t>(RMI: revenu minimum d'insertion)</t>
    </r>
  </si>
  <si>
    <r>
      <t>Thierry – Hilla Sonbac Thierry </t>
    </r>
    <r>
      <rPr>
        <i/>
        <sz val="11"/>
        <color theme="1"/>
        <rFont val="Century Gothic"/>
        <family val="2"/>
      </rPr>
      <t>(bactérie)</t>
    </r>
  </si>
  <si>
    <r>
      <t>Thomas – Filmoi Thomas Toss </t>
    </r>
    <r>
      <rPr>
        <i/>
        <sz val="11"/>
        <color theme="1"/>
        <rFont val="Century Gothic"/>
        <family val="2"/>
      </rPr>
      <t>(file-moi ton matos)</t>
    </r>
  </si>
  <si>
    <r>
      <t>Thomas – R. d'S. Thomas</t>
    </r>
    <r>
      <rPr>
        <i/>
        <sz val="11"/>
        <color theme="1"/>
        <rFont val="Century Gothic"/>
        <family val="2"/>
      </rPr>
      <t> (air d'estomac, un rot quoi!)</t>
    </r>
  </si>
  <si>
    <r>
      <t>Thomas Hawk et Thomas Wack </t>
    </r>
    <r>
      <rPr>
        <i/>
        <sz val="11"/>
        <color theme="1"/>
        <rFont val="Century Gothic"/>
        <family val="2"/>
      </rPr>
      <t>(Tomahawk, hache de guerre des Indiens et missile de croisière Américain)</t>
    </r>
  </si>
  <si>
    <r>
      <t>Thomas Téton </t>
    </r>
    <r>
      <rPr>
        <i/>
        <sz val="11"/>
        <color theme="1"/>
        <rFont val="Century Gothic"/>
        <family val="2"/>
      </rPr>
      <t>(tomate et thon)</t>
    </r>
  </si>
  <si>
    <r>
      <t>Thomas Tpourhi </t>
    </r>
    <r>
      <rPr>
        <i/>
        <sz val="11"/>
        <color theme="1"/>
        <rFont val="Century Gothic"/>
        <family val="2"/>
      </rPr>
      <t>(tomate pourrie)</t>
    </r>
  </si>
  <si>
    <r>
      <t>Thor Pille, Sue Marine </t>
    </r>
    <r>
      <rPr>
        <i/>
        <sz val="11"/>
        <color theme="1"/>
        <rFont val="Century Gothic"/>
        <family val="2"/>
      </rPr>
      <t>(Sue se prononce sou)</t>
    </r>
  </si>
  <si>
    <r>
      <t>Tiffany O'Bool </t>
    </r>
    <r>
      <rPr>
        <i/>
        <sz val="11"/>
        <color theme="1"/>
        <rFont val="Century Gothic"/>
        <family val="2"/>
      </rPr>
      <t>(T'es fanny aux boules de pétanques)</t>
    </r>
  </si>
  <si>
    <r>
      <t>Tobie Hornot Tobie </t>
    </r>
    <r>
      <rPr>
        <i/>
        <sz val="11"/>
        <color theme="1"/>
        <rFont val="Century Gothic"/>
        <family val="2"/>
      </rPr>
      <t>(To be or not to be – être ou ne pas être – dans Hamlet de Shakespeare)</t>
    </r>
  </si>
  <si>
    <r>
      <t>Tom Égérie </t>
    </r>
    <r>
      <rPr>
        <i/>
        <sz val="11"/>
        <rFont val="Century Gothic"/>
        <family val="2"/>
      </rPr>
      <t>(Détournement de Tom &amp; Jerry)</t>
    </r>
  </si>
  <si>
    <r>
      <t>Tom Hardy Éfichu </t>
    </r>
    <r>
      <rPr>
        <i/>
        <sz val="11"/>
        <color theme="1"/>
        <rFont val="Century Gothic"/>
        <family val="2"/>
      </rPr>
      <t>(ton mardi est fichu)</t>
    </r>
  </si>
  <si>
    <r>
      <t>Tommy – Lapin dit Sec Tommy </t>
    </r>
    <r>
      <rPr>
        <i/>
        <sz val="11"/>
        <color theme="1"/>
        <rFont val="Century Gothic"/>
        <family val="2"/>
      </rPr>
      <t>(opération de l'appendice en cas d'appendicite)</t>
    </r>
  </si>
  <si>
    <r>
      <t>Tsing Tong Tcheck </t>
    </r>
    <r>
      <rPr>
        <i/>
        <sz val="11"/>
        <color theme="1"/>
        <rFont val="Century Gothic"/>
        <family val="2"/>
      </rPr>
      <t>(Nom d'une Chinoise connue pour être dépensière)</t>
    </r>
  </si>
  <si>
    <r>
      <t>Valérie T. Tom Meery Tage </t>
    </r>
    <r>
      <rPr>
        <i/>
        <sz val="11"/>
        <color theme="1"/>
        <rFont val="Century Gothic"/>
        <family val="2"/>
      </rPr>
      <t>(Va l'hériter ton héritage)</t>
    </r>
  </si>
  <si>
    <r>
      <t>Vic Svaporub </t>
    </r>
    <r>
      <rPr>
        <i/>
        <sz val="11"/>
        <color theme="1"/>
        <rFont val="Century Gothic"/>
        <family val="2"/>
      </rPr>
      <t>(Vicks Vaporub, marque de médicament)</t>
    </r>
  </si>
  <si>
    <r>
      <t>Violaine Édégoupourtoujours </t>
    </r>
    <r>
      <rPr>
        <i/>
        <sz val="11"/>
        <color theme="1"/>
        <rFont val="Century Gothic"/>
        <family val="2"/>
      </rPr>
      <t>(viol, haine et dégoût …)</t>
    </r>
  </si>
  <si>
    <r>
      <t>Virginie Hessi Plé </t>
    </r>
    <r>
      <rPr>
        <i/>
        <sz val="11"/>
        <color theme="1"/>
        <rFont val="Century Gothic"/>
        <family val="2"/>
      </rPr>
      <t>(Vir gît nid et s'y plait ou l'homme – vir en latin – reste au nid et s'y plait) </t>
    </r>
  </si>
  <si>
    <r>
      <t>Vishnou Lapaix </t>
    </r>
    <r>
      <rPr>
        <i/>
        <sz val="11"/>
        <color theme="1"/>
        <rFont val="Century Gothic"/>
        <family val="2"/>
      </rPr>
      <t>(et Brahma la Guerre, sketch de Pierre Dac)</t>
    </r>
  </si>
  <si>
    <r>
      <t>Vladimir Abel </t>
    </r>
    <r>
      <rPr>
        <i/>
        <sz val="11"/>
        <color theme="1"/>
        <rFont val="Century Gothic"/>
        <family val="2"/>
      </rPr>
      <t>(V'là des mirabelles)</t>
    </r>
  </si>
  <si>
    <r>
      <t>Vladimir Éfélavécel </t>
    </r>
    <r>
      <rPr>
        <i/>
        <sz val="11"/>
        <color theme="1"/>
        <rFont val="Century Gothic"/>
        <family val="2"/>
      </rPr>
      <t>(Mir est une marque de détergent)</t>
    </r>
  </si>
  <si>
    <r>
      <t>Voukipassé Samovar</t>
    </r>
    <r>
      <rPr>
        <sz val="11"/>
        <color theme="1"/>
        <rFont val="Century Gothic"/>
        <family val="2"/>
      </rPr>
      <t> </t>
    </r>
    <r>
      <rPr>
        <i/>
        <sz val="11"/>
        <color theme="1"/>
        <rFont val="Century Gothic"/>
        <family val="2"/>
      </rPr>
      <t>(Chanson: vous qui passez sans me voir)</t>
    </r>
  </si>
  <si>
    <r>
      <t>Waldi Ratamère </t>
    </r>
    <r>
      <rPr>
        <i/>
        <sz val="11"/>
        <color theme="1"/>
        <rFont val="Century Gothic"/>
        <family val="2"/>
      </rPr>
      <t>(Prénom? En fiat plutôt Walid)</t>
    </r>
  </si>
  <si>
    <r>
      <t>Wendy Katif </t>
    </r>
    <r>
      <rPr>
        <i/>
        <sz val="11"/>
        <color theme="1"/>
        <rFont val="Century Gothic"/>
        <family val="2"/>
      </rPr>
      <t>(prononé à la françasie </t>
    </r>
    <r>
      <rPr>
        <sz val="11"/>
        <color theme="1"/>
        <rFont val="Century Gothic"/>
        <family val="2"/>
      </rPr>
      <t>vindi</t>
    </r>
    <r>
      <rPr>
        <i/>
        <sz val="11"/>
        <color theme="1"/>
        <rFont val="Century Gothic"/>
        <family val="2"/>
      </rPr>
      <t> et non à l'anglaise </t>
    </r>
    <r>
      <rPr>
        <sz val="11"/>
        <color theme="1"/>
        <rFont val="Century Gothic"/>
        <family val="2"/>
      </rPr>
      <t>ouendi</t>
    </r>
    <r>
      <rPr>
        <i/>
        <sz val="11"/>
        <color theme="1"/>
        <rFont val="Century Gothic"/>
        <family val="2"/>
      </rPr>
      <t>)</t>
    </r>
  </si>
  <si>
    <r>
      <t>Xavier Pasvu Mirza </t>
    </r>
    <r>
      <rPr>
        <i/>
        <sz val="11"/>
        <color theme="1"/>
        <rFont val="Century Gothic"/>
        <family val="2"/>
      </rPr>
      <t>(Z'avez pas vu Mirza, chanson de Nino Ferrer)</t>
    </r>
  </si>
  <si>
    <r>
      <t>Yéhudi Ménuhin et moi Yéhudi Merde </t>
    </r>
    <r>
      <rPr>
        <i/>
        <sz val="11"/>
        <color theme="1"/>
        <rFont val="Century Gothic"/>
        <family val="2"/>
      </rPr>
      <t>(Célébre violobiste (1916-1999); réplique attribuée au toréro El Cordobés)</t>
    </r>
  </si>
  <si>
    <r>
      <t>Yvette – L.M. Lézol Yvette </t>
    </r>
    <r>
      <rPr>
        <i/>
        <sz val="11"/>
        <color theme="1"/>
        <rFont val="Century Gothic"/>
        <family val="2"/>
      </rPr>
      <t>(Elle aime les olivettes)</t>
    </r>
  </si>
  <si>
    <r>
      <t>Zlatan Drélejouretlanuit </t>
    </r>
    <r>
      <rPr>
        <i/>
        <sz val="11"/>
        <color theme="1"/>
        <rFont val="Century Gothic"/>
        <family val="2"/>
      </rPr>
      <t>(Chanson de Dalida)</t>
    </r>
  </si>
  <si>
    <r>
      <t>Zoé Bienmanzé </t>
    </r>
    <r>
      <rPr>
        <i/>
        <sz val="11"/>
        <color theme="1"/>
        <rFont val="Century Gothic"/>
        <family val="2"/>
      </rPr>
      <t>(j'aurai bien mangé)</t>
    </r>
  </si>
  <si>
    <t>client</t>
  </si>
  <si>
    <t>utilisateur</t>
  </si>
  <si>
    <t>Assistante</t>
  </si>
  <si>
    <t>pass1</t>
  </si>
  <si>
    <t>pass2</t>
  </si>
  <si>
    <t>pass3</t>
  </si>
  <si>
    <t>7410X</t>
  </si>
  <si>
    <t>6542C</t>
  </si>
  <si>
    <t>5648Z</t>
  </si>
  <si>
    <t>6541E</t>
  </si>
  <si>
    <t>barman</t>
  </si>
  <si>
    <t>2D rue Gratte-cul 75002 PARIS</t>
  </si>
  <si>
    <t>133 rue des Boulets 75011 PARIS</t>
  </si>
  <si>
    <t>84 rue des deux Boules 75001 PARIS</t>
  </si>
  <si>
    <t>12 place de Bitche 75019 PARIS</t>
  </si>
  <si>
    <t>2 chemin de Lanusse 31200 TOULOUSE</t>
  </si>
  <si>
    <t>1 rue Brisemiche 75004 PARIS</t>
  </si>
  <si>
    <t>75 rue de la Gerbe 69002 LYON</t>
  </si>
  <si>
    <t>45 rue de la verge d’Or 31000 TOULOUSE</t>
  </si>
  <si>
    <t>9 rue des Femmes Fraîches 71390 BUXY</t>
  </si>
  <si>
    <t>76 rue Pavée d’Andouilles 71460 SAINT-GENGOUX</t>
  </si>
  <si>
    <t>7 impasse de la Putte 97410 SAINT-PIERRE DE LA REUNION</t>
  </si>
  <si>
    <t>65 rue de Trayne-Cul 69620 OINGT</t>
  </si>
  <si>
    <t>47 rue de la Pompe 75016 PARIS</t>
  </si>
  <si>
    <t>Municipalité de Paris 11e</t>
  </si>
  <si>
    <t>BoisdeLux</t>
  </si>
  <si>
    <t>RameneTaFraise</t>
  </si>
  <si>
    <t>Agencement show room 2023</t>
  </si>
  <si>
    <t>Agencement hall Ets en mini musée</t>
  </si>
  <si>
    <t>TaPudFuite</t>
  </si>
  <si>
    <t>LaBonneBaguette</t>
  </si>
  <si>
    <t>GlesBoules</t>
  </si>
  <si>
    <t>AuPirate</t>
  </si>
  <si>
    <t>Agencement showRoom SdBs</t>
  </si>
  <si>
    <t>Agencement de la boulangerie</t>
  </si>
  <si>
    <t>Réfection de la surface de vente de confiserie</t>
  </si>
  <si>
    <t>Agencement de l'environnement de Bar</t>
  </si>
  <si>
    <t>agencement de la partie administrative de l'Ets</t>
  </si>
  <si>
    <t>Type de document généré</t>
  </si>
  <si>
    <t>"CategorieDoc"
devis
facture
plan
imgPhoto
schema
chiffrageProjet
couts
divers</t>
  </si>
  <si>
    <t>Forfait</t>
  </si>
  <si>
    <t>designationApplicableTVA</t>
  </si>
  <si>
    <t>Activités d'assistance dans les actes quotidiens de la vie des personnes âgées et handicapées.
Ces activités doivent être proposées par des organismes agréés par le préfet ou autorisés par les services du département.</t>
  </si>
  <si>
    <t>Entretien de la maison et travaux ménagers
Travaux de petit bricolage dits "hommes toutes mains"</t>
  </si>
  <si>
    <t>Activités de coordination et délivrance des services à la personne
Prestations de service non dédié au maintien à domicile
Pour que l'entreprise puisse proposer des taux réduits de TVA à ses clients, elle doit compléter son autorisation d'une déclaration enregistrée auprès de la DDETS: Réduction forfaitaire ou proportionnelle appliquée sur la base de calcul d'un impôt (revenus, valeur d'un bien, etc.) (ex-Direccte).</t>
  </si>
  <si>
    <t>Echanges Rdv
prise de cotes
reportage photos</t>
  </si>
  <si>
    <t>Etude et propositions
Description de la partie a réaliser
Enumération des fournitures</t>
  </si>
  <si>
    <t>Réalisation
Fabrication et pose des elements validés à la phase 2 
indication éventuelle date de livraison</t>
  </si>
  <si>
    <t>QPU</t>
  </si>
  <si>
    <t>Ligne prise des exigences test Forfait 1</t>
  </si>
  <si>
    <t>Ligne de la conception test Forfait1</t>
  </si>
  <si>
    <t>Ligne réalisation et indication date butoir projet test Forfait 1</t>
  </si>
  <si>
    <t>Ligne prise des exigences test QPU 1</t>
  </si>
  <si>
    <t>Ligne de la conception test QPU 1</t>
  </si>
  <si>
    <t>Ligne réalisation et indication date butoir projet test QPU 1</t>
  </si>
  <si>
    <t>Ligne prise des exigences test QPU 2</t>
  </si>
  <si>
    <t>Ligne de la conception test QPU 2</t>
  </si>
  <si>
    <t>Ligne réalisation et indication date butoir projet test QPU 2</t>
  </si>
  <si>
    <t>Ligne prise des exigences test Forfait 2</t>
  </si>
  <si>
    <t>Ligne de la conception test Forfait2</t>
  </si>
  <si>
    <t>Ligne réalisation et indication date butoir projet test Forfait 2</t>
  </si>
  <si>
    <t>Ligne prise des exigences test Forfait 3</t>
  </si>
  <si>
    <t>Ligne de la conception test Forfait3</t>
  </si>
  <si>
    <t>Ligne réalisation et indication date butoir projet test Forfait 3</t>
  </si>
  <si>
    <t>Ligne prise des exigences test Forfait 4</t>
  </si>
  <si>
    <t>Ligne de la conception test Forfait4</t>
  </si>
  <si>
    <t>Ligne réalisation et indication date butoir projet test Forfait 4</t>
  </si>
  <si>
    <t>Eva</t>
  </si>
  <si>
    <t>NOUIE</t>
  </si>
  <si>
    <t>dentiste</t>
  </si>
  <si>
    <t>32 rue des fausses dents 32323 DENCREUSE</t>
  </si>
  <si>
    <t>06.55.44.33.23</t>
  </si>
  <si>
    <t>Florentin</t>
  </si>
  <si>
    <t>TESTINALE</t>
  </si>
  <si>
    <t>docteur</t>
  </si>
  <si>
    <t>7M rue du gros colon 70000 TORBOYAUX</t>
  </si>
  <si>
    <t>07.88.99.11.22</t>
  </si>
  <si>
    <t>MedicCenter</t>
  </si>
  <si>
    <t>112 Place laisse de l'urgence 59000 LILLE</t>
  </si>
  <si>
    <t>Ligne prise des exigences test Forfait 5</t>
  </si>
  <si>
    <t>Ligne de la conception test Forfait5</t>
  </si>
  <si>
    <t>Ligne réalisation et indication date butoir projet test Forfait 5</t>
  </si>
  <si>
    <t>faire validé la présentation + avec precision clients</t>
  </si>
  <si>
    <t>rencontre client preciser projet +elaborer cahier des charges + prise de cotes + photos+etc</t>
  </si>
  <si>
    <t>fonctionnalité 1</t>
  </si>
  <si>
    <t>fonctionnalité 2</t>
  </si>
  <si>
    <t>fonctionnalité 3</t>
  </si>
  <si>
    <t>fonctionnalité 4</t>
  </si>
  <si>
    <t>fonctionnalité 5</t>
  </si>
  <si>
    <t>fonctionnalité 6</t>
  </si>
  <si>
    <t>fonctionnalité X</t>
  </si>
  <si>
    <t>deplacement</t>
  </si>
  <si>
    <t>achat des matériaux</t>
  </si>
  <si>
    <t>recruter équipe</t>
  </si>
  <si>
    <t>coordonner chaque membre</t>
  </si>
  <si>
    <t>fonctionnalité n</t>
  </si>
  <si>
    <t>livraison du projet</t>
  </si>
  <si>
    <t>Validation du DEVIS</t>
  </si>
  <si>
    <t>analyse 1 des exigence + Plans + obligations</t>
  </si>
  <si>
    <t>Vitale</t>
  </si>
  <si>
    <t>Importante</t>
  </si>
  <si>
    <t>Utile</t>
  </si>
  <si>
    <t>Confort</t>
  </si>
  <si>
    <t>Créée</t>
  </si>
  <si>
    <t>EnCours</t>
  </si>
  <si>
    <t>Atester</t>
  </si>
  <si>
    <t>Terminée</t>
  </si>
  <si>
    <t>Annulée</t>
  </si>
  <si>
    <t>Initialisation</t>
  </si>
  <si>
    <t>Analyse</t>
  </si>
  <si>
    <t>Conception</t>
  </si>
  <si>
    <t>Realisation</t>
  </si>
  <si>
    <t>Exploitation</t>
  </si>
  <si>
    <t>Analyse approfondie de Conception, fonctionnalités, maquettage, cahier des charges à valider</t>
  </si>
  <si>
    <t>création du projet (administrativement SpationauteDesign)</t>
  </si>
  <si>
    <t>15/0/2023</t>
  </si>
  <si>
    <t>affecter équipe</t>
  </si>
  <si>
    <t>ImgPhoto</t>
  </si>
  <si>
    <t>ChiffrageProj</t>
  </si>
  <si>
    <t>Divers</t>
  </si>
  <si>
    <t>isAccount</t>
  </si>
  <si>
    <t>numCatDoc</t>
  </si>
  <si>
    <t>Agencement salle municipal congrès des débranchés 2023</t>
  </si>
  <si>
    <t>Proposition commerciale du projet</t>
  </si>
  <si>
    <t>Facture d'accompte pour démarrer les travaux</t>
  </si>
  <si>
    <t>Plan de face - etc</t>
  </si>
  <si>
    <t>Plan de coté Est - etc</t>
  </si>
  <si>
    <t>Photo de projection de face</t>
  </si>
  <si>
    <t>Photo de projection de coté Est</t>
  </si>
  <si>
    <t>Photo de projection dcoté Ouest et Sud</t>
  </si>
  <si>
    <t>Schema de principe de circulation</t>
  </si>
  <si>
    <t>Relevé de Coût pour l'ameublement</t>
  </si>
  <si>
    <t>Prise des cotes et des piges</t>
  </si>
  <si>
    <t>Document de Chiffrage du projet</t>
  </si>
  <si>
    <t>Facture transmise pour autorisation d'exploitation</t>
  </si>
  <si>
    <t>Remise suite versement Acompte (facture NOMFacture30)</t>
  </si>
  <si>
    <t>Materiaux</t>
  </si>
  <si>
    <t>Charges</t>
  </si>
  <si>
    <t>Frais</t>
  </si>
  <si>
    <t>salaires</t>
  </si>
  <si>
    <t>planches + colles+ agraffes + vissseries + consommables</t>
  </si>
  <si>
    <t>electricité</t>
  </si>
  <si>
    <t>déplacement 33km (7L/100km)</t>
  </si>
  <si>
    <t>Mug (Mug kdo client flockage SD)</t>
  </si>
  <si>
    <t>nbJour</t>
  </si>
  <si>
    <t>nbJourValidite</t>
  </si>
  <si>
    <t>type (typeDev)</t>
  </si>
  <si>
    <t>nomActivitePro</t>
  </si>
  <si>
    <t>CarnetClients</t>
  </si>
  <si>
    <t>adrActivitePro</t>
  </si>
  <si>
    <t>Durée en jour où le devis reste valide</t>
  </si>
  <si>
    <t>BOOLEAN</t>
  </si>
  <si>
    <t>default = false</t>
  </si>
  <si>
    <t>La facture est-elle un Acompte ?
 Si coché alors c'est un Accompte</t>
  </si>
  <si>
    <t xml:space="preserve">INSERT INTO </t>
  </si>
  <si>
    <t>INSERT INTO PERSONNES('idPersonne', 'firstname', 'name', 'fonction', 'adress', 'tel', 'mail', 'isActivate', 'catPerson') VALUES ('2', 'Edith', 'KELHEURETIL', 'Assistante', '145 rue La Fayette 59000 LILLE', '07.06.05.04.03', 'Edith.KELHEURETIL@gmal.com', '1', 'utilisateur');</t>
  </si>
  <si>
    <t>INSERT INTO PERSONNES('idPersonne', 'firstname', 'name', 'fonction', 'adress', 'tel', 'mail', 'isActivate', 'catPerson') VALUES ('3', 'Elise', 'ETMOI', 'Maire', '174 rue du Faubourg Saint-Denis 59599 TOURQUOINT', '09.01.02.03.04', 'Elise.ETMOI@gmal.com', '1', 'client');</t>
  </si>
  <si>
    <t>INSERT INTO PERSONNES('idPersonne', 'firstname', 'name', 'fonction', 'adress', 'tel', 'mail', 'isActivate', 'catPerson') VALUES ('4', 'Frank', 'NSTEIN', 'menuisier', '44 rue d'Aboukir 59512 ROUBAIX', '06.05.06.07.08', 'Frank.NSTEIN@gmal.com', '1', 'client');</t>
  </si>
  <si>
    <t>INSERT INTO PERSONNES('idPersonne', 'firstname', 'name', 'fonction', 'adress', 'tel', 'mail', 'isActivate', 'catPerson') VALUES ('5', 'Flo', 'RISTE', 'jardinnière', '29 rue Quincampoix 59434 ', '07.12.34.56.78', 'Flo.RISTE@gmal.com', '1', 'client');</t>
  </si>
  <si>
    <t>INSERT INTO PERSONNES('idPersonne', 'firstname', 'name', 'fonction', 'adress', 'tel', 'mail', 'isActivate', 'catPerson') VALUES ('6', 'Gerard', 'MENVUSSA', 'dirigeant', '3 rue de l'aqueduc 59270 BAILLEUL', '06.98.76.54.32', 'Gerard.MENVUSSA@gmal.com', '1', 'utilisateur');</t>
  </si>
  <si>
    <t>INSERT INTO PERSONNES('idPersonne', 'firstname', 'name', 'fonction', 'adress', 'tel', 'mail', 'isActivate', 'catPerson') VALUES ('7', 'Walter', 'CLOSET', 'plombier', '54 rue des Petites Écuries 59120 LOOS', '06.11.22.33.44', 'Walter.CLOSET@gmal.com', '1', 'client');</t>
  </si>
  <si>
    <t>INSERT INTO PERSONNES('idPersonne', 'firstname', 'name', 'fonction', 'adress', 'tel', 'mail', 'isActivate', 'catPerson') VALUES ('8', 'Noah', 'DESINJAC', 'boulanger', '141 boulevard Diderot 59000 LILLE', '07.55.66.77.88', 'Noah.DESINJAC@gmal.com', '1', 'utilisateur');</t>
  </si>
  <si>
    <t>INSERT INTO PERSONNES('idPersonne', 'firstname', 'name', 'fonction', 'adress', 'tel', 'mail', 'isActivate', 'catPerson') VALUES ('9', 'Karl-Amel', 'MOU', 'confiseur', '78 rue La Condamine 59130 LAMBERSART', '06.99.88.77.66', 'Karl-Amel.MOU@gmal.com', '1', 'client');</t>
  </si>
  <si>
    <t>INSERT INTO PERSONNES('idPersonne', 'firstname', 'name', 'fonction', 'adress', 'tel', 'mail', 'isActivate', 'catPerson') VALUES ('10', 'Kentin', 'GENMILITERRE', 'barman', '49 rue des Archives 59630 LILLE', '06.55.44.33.22', 'Kentin.GENMILITERRE@gmal.com', '1', 'client');</t>
  </si>
  <si>
    <t>INSERT INTO PERSONNES('idPersonne', 'firstname', 'name', 'fonction', 'adress', 'tel', 'mail', 'isActivate', 'catPerson') VALUES ('11', 'Eva', 'NOUIE', 'dentiste', '32 rue des fausses dents 32323 DENCREUSE', '06.55.44.33.23', 'Eva.NOUIE@gmal.com', '0', 'client');</t>
  </si>
  <si>
    <t>INSERT INTO PERSONNES('idPersonne', 'firstname', 'name', 'fonction', 'adress', 'tel', 'mail', 'isActivate', 'catPerson') VALUES ('12', 'Florentin', 'TESTINALE', 'docteur', '7M rue du gros colon 70000 TORBOYAUX', '07.88.99.11.22', 'Florentin.TESTINALE@gmal.com', '1', 'client');</t>
  </si>
  <si>
    <t>(`</t>
  </si>
  <si>
    <t>`,`</t>
  </si>
  <si>
    <t>,"</t>
  </si>
  <si>
    <t>","</t>
  </si>
  <si>
    <t>",</t>
  </si>
  <si>
    <t>");</t>
  </si>
  <si>
    <t>INSERT INTO PERSONNES(`idPersonne`,`firstname`,`name`,`fonction`,`adress`,`tel`,`mail`,`isActivate`,`catPerson`) VALUES ("","Edgar","ATOI","architecte","14, chemin de Lebrun 59000 LILLE","06.55.44.33.22","Edgar.ATOI@gmal.com",1,"utilisateur");</t>
  </si>
  <si>
    <t>`) VALUES ("</t>
  </si>
  <si>
    <t>INSERT INTO PERSONNES(`firstname`,`name`,`fonction`,`adress`,`tel`,`mail`,`isActivate`,`catPerson`) VALUES ("Edgar","ATOI","architecte","14, chemin de Lebrun 59000 LILLE","06.55.44.33.22","Edgar.ATOI@gmal.com",1,"utilisateur");</t>
  </si>
  <si>
    <t>INSERT INTO PERSONNES(`firstname`,`name`,`fonction`,`adress`,`tel`,`mail`,`isActivate`,`catPerson`) VALUES ("Edith","KELHEURETIL","Assistante","145 rue La Fayette 59000 LILLE","07.06.05.04.03","Edith.KELHEURETIL@gmal.com",1,"utilisateur");</t>
  </si>
  <si>
    <t>INSERT INTO PERSONNES(`firstname`,`name`,`fonction`,`adress`,`tel`,`mail`,`isActivate`,`catPerson`) VALUES ("Elise","ETMOI","Maire","174 rue du Faubourg Saint-Denis 59599 TOURQUOINT","09.01.02.03.04","Elise.ETMOI@gmal.com",1,"client");</t>
  </si>
  <si>
    <t>INSERT INTO PERSONNES(`firstname`,`name`,`fonction`,`adress`,`tel`,`mail`,`isActivate`,`catPerson`) VALUES ("Frank","NSTEIN","menuisier","44 rue d'Aboukir 59512 ROUBAIX","06.05.06.07.08","Frank.NSTEIN@gmal.com",1,"client");</t>
  </si>
  <si>
    <t>INSERT INTO PERSONNES(`firstname`,`name`,`fonction`,`adress`,`tel`,`mail`,`isActivate`,`catPerson`) VALUES ("Flo","RISTE","jardinnière","29 rue Quincampoix 59434 ","07.12.34.56.78","Flo.RISTE@gmal.com",1,"client");</t>
  </si>
  <si>
    <t>INSERT INTO PERSONNES(`firstname`,`name`,`fonction`,`adress`,`tel`,`mail`,`isActivate`,`catPerson`) VALUES ("Gerard","MENVUSSA","dirigeant","3 rue de l'aqueduc 59270 BAILLEUL","06.98.76.54.32","Gerard.MENVUSSA@gmal.com",1,"utilisateur");</t>
  </si>
  <si>
    <t>INSERT INTO PERSONNES(`firstname`,`name`,`fonction`,`adress`,`tel`,`mail`,`isActivate`,`catPerson`) VALUES ("Walter","CLOSET","plombier","54 rue des Petites Écuries 59120 LOOS","06.11.22.33.44","Walter.CLOSET@gmal.com",1,"client");</t>
  </si>
  <si>
    <t>INSERT INTO PERSONNES(`firstname`,`name`,`fonction`,`adress`,`tel`,`mail`,`isActivate`,`catPerson`) VALUES ("Noah","DESINJAC","boulanger","141 boulevard Diderot 59000 LILLE","07.55.66.77.88","Noah.DESINJAC@gmal.com",1,"utilisateur");</t>
  </si>
  <si>
    <t>INSERT INTO PERSONNES(`firstname`,`name`,`fonction`,`adress`,`tel`,`mail`,`isActivate`,`catPerson`) VALUES ("Karl-Amel","MOU","confiseur","78 rue La Condamine 59130 LAMBERSART","06.99.88.77.66","Karl-Amel.MOU@gmal.com",1,"client");</t>
  </si>
  <si>
    <t>INSERT INTO PERSONNES(`firstname`,`name`,`fonction`,`adress`,`tel`,`mail`,`isActivate`,`catPerson`) VALUES ("Kentin","GENMILITERRE","barman","49 rue des Archives 59630 LILLE","06.55.44.33.22","Kentin.GENMILITERRE@gmal.com",1,"client");</t>
  </si>
  <si>
    <t>INSERT INTO PERSONNES(`firstname`,`name`,`fonction`,`adress`,`tel`,`mail`,`isActivate`,`catPerson`) VALUES ("Eva","NOUIE","dentiste","32 rue des fausses dents 32323 DENCREUSE","06.55.44.33.23","Eva.NOUIE@gmal.com",0,"client");</t>
  </si>
  <si>
    <t>INSERT INTO PERSONNES(`firstname`,`name`,`fonction`,`adress`,`tel`,`mail`,`isActivate`,`catPerson`) VALUES ("Florentin","TESTINALE","docteur","7M rue du gros colon 70000 TORBOYAUX","07.88.99.11.22","Florentin.TESTINALE@gmal.com",1,"client");</t>
  </si>
  <si>
    <t>INSERT INTO UTILISATEURS(`login`,`psw`) VALUES ("Edg","pass1");</t>
  </si>
  <si>
    <t>INSERT INTO UTILISATEURS(`login`,`psw`) VALUES ("Edi","pass2");</t>
  </si>
  <si>
    <t>INSERT INTO UTILISATEURS(`login`,`psw`) VALUES ("Ger","pass3");</t>
  </si>
  <si>
    <t/>
  </si>
  <si>
    <t>CLIENTS</t>
  </si>
  <si>
    <t>NULL</t>
  </si>
  <si>
    <t>select catPerson case when catPerson = "utilisateur" then (select max(idPersonneUtilisateur)from utilisateurs) then (select max(idPersonneClient)from clients)</t>
  </si>
  <si>
    <t>pass4</t>
  </si>
  <si>
    <t>mixPersonneUtilisateur</t>
  </si>
  <si>
    <t>INSERT INTO CLIENTS(`isPro`,`numSiret`,`numTVAIntracom`,`codeAPE`,`nomActivitePro`,`adrActivitePro`,`idPersonne`,`idPersonneClient`,`idPersonneUtilisateur`) VALUES ("1","1234567891254680","FR1234567891254680","7410X","Municipalité de Paris 11e","133 rue des Boulets 75011 PARIS","3",NULL,"1");</t>
  </si>
  <si>
    <t>INSERT INTO CLIENTS(`isPro`,`numSiret`,`numTVAIntracom`,`codeAPE`,`nomActivitePro`,`adrActivitePro`,`idPersonne`,`idPersonneClient`,`idPersonneUtilisateur`) VALUES ("1","9865567891254680","FR9865567891254680","6542C","BoisdeLux","75 rue de la Gerbe 69002 LYON","4",NULL,"1");</t>
  </si>
  <si>
    <t>INSERT INTO CLIENTS(`isPro`,`numSiret`,`numTVAIntracom`,`codeAPE`,`nomActivitePro`,`adrActivitePro`,`idPersonne`,`idPersonneClient`,`idPersonneUtilisateur`) VALUES ("1","5462387891254680","FR5462387891254680","5648Z","RameneTaFraise","2D rue Gratte-cul 75002 PARIS","5",NULL,"2");</t>
  </si>
  <si>
    <t>INSERT INTO CLIENTS(`isPro`,`numSiret`,`numTVAIntracom`,`codeAPE`,`nomActivitePro`,`adrActivitePro`,`idPersonne`,`idPersonneClient`,`idPersonneUtilisateur`) VALUES ("1","7652367891254680","FR7652367891254680","7410X","TaPudFuite","1 rue Brisemiche 75004 PARIS","7",NULL,"1");</t>
  </si>
  <si>
    <t>INSERT INTO CLIENTS(`isPro`,`numSiret`,`numTVAIntracom`,`codeAPE`,`nomActivitePro`,`adrActivitePro`,`idPersonne`,`idPersonneClient`,`idPersonneUtilisateur`) VALUES ("1","3568467891254680","FR3568467891254680","6541E","LaBonneBaguette","84 rue des deux Boules 75001 PARIS","8",NULL,"1");</t>
  </si>
  <si>
    <t>INSERT INTO CLIENTS(`isPro`,`numSiret`,`numTVAIntracom`,`codeAPE`,`nomActivitePro`,`adrActivitePro`,`idPersonne`,`idPersonneClient`,`idPersonneUtilisateur`) VALUES ("1","3568467891254680","FR3568467891254680","6541E","GlesBoules","76 rue Pavée d’Andouilles 71460 SAINT-GENGOUX","9",NULL,"2");</t>
  </si>
  <si>
    <t>INSERT INTO CLIENTS(`isPro`,`numSiret`,`numTVAIntracom`,`codeAPE`,`nomActivitePro`,`adrActivitePro`,`idPersonne`,`idPersonneClient`,`idPersonneUtilisateur`) VALUES ("1","3568467891254680","FR3568467891254680","6541E","AuPirate","47 rue de la Pompe 75016 PARIS","10",NULL,"1");</t>
  </si>
  <si>
    <t>INSERT INTO CLIENTS(`isPro`,`numSiret`,`numTVAIntracom`,`codeAPE`,`nomActivitePro`,`adrActivitePro`,`idPersonne`,`idPersonneClient`,`idPersonneUtilisateur`) VALUES ("1","","0","0","MedicCenter","112 Place laisse de l'urgence 59000 LILLE","12",NULL,"1");</t>
  </si>
  <si>
    <t>INSERT INTO GENERATEUR(idDeGeneration, dateGenerationDoc, catDoc) VALUES (1, 44900, Devis);</t>
  </si>
  <si>
    <t>INSERT INTO GENERATEUR(idDeGeneration, dateGenerationDoc, catDoc) VALUES (2, 44915, Devis);</t>
  </si>
  <si>
    <t>INSERT INTO GENERATEUR(idDeGeneration, dateGenerationDoc, catDoc) VALUES (3, 44905, Facture);</t>
  </si>
  <si>
    <t>INSERT INTO GENERATEUR(idDeGeneration, dateGenerationDoc, catDoc) VALUES (4, 44928, Facture);</t>
  </si>
  <si>
    <t>INSERT INTO GENERATEUR(idDeGeneration, dateGenerationDoc, catDoc) VALUES (5, 44936, Devis);</t>
  </si>
  <si>
    <t>INSERT INTO GENERATEUR(idDeGeneration, dateGenerationDoc, catDoc) VALUES (6, 44943, Facture);</t>
  </si>
  <si>
    <t>INSERT INTO GENERATEUR(idDeGeneration, dateGenerationDoc, catDoc) VALUES (7, 44946, Facture);</t>
  </si>
  <si>
    <t>INSERT INTO GENERATEUR(idDeGeneration, dateGenerationDoc, catDoc) VALUES (8, 44956, Devis);</t>
  </si>
  <si>
    <t>INSERT INTO GENERATEUR(idDeGeneration, dateGenerationDoc, catDoc) VALUES (9, 44960, Facture);</t>
  </si>
  <si>
    <t>INSERT INTO GENERATEUR(idDeGeneration, dateGenerationDoc, catDoc) VALUES (10, 44972, Facture);</t>
  </si>
  <si>
    <t>INSERT INTO GENERATEUR(idDeGeneration, dateGenerationDoc, catDoc) VALUES (11, 44972, Devis);</t>
  </si>
  <si>
    <t>INSERT INTO GENERATEUR(idDeGeneration, dateGenerationDoc, catDoc) VALUES (12, 44981, Facture);</t>
  </si>
  <si>
    <t>INSERT INTO GENERATEUR(idDeGeneration, dateGenerationDoc, catDoc) VALUES (13, 44983, Facture);</t>
  </si>
  <si>
    <t>INSERT INTO GENERATEUR(idDeGeneration, dateGenerationDoc, catDoc) VALUES (14, 44990, Devis);</t>
  </si>
  <si>
    <t>INSERT INTO GENERATEUR(idDeGeneration, dateGenerationDoc, catDoc) VALUES (15, 44995, Facture);</t>
  </si>
  <si>
    <t>INSERT INTO GENERATEUR(idDeGeneration, dateGenerationDoc, catDoc) VALUES (16, 44997, Facture);</t>
  </si>
  <si>
    <t>INSERT INTO GENERATEUR(idDeGeneration, dateGenerationDoc, catDoc) VALUES (17, 45020, Facture);</t>
  </si>
  <si>
    <t>INSERT INTO GENERATEUR(idDeGeneration, dateGenerationDoc, catDoc) VALUES (18, 45021, Devis);</t>
  </si>
  <si>
    <t>INSERT INTO GENERATEUR(idDeGeneration, dateGenerationDoc, catDoc) VALUES (19, 45031, Facture);</t>
  </si>
  <si>
    <t>INSERT INTO GENERATEUR(idDeGeneration, dateGenerationDoc, catDoc) VALUES (20, 45044, Facture);</t>
  </si>
  <si>
    <t>INSERT INTO GENERATEUR(idDeGeneration, dateGenerationDoc, catDoc) VALUES (21, 45061, Devis);</t>
  </si>
  <si>
    <t>INSERT INTO GENERATEUR(idDeGeneration, dateGenerationDoc, catDoc) VALUES (22, 45071, Facture);</t>
  </si>
  <si>
    <t>INSERT INTO GENERATEUR(idDeGeneration, dateGenerationDoc, catDoc) VALUES (23, 45062, Devis);</t>
  </si>
  <si>
    <t>DATE_FORMAT("&amp;bc37&amp;", "%d/%m/%Y")</t>
  </si>
  <si>
    <t>INSERT INTO GENERATEUR(idDeGeneration, dateGenerationDoc, catDoc) VALUES (1,44900,Devis,");</t>
  </si>
  <si>
    <t>`) VALUES (</t>
  </si>
  <si>
    <t>INSERT INTO GENERATEUR(`idDeGeneration`,`dateGenerationDoc`,`catDoc`) VALUES (NULL,"2022/12/5","Devis");</t>
  </si>
  <si>
    <t>INSERT INTO GENERATEUR(`idDeGeneration`,`dateGenerationDoc`,`catDoc`) VALUES (NULL,"2022/12/20","Devis");</t>
  </si>
  <si>
    <t>INSERT INTO GENERATEUR(`idDeGeneration`,`dateGenerationDoc`,`catDoc`) VALUES (NULL,"2022/12/10","Facture");</t>
  </si>
  <si>
    <t>INSERT INTO GENERATEUR(`idDeGeneration`,`dateGenerationDoc`,`catDoc`) VALUES (NULL,"2023/1/2","Facture");</t>
  </si>
  <si>
    <t>INSERT INTO GENERATEUR(`idDeGeneration`,`dateGenerationDoc`,`catDoc`) VALUES (NULL,"2023/1/10","Devis");</t>
  </si>
  <si>
    <t>INSERT INTO GENERATEUR(`idDeGeneration`,`dateGenerationDoc`,`catDoc`) VALUES (NULL,"2023/1/17","Facture");</t>
  </si>
  <si>
    <t>INSERT INTO GENERATEUR(`idDeGeneration`,`dateGenerationDoc`,`catDoc`) VALUES (NULL,"2023/1/20","Facture");</t>
  </si>
  <si>
    <t>INSERT INTO GENERATEUR(`idDeGeneration`,`dateGenerationDoc`,`catDoc`) VALUES (NULL,"2023/1/30","Devis");</t>
  </si>
  <si>
    <t>INSERT INTO GENERATEUR(`idDeGeneration`,`dateGenerationDoc`,`catDoc`) VALUES (NULL,"2023/2/3","Facture");</t>
  </si>
  <si>
    <t>INSERT INTO GENERATEUR(`idDeGeneration`,`dateGenerationDoc`,`catDoc`) VALUES (NULL,"2023/2/15","Facture");</t>
  </si>
  <si>
    <t>INSERT INTO GENERATEUR(`idDeGeneration`,`dateGenerationDoc`,`catDoc`) VALUES (NULL,"2023/2/15","Devis");</t>
  </si>
  <si>
    <t>INSERT INTO GENERATEUR(`idDeGeneration`,`dateGenerationDoc`,`catDoc`) VALUES (NULL,"2023/2/24","Facture");</t>
  </si>
  <si>
    <t>INSERT INTO GENERATEUR(`idDeGeneration`,`dateGenerationDoc`,`catDoc`) VALUES (NULL,"2023/2/26","Facture");</t>
  </si>
  <si>
    <t>INSERT INTO GENERATEUR(`idDeGeneration`,`dateGenerationDoc`,`catDoc`) VALUES (NULL,"2023/3/5","Devis");</t>
  </si>
  <si>
    <t>INSERT INTO GENERATEUR(`idDeGeneration`,`dateGenerationDoc`,`catDoc`) VALUES (NULL,"2023/3/10","Facture");</t>
  </si>
  <si>
    <t>INSERT INTO GENERATEUR(`idDeGeneration`,`dateGenerationDoc`,`catDoc`) VALUES (NULL,"2023/3/12","Facture");</t>
  </si>
  <si>
    <t>INSERT INTO GENERATEUR(`idDeGeneration`,`dateGenerationDoc`,`catDoc`) VALUES (NULL,"2023/4/4","Facture");</t>
  </si>
  <si>
    <t>INSERT INTO GENERATEUR(`idDeGeneration`,`dateGenerationDoc`,`catDoc`) VALUES (NULL,"2023/4/5","Devis");</t>
  </si>
  <si>
    <t>INSERT INTO GENERATEUR(`idDeGeneration`,`dateGenerationDoc`,`catDoc`) VALUES (NULL,"2023/4/15","Facture");</t>
  </si>
  <si>
    <t>INSERT INTO GENERATEUR(`idDeGeneration`,`dateGenerationDoc`,`catDoc`) VALUES (NULL,"2023/4/28","Facture");</t>
  </si>
  <si>
    <t>INSERT INTO GENERATEUR(`idDeGeneration`,`dateGenerationDoc`,`catDoc`) VALUES (NULL,"2023/5/15","Devis");</t>
  </si>
  <si>
    <t>INSERT INTO GENERATEUR(`idDeGeneration`,`dateGenerationDoc`,`catDoc`) VALUES (NULL,"2023/5/25","Facture");</t>
  </si>
  <si>
    <t>INSERT INTO GENERATEUR(`idDeGeneration`,`dateGenerationDoc`,`catDoc`) VALUES (NULL,"2023/5/16","Devis");</t>
  </si>
  <si>
    <t>,</t>
  </si>
  <si>
    <t>);</t>
  </si>
  <si>
    <t>INSERT INTO TVA(`idTVA`,`tauxTVA`) VALUES (1,20);</t>
  </si>
  <si>
    <t>INSERT INTO TVA(`idTVA`,`tauxTVA`) VALUES (2,5,5);</t>
  </si>
  <si>
    <t>INSERT INTO TVA(`idTVA`,`tauxTVA`) VALUES (3,10);</t>
  </si>
  <si>
    <t>type</t>
  </si>
  <si>
    <t>nbJourValidity</t>
  </si>
  <si>
    <t>INSERT INTO DEVIS(`idDevis`,`numDev`,`nbJourValidity`,`nameDev`,`dateValidationDev`,`type`,`totalHTDev`,`idDeGeneration`,`idPersonne`,`idPersonneClient`,`idTVA`) VALUES (NULL,"DEV20221205MUNICIPALITÉDEPARIS11E-1",30,"DESIGN COMMUNAL ROOM CONGRESS - MUNICIPALITÉ DE PARIS 11E","2023/12/10","Forfait",6000,1,3,"",1);</t>
  </si>
  <si>
    <t>INSERT INTO DEVIS(`idDevis`,`numDev`,`nbJourValidity`,`nameDev`,`dateValidationDev`,`type`,`totalHTDev`,`idDeGeneration`,`idPersonne`,`idPersonneClient`,`idTVA`) VALUES (NULL,"DEV20221220BOISDELUX-2",30,"DESIGN HALL LIKE MUSEUM- BOISDELUX","2023/1/2","QPU",6500,2,4,"",1);</t>
  </si>
  <si>
    <t>INSERT INTO DEVIS(`idDevis`,`numDev`,`nbJourValidity`,`nameDev`,`dateValidationDev`,`type`,`totalHTDev`,`idDeGeneration`,`idPersonne`,`idPersonneClient`,`idTVA`) VALUES (NULL,"DEV20230110RAMENETAFRAISE-3",30,"DESIGN SHOW ROOM - RAMENETAFRAISE","2023/1/20","QPU",6300,5,5,"",1);</t>
  </si>
  <si>
    <t>INSERT INTO DEVIS(`idDevis`,`numDev`,`nbJourValidity`,`nameDev`,`dateValidationDev`,`type`,`totalHTDev`,`idDeGeneration`,`idPersonne`,`idPersonneClient`,`idTVA`) VALUES (NULL,"DEV20230130TAPUDFUITE-4",30,"DESIGN SHOW ROOM SDBS - TAPUDFUITE","2023/2/15","QPU",12100,8,7,"",1);</t>
  </si>
  <si>
    <t>INSERT INTO DEVIS(`idDevis`,`numDev`,`nbJourValidity`,`nameDev`,`dateValidationDev`,`type`,`totalHTDev`,`idDeGeneration`,`idPersonne`,`idPersonneClient`,`idTVA`) VALUES (NULL,"DEV20230215LABONNEBAGUETTE-5",30,"DESIGN PROFESSIONAL BAKER ROOM - LABONNEBAGUETTE","2023/2/26","Forfait",6300,11,8,"",1);</t>
  </si>
  <si>
    <t>INSERT INTO DEVIS(`idDevis`,`numDev`,`nbJourValidity`,`nameDev`,`dateValidationDev`,`type`,`totalHTDev`,`idDeGeneration`,`idPersonne`,`idPersonneClient`,`idTVA`) VALUES (NULL,"DEV20230305GLESBOULES-6",30,"DESIGN SWEETY ROOM - GLESBOULES","2023/3/12","Forfait",6000,14,9,"",1);</t>
  </si>
  <si>
    <t>INSERT INTO DEVIS(`idDevis`,`numDev`,`nbJourValidity`,`nameDev`,`dateValidationDev`,`type`,`totalHTDev`,`idDeGeneration`,`idPersonne`,`idPersonneClient`,`idTVA`) VALUES (NULL,"DEV20230405AUPIRATE-7",30,"DESIGN BAR'S PIRATE - AUPIRATE","2023/4/15","Forfait",7100,18,10,"",1);</t>
  </si>
  <si>
    <t>INSERT INTO DEVIS(`idDevis`,`numDev`,`nbJourValidity`,`nameDev`,`dateValidationDev`,`type`,`totalHTDev`,`idDeGeneration`,`idPersonne`,`idPersonneClient`,`idTVA`) VALUES (NULL,"DEV20230515BOISDELUX-8",30,"DESIGN PART OF ADMINISTRATIVE SPACE - BOISDELUX","2023/5/25","Forfait",7500,21,4,"",1);</t>
  </si>
  <si>
    <t>INSERT INTO DEVIS(`idDevis`,`numDev`,`nbJourValidity`,`nameDev`,`dateValidationDev`,`type`,`totalHTDev`,`idDeGeneration`,`idPersonne`,`idPersonneClient`,`idTVA`) VALUES (NULL,"DEV20230516MEDICCENTER-9",30,"DESIGN MEDIC AGENCY SPACE - MEDICCENTER","","Forfait",14300,23,12,"",1);</t>
  </si>
  <si>
    <t>INSERT INTO LIGDEVFORFAIT(`idLigDevForfait`,`numLigDevForfait`,`designationLigDevForfait`,`montantLigDevForfait`,`idDevis`) VALUES (4,1,"Ligne prise des exigences test Forfait 1",400,5);</t>
  </si>
  <si>
    <t>INSERT INTO LIGDEVFORFAIT(`idLigDevForfait`,`numLigDevForfait`,`designationLigDevForfait`,`montantLigDevForfait`,`idDevis`) VALUES (5,2,"Ligne de la conception test Forfait1",2300,5);</t>
  </si>
  <si>
    <t>INSERT INTO LIGDEVFORFAIT(`idLigDevForfait`,`numLigDevForfait`,`designationLigDevForfait`,`montantLigDevForfait`,`idDevis`) VALUES (6,3,"Ligne réalisation et indication date butoir projet test Forfait 1",3600,5);</t>
  </si>
  <si>
    <t>INSERT INTO LIGDEVFORFAIT(`idLigDevForfait`,`numLigDevForfait`,`designationLigDevForfait`,`montantLigDevForfait`,`idDevis`) VALUES (7,1,"Ligne prise des exigences test Forfait 2",500,6);</t>
  </si>
  <si>
    <t>INSERT INTO LIGDEVFORFAIT(`idLigDevForfait`,`numLigDevForfait`,`designationLigDevForfait`,`montantLigDevForfait`,`idDevis`) VALUES (8,2,"Ligne de la conception test Forfait2",2500,6);</t>
  </si>
  <si>
    <t>INSERT INTO LIGDEVFORFAIT(`idLigDevForfait`,`numLigDevForfait`,`designationLigDevForfait`,`montantLigDevForfait`,`idDevis`) VALUES (9,3,"Ligne réalisation et indication date butoir projet test Forfait 2",3000,6);</t>
  </si>
  <si>
    <t>INSERT INTO LIGDEVFORFAIT(`idLigDevForfait`,`numLigDevForfait`,`designationLigDevForfait`,`montantLigDevForfait`,`idDevis`) VALUES (10,1,"Ligne prise des exigences test Forfait 3",300,7);</t>
  </si>
  <si>
    <t>INSERT INTO LIGDEVFORFAIT(`idLigDevForfait`,`numLigDevForfait`,`designationLigDevForfait`,`montantLigDevForfait`,`idDevis`) VALUES (11,2,"Ligne de la conception test Forfait3",2600,7);</t>
  </si>
  <si>
    <t>INSERT INTO LIGDEVFORFAIT(`idLigDevForfait`,`numLigDevForfait`,`designationLigDevForfait`,`montantLigDevForfait`,`idDevis`) VALUES (12,3,"Ligne réalisation et indication date butoir projet test Forfait 3",4200,7);</t>
  </si>
  <si>
    <t>INSERT INTO LIGDEVFORFAIT(`idLigDevForfait`,`numLigDevForfait`,`designationLigDevForfait`,`montantLigDevForfait`,`idDevis`) VALUES (13,1,"Ligne prise des exigences test Forfait 4",500,8);</t>
  </si>
  <si>
    <t>INSERT INTO LIGDEVFORFAIT(`idLigDevForfait`,`numLigDevForfait`,`designationLigDevForfait`,`montantLigDevForfait`,`idDevis`) VALUES (14,2,"Ligne de la conception test Forfait4",3000,8);</t>
  </si>
  <si>
    <t>INSERT INTO LIGDEVFORFAIT(`idLigDevForfait`,`numLigDevForfait`,`designationLigDevForfait`,`montantLigDevForfait`,`idDevis`) VALUES (15,3,"Ligne réalisation et indication date butoir projet test Forfait 4",4000,8);</t>
  </si>
  <si>
    <t>INSERT INTO LIGDEVFORFAIT(`idLigDevForfait`,`numLigDevForfait`,`designationLigDevForfait`,`montantLigDevForfait`,`idDevis`) VALUES (16,1,"Ligne prise des exigences test Forfait 5",800,9);</t>
  </si>
  <si>
    <t>INSERT INTO LIGDEVFORFAIT(`idLigDevForfait`,`numLigDevForfait`,`designationLigDevForfait`,`montantLigDevForfait`,`idDevis`) VALUES (17,2,"Ligne de la conception test Forfait5",5200,9);</t>
  </si>
  <si>
    <t>INSERT INTO LIGDEVFORFAIT(`idLigDevForfait`,`numLigDevForfait`,`designationLigDevForfait`,`montantLigDevForfait`,`idDevis`) VALUES (18,3,"Ligne réalisation et indication date butoir projet test Forfait 5",8300,9);</t>
  </si>
  <si>
    <t>Echanges Rdv, prise de cotes, reportage photos</t>
  </si>
  <si>
    <t>Etude et propositions, Description de la partie a réaliser, Enumération des fournitures</t>
  </si>
  <si>
    <t>Réalisation, Fabrication et pose des elements validés à la phase 2, indication éventuelle date de livraison</t>
  </si>
  <si>
    <t>INSERT INTO LIGDEVFORFAIT(`idLigDevForfait`,`numLigDevForfait`,`designationLigDevForfait`,`montantLigDevForfait`,`idDevis`) VALUES (1,1,"Echanges Rdv, prise de cotes, reportage photos",300,1);</t>
  </si>
  <si>
    <t>INSERT INTO LIGDEVFORFAIT(`idLigDevForfait`,`numLigDevForfait`,`designationLigDevForfait`,`montantLigDevForfait`,`idDevis`) VALUES (2,2,"Etude et propositions, Description de la partie a réaliser, Enumération des fournitures",2200,1);</t>
  </si>
  <si>
    <t>INSERT INTO LIGDEVFORFAIT(`idLigDevForfait`,`numLigDevForfait`,`designationLigDevForfait`,`montantLigDevForfait`,`idDevis`) VALUES (3,3,"Réalisation, Fabrication et pose des elements validés à la phase 2, indication éventuelle date de livraison",3500,1);</t>
  </si>
  <si>
    <t>INSERT INTO DEVIS(`idDevis`,`numDev`,`nbJourValidity`,`nameDev`,`dateValidationDev`,`type`,`totalHTDev`,`idPersonne`,`idPersonneClient`,`idTVA`,`idDeGeneration`) VALUES (NULL,"DEV20221205MUNICIPALITÉDEPARIS11E-1",30,"DESIGN COMMUNAL ROOM CONGRESS - MUNICIPALITÉ DE PARIS 11E","2023/12/10","Forfait",6000,3,1,1,1);</t>
  </si>
  <si>
    <t>INSERT INTO DEVIS(`idDevis`,`numDev`,`nbJourValidity`,`nameDev`,`dateValidationDev`,`type`,`totalHTDev`,`idPersonne`,`idPersonneClient`,`idTVA`,`idDeGeneration`) VALUES (NULL,"DEV20221220BOISDELUX-2",30,"DESIGN HALL LIKE MUSEUM- BOISDELUX","2023/1/2","QPU",6500,4,2,1,2);</t>
  </si>
  <si>
    <t>INSERT INTO DEVIS(`idDevis`,`numDev`,`nbJourValidity`,`nameDev`,`dateValidationDev`,`type`,`totalHTDev`,`idPersonne`,`idPersonneClient`,`idTVA`,`idDeGeneration`) VALUES (NULL,"DEV20230110RAMENETAFRAISE-3",30,"DESIGN SHOW ROOM - RAMENETAFRAISE","2023/1/20","QPU",6300,5,3,1,5);</t>
  </si>
  <si>
    <t>INSERT INTO DEVIS(`idDevis`,`numDev`,`nbJourValidity`,`nameDev`,`dateValidationDev`,`type`,`totalHTDev`,`idPersonne`,`idPersonneClient`,`idTVA`,`idDeGeneration`) VALUES (NULL,"DEV20230130TAPUDFUITE-4",30,"DESIGN SHOW ROOM SDBS - TAPUDFUITE","2023/2/15","QPU",12100,7,4,1,8);</t>
  </si>
  <si>
    <t>INSERT INTO DEVIS(`idDevis`,`numDev`,`nbJourValidity`,`nameDev`,`dateValidationDev`,`type`,`totalHTDev`,`idPersonne`,`idPersonneClient`,`idTVA`,`idDeGeneration`) VALUES (NULL,"DEV20230215LABONNEBAGUETTE-5",30,"DESIGN PROFESSIONAL BAKER ROOM - LABONNEBAGUETTE","2023/2/26","Forfait",6300,8,5,1,11);</t>
  </si>
  <si>
    <t>INSERT INTO DEVIS(`idDevis`,`numDev`,`nbJourValidity`,`nameDev`,`dateValidationDev`,`type`,`totalHTDev`,`idPersonne`,`idPersonneClient`,`idTVA`,`idDeGeneration`) VALUES (NULL,"DEV20230305GLESBOULES-6",30,"DESIGN SWEETY ROOM - GLESBOULES","2023/3/12","Forfait",6000,9,6,1,14);</t>
  </si>
  <si>
    <t>INSERT INTO DEVIS(`idDevis`,`numDev`,`nbJourValidity`,`nameDev`,`dateValidationDev`,`type`,`totalHTDev`,`idPersonne`,`idPersonneClient`,`idTVA`,`idDeGeneration`) VALUES (NULL,"DEV20230405AUPIRATE-7",30,"DESIGN BAR'S PIRATE - AUPIRATE","2023/4/15","Forfait",7100,10,7,1,18);</t>
  </si>
  <si>
    <t>INSERT INTO DEVIS(`idDevis`,`numDev`,`nbJourValidity`,`nameDev`,`dateValidationDev`,`type`,`totalHTDev`,`idPersonne`,`idPersonneClient`,`idTVA`,`idDeGeneration`) VALUES (NULL,"DEV20230515BOISDELUX-8",30,"DESIGN PART OF ADMINISTRATIVE SPACE - BOISDELUX","2023/5/25","Forfait",7500,4,2,1,21);</t>
  </si>
  <si>
    <t>INSERT INTO DEVIS(`idDevis`,`numDev`,`nbJourValidity`,`nameDev`,`dateValidationDev`,`type`,`totalHTDev`,`idPersonne`,`idPersonneClient`,`idTVA`,`idDeGeneration`) VALUES (NULL,"DEV20230516MEDICCENTER-9",30,"DESIGN MEDIC AGENCY SPACE - MEDICCENTER","2023/6/12","Forfait",14300,12,8,1,23);</t>
  </si>
  <si>
    <t>INSERT INTO LIGDEV QPU(`idLigDevQPU`,`numLigDevQPU`,`designationLigDevQPU`,`qLigDevQPU`,`montantLigDevQPU`,`idDevis`) VALUES (4,1,"Ligne prise des exigences test QPU 1",4,100,3);</t>
  </si>
  <si>
    <t>INSERT INTO LIGDEV QPU(`idLigDevQPU`,`numLigDevQPU`,`designationLigDevQPU`,`qLigDevQPU`,`montantLigDevQPU`,`idDevis`) VALUES (5,2,"Ligne de la conception test QPU 1",2,1150,3);</t>
  </si>
  <si>
    <t>INSERT INTO LIGDEV QPU(`idLigDevQPU`,`numLigDevQPU`,`designationLigDevQPU`,`qLigDevQPU`,`montantLigDevQPU`,`idDevis`) VALUES (6,3,"Ligne réalisation et indication date butoir projet test QPU 1",3,1200,3);</t>
  </si>
  <si>
    <t>INSERT INTO LIGDEV QPU(`idLigDevQPU`,`numLigDevQPU`,`designationLigDevQPU`,`qLigDevQPU`,`montantLigDevQPU`,`idDevis`) VALUES (7,1,"Ligne prise des exigences test QPU 2",5,100,4);</t>
  </si>
  <si>
    <t>INSERT INTO LIGDEV QPU(`idLigDevQPU`,`numLigDevQPU`,`designationLigDevQPU`,`qLigDevQPU`,`montantLigDevQPU`,`idDevis`) VALUES (8,2,"Ligne de la conception test QPU 2",6,1100,4);</t>
  </si>
  <si>
    <t>INSERT INTO LIGDEV QPU(`idLigDevQPU`,`numLigDevQPU`,`designationLigDevQPU`,`qLigDevQPU`,`montantLigDevQPU`,`idDevis`) VALUES (9,3,"Ligne réalisation et indication date butoir projet test QPU 2",6,1000,4);</t>
  </si>
  <si>
    <t>INSERT INTO LIGDEV QPU(`idLigDevQPU`,`numLigDevQPU`,`designationLigDevQPU`,`qLigDevQPU`,`montantLigDevQPU`,`idDevis`) VALUES (1,1,"Echanges Rdv, prise de cotes, reportage photos",3,100,2);</t>
  </si>
  <si>
    <t>Réalisation, Fabrication et pose des elements validés à la phase 2 , indication éventuelle date de livraison</t>
  </si>
  <si>
    <t>INSERT INTO LIGDEV QPU(`idLigDevQPU`,`numLigDevQPU`,`designationLigDevQPU`,`qLigDevQPU`,`montantLigDevQPU`,`idDevis`) VALUES (2,2,"Etude et propositions, Description de la partie a réaliser, Enumération des fournitures",2,1100,2);</t>
  </si>
  <si>
    <t>INSERT INTO LIGDEV QPU(`idLigDevQPU`,`numLigDevQPU`,`designationLigDevQPU`,`qLigDevQPU`,`montantLigDevQPU`,`idDevis`) VALUES (3,3,"Réalisation, Fabrication et pose des elements validés à la phase 2 , indication éventuelle date de livraison",4,1000,2);</t>
  </si>
  <si>
    <t>LIGDEVQPU</t>
  </si>
  <si>
    <t>f</t>
  </si>
  <si>
    <t>INSERT INTO PROJETS(`idProjet`,`numProj`,`nameProj`,`descriptionProj`,`dateStartProj`,`dateEndThProj`,`dateEndRealProj`,`placeProj`,`stateAdvancementProj`,`CAProjet`,`idDevis`,`idPersonne`,`idPersonneUtilisateur`) VALUES (1,"Municipalité de Paris 11e - Proj231","Municipalité de Paris 11e","Agencement salle municipal congrès des débranchés 2023","2023/01/02","2023/01/17","2023/01/17","0","0",6000,1,1,1);</t>
  </si>
  <si>
    <t>INSERT INTO PROJETS(`idProjet`,`numProj`,`nameProj`,`descriptionProj`,`dateStartProj`,`dateEndThProj`,`dateEndRealProj`,`placeProj`,`stateAdvancementProj`,`CAProjet`,`idDevis`,`idPersonne`,`idPersonneUtilisateur`) VALUES (2,"BoisdeLux - Proj232","BoisdeLux","Agencement hall Ets en mini musée","2023/01/16","2023/02/03","2023/02/03","0","0",6500,2,1,1);</t>
  </si>
  <si>
    <t>INSERT INTO PROJETS(`idProjet`,`numProj`,`nameProj`,`descriptionProj`,`dateStartProj`,`dateEndThProj`,`dateEndRealProj`,`placeProj`,`stateAdvancementProj`,`CAProjet`,`idDevis`,`idPersonne`,`idPersonneUtilisateur`) VALUES (3,"RameneTaFraise - Proj233","RameneTaFraise","Agencement show room 2023","2023/02/06","2023/02/24","2023/02/24","0","0",6300,3,1,1);</t>
  </si>
  <si>
    <t>INSERT INTO PROJETS(`idProjet`,`numProj`,`nameProj`,`descriptionProj`,`dateStartProj`,`dateEndThProj`,`dateEndRealProj`,`placeProj`,`stateAdvancementProj`,`CAProjet`,`idDevis`,`idPersonne`,`idPersonneUtilisateur`) VALUES (4,"TaPudFuite - Proj234","TaPudFuite","Agencement showRoom SdBs","2023/02/27","2023/03/10","2023/03/10","0","0",12100,4,1,1);</t>
  </si>
  <si>
    <t>INSERT INTO PROJETS(`idProjet`,`numProj`,`nameProj`,`descriptionProj`,`dateStartProj`,`dateEndThProj`,`dateEndRealProj`,`placeProj`,`stateAdvancementProj`,`CAProjet`,`idDevis`,`idPersonne`,`idPersonneUtilisateur`) VALUES (5,"LaBonneBaguette - Proj235","LaBonneBaguette","Agencement de la boulangerie","2023/03/13","2023/03/31","2023/04/04","0","0",6300,5,1,1);</t>
  </si>
  <si>
    <t>INSERT INTO PROJETS(`idProjet`,`numProj`,`nameProj`,`descriptionProj`,`dateStartProj`,`dateEndThProj`,`dateEndRealProj`,`placeProj`,`stateAdvancementProj`,`CAProjet`,`idDevis`,`idPersonne`,`idPersonneUtilisateur`) VALUES (6,"GlesBoules - Proj236","GlesBoules","Réfection de la surface de vente de confiserie","2023/04/03","2023/04/28","","0","0",6000,6,1,1);</t>
  </si>
  <si>
    <t>INSERT INTO PROJETS(`idProjet`,`numProj`,`nameProj`,`descriptionProj`,`dateStartProj`,`dateEndThProj`,`dateEndRealProj`,`placeProj`,`stateAdvancementProj`,`CAProjet`,`idDevis`,`idPersonne`,`idPersonneUtilisateur`) VALUES (7,"AuPirate - Proj237","AuPirate","Agencement de l'environnement de Bar","2023/05/02","","","0","0",7100,7,1,1);</t>
  </si>
  <si>
    <t>INSERT INTO PROJETS(`idProjet`,`numProj`,`nameProj`,`descriptionProj`,`dateStartProj`,`dateEndThProj`,`dateEndRealProj`,`placeProj`,`stateAdvancementProj`,`CAProjet`,`idDevis`,`idPersonne`,`idPersonneUtilisateur`) VALUES (8,"BoisdeLux - Proj238","BoisdeLux","agencement de la partie administrative de l'Ets","2023/06/12","","","0","0",7500,8,1,1);</t>
  </si>
  <si>
    <t>CAProj</t>
  </si>
  <si>
    <r>
      <rPr>
        <b/>
        <sz val="12"/>
        <color theme="1"/>
        <rFont val="Century Gothic"/>
        <family val="2"/>
      </rPr>
      <t>"EtatDuProjet"
Créé</t>
    </r>
    <r>
      <rPr>
        <sz val="12"/>
        <color theme="1"/>
        <rFont val="Century Gothic"/>
        <family val="2"/>
      </rPr>
      <t xml:space="preserve">
En cours 
Initialisation
Analyse
Conception
Exploitation 
Terminé 
Clôturé
Annulé</t>
    </r>
  </si>
  <si>
    <t>(</t>
  </si>
  <si>
    <t>) VALUES ('</t>
  </si>
  <si>
    <t>,'</t>
  </si>
  <si>
    <t>','</t>
  </si>
  <si>
    <t>') VALUES ('</t>
  </si>
  <si>
    <t>',</t>
  </si>
  <si>
    <t>');</t>
  </si>
  <si>
    <t>) VALUES (</t>
  </si>
  <si>
    <t>INSERT INTO TVA(tauxTVA) VALUES (20);</t>
  </si>
  <si>
    <t>INSERT INTO TVA(tauxTVA) VALUES (10);</t>
  </si>
  <si>
    <t>5.5</t>
  </si>
  <si>
    <t>INSERT INTO TVA(tauxTVA) VALUES (5.5);</t>
  </si>
  <si>
    <t>pass6</t>
  </si>
  <si>
    <t>pass12</t>
  </si>
  <si>
    <t>44 rue dAboukir 59512 ROUBAIX</t>
  </si>
  <si>
    <t>3 rue de laqueduc 59270 BAILLEUL</t>
  </si>
  <si>
    <t>INSERT INTO UTILISATEURS(firstname,name,login,psw,adress,tel,mail,isActivate) VALUES ('Edgar','ATOI','Edg','pass1','14, chemin de Lebrun 59000 LILLE','06.55.44.33.22','Edgar.ATOI@gmal.com',1');</t>
  </si>
  <si>
    <t>INSERT INTO UTILISATEURS(firstname,name,login,psw,adress,tel,mail,isActivate) VALUES ('Edith','KELHEURETIL','Edi','pass2','145 rue La Fayette 59000 LILLE','07.06.05.04.03','Edith.KELHEURETIL@gmal.com',1');</t>
  </si>
  <si>
    <t>INSERT INTO UTILISATEURS(firstname,name,login,psw,adress,tel,mail,isActivate) VALUES ('Elise','ETMOI','Ger','pass6','174 rue du Faubourg Saint-Denis 59599 TOURQUOINT','09.01.02.03.04','Elise.ETMOI@gmal.com',1');</t>
  </si>
  <si>
    <t>INSERT INTO UTILISATEURS(firstname,name,login,psw,adress,tel,mail,isActivate) VALUES ('Frank','NSTEIN','Flo','pass12','44 rue dAboukir 59512 ROUBAIX','06.05.06.07.08','Frank.NSTEIN@gmal.com',0');</t>
  </si>
  <si>
    <t>idClient</t>
  </si>
  <si>
    <t>numDev1</t>
  </si>
  <si>
    <t>numDev2</t>
  </si>
  <si>
    <t>numDev3</t>
  </si>
  <si>
    <t>numDev4</t>
  </si>
  <si>
    <t>numDev5</t>
  </si>
  <si>
    <t>numDev6</t>
  </si>
  <si>
    <t>numDev7</t>
  </si>
  <si>
    <t>numDev8</t>
  </si>
  <si>
    <t>numDev9</t>
  </si>
  <si>
    <t>tache1</t>
  </si>
  <si>
    <t>tache2</t>
  </si>
  <si>
    <t>tache3</t>
  </si>
  <si>
    <t>tache4</t>
  </si>
  <si>
    <t>tache5</t>
  </si>
  <si>
    <t>tache6</t>
  </si>
  <si>
    <t>tache7</t>
  </si>
  <si>
    <t>tache8</t>
  </si>
  <si>
    <t>tache9</t>
  </si>
  <si>
    <t>tache10</t>
  </si>
  <si>
    <t>tache11</t>
  </si>
  <si>
    <t>tache12</t>
  </si>
  <si>
    <t>tache13</t>
  </si>
  <si>
    <t>tache14</t>
  </si>
  <si>
    <t>tache15</t>
  </si>
  <si>
    <t>tache16</t>
  </si>
  <si>
    <t>tache17</t>
  </si>
  <si>
    <t>tache18</t>
  </si>
  <si>
    <t>tache19</t>
  </si>
  <si>
    <t>https:\\localhost\testPathFile1</t>
  </si>
  <si>
    <t>https:\\localhost\testPathFile2</t>
  </si>
  <si>
    <t>https:\\localhost\testPathFile3</t>
  </si>
  <si>
    <t>https:\\localhost\testPathFile4</t>
  </si>
  <si>
    <t>https:\\localhost\testPathFile5</t>
  </si>
  <si>
    <t>https:\\localhost\testPathFile6</t>
  </si>
  <si>
    <t>https:\\localhost\testPathFile7</t>
  </si>
  <si>
    <t>https:\\localhost\testPathFile8</t>
  </si>
  <si>
    <t>https:\\localhost\testPathFile9</t>
  </si>
  <si>
    <t>https:\\localhost\testPathFile10</t>
  </si>
  <si>
    <t>https:\\localhost\testPathFile11</t>
  </si>
  <si>
    <t>https:\\localhost\testPathFile12</t>
  </si>
  <si>
    <t>https:\\localhost\testPathFile13</t>
  </si>
  <si>
    <t>https:\\localhost\testPathFile14</t>
  </si>
  <si>
    <t>https:\\localhost\testPathFile15</t>
  </si>
  <si>
    <t>https:\\localhost\testPathFile16</t>
  </si>
  <si>
    <t>https:\\localhost\testPathFile17</t>
  </si>
  <si>
    <t>https:\\localhost\testPathFile18</t>
  </si>
  <si>
    <t>https:\\localhost\testPathFile19</t>
  </si>
  <si>
    <t>https:\\localhost\testPathFile20</t>
  </si>
  <si>
    <t>https:\\localhost\testPathFile21</t>
  </si>
  <si>
    <t>https:\\localhost\testPathFile22</t>
  </si>
  <si>
    <t>https:\\localhost\testPathFile23</t>
  </si>
  <si>
    <t>https:\\localhost\testPathFile24</t>
  </si>
  <si>
    <t>https:\\localhost\testPathFile25</t>
  </si>
  <si>
    <t>https:\\localhost\testPathFile26</t>
  </si>
  <si>
    <t>https:\\localhost\testPathFile27</t>
  </si>
  <si>
    <t>https:\\localhost\testPathFile28</t>
  </si>
  <si>
    <t>https:\\localhost\testPathFile29</t>
  </si>
  <si>
    <t>https:\\localhost\testPathFile30</t>
  </si>
  <si>
    <t>https:\\localhost\testPathFile31</t>
  </si>
  <si>
    <t>https:\\localhost\testPathFile32</t>
  </si>
  <si>
    <t>https:\\localhost\testPathFile33</t>
  </si>
  <si>
    <t>https:\\localhost\testPathFile34</t>
  </si>
  <si>
    <t>https:\\localhost\testPathFile35</t>
  </si>
  <si>
    <t>https:\\localhost\testPathFile36</t>
  </si>
  <si>
    <t>https:\\localhost\testPathFile37</t>
  </si>
  <si>
    <t>https:\\localhost\testPathFile38</t>
  </si>
  <si>
    <t>https:\\localhost\testPathFile39</t>
  </si>
  <si>
    <t>https:\\localhost\testPathFile40</t>
  </si>
  <si>
    <t>https:\\localhost\testPathFile41</t>
  </si>
  <si>
    <t>https:\\localhost\testPathFile42</t>
  </si>
  <si>
    <t>https:\\localhost\testPathFile43</t>
  </si>
  <si>
    <t>https:\\localhost\testPathFile44</t>
  </si>
  <si>
    <t>https:\\localhost\testPathFile45</t>
  </si>
  <si>
    <t>https:\\localhost\testPathFile46</t>
  </si>
  <si>
    <t>https:\\localhost\testPathFile47</t>
  </si>
  <si>
    <t>https:\\localhost\testPathFile48</t>
  </si>
  <si>
    <t>https:\\localhost\testPathFile49</t>
  </si>
  <si>
    <t>https:\\localhost\testPathFile50</t>
  </si>
  <si>
    <t>https:\\localhost\testPathFile51</t>
  </si>
  <si>
    <t>https:\\localhost\testPathFile52</t>
  </si>
  <si>
    <t>https:\\localhost\testPathFile53</t>
  </si>
  <si>
    <t>https:\\localhost\testPathFile54</t>
  </si>
  <si>
    <t>https:\\localhost\testPathFile55</t>
  </si>
  <si>
    <t>https:\\localhost\testPathFile56</t>
  </si>
  <si>
    <t>https:\\localhost\testPathFile57</t>
  </si>
  <si>
    <t>https:\\localhost\testPathFile58</t>
  </si>
  <si>
    <t>https:\\localhost\testPathFile59</t>
  </si>
  <si>
    <t>https:\\localhost\testPathFile60</t>
  </si>
  <si>
    <t>https:\\localhost\testPathFile61</t>
  </si>
  <si>
    <t>https:\\localhost\testPathFile62</t>
  </si>
  <si>
    <t>https:\\localhost\testPathFile63</t>
  </si>
  <si>
    <t>https:\\localhost\testPathFile64</t>
  </si>
  <si>
    <t>https:\\localhost\testPathFile65</t>
  </si>
  <si>
    <t>https:\\localhost\testPathFile66</t>
  </si>
  <si>
    <t>https:\\localhost\testPathFile67</t>
  </si>
  <si>
    <t>https:\\localhost\testPathFile68</t>
  </si>
  <si>
    <t>https:\\localhost\testPathFile69</t>
  </si>
  <si>
    <t>https:\\localhost\testPathFile70</t>
  </si>
  <si>
    <t>https:\\localhost\testPathFile71</t>
  </si>
  <si>
    <t>https:\\localhost\testPathFile72</t>
  </si>
  <si>
    <t>https:\\localhost\testPathFile73</t>
  </si>
  <si>
    <t>https:\\localhost\testPathFile74</t>
  </si>
  <si>
    <t>https:\\localhost\testPathFile75</t>
  </si>
  <si>
    <t>https:\\localhost\testPathFile76</t>
  </si>
  <si>
    <t>https:\\localhost\testPathFile77</t>
  </si>
  <si>
    <t>https:\\localhost\testPathFile78</t>
  </si>
  <si>
    <t>https:\\localhost\testPathFile79</t>
  </si>
  <si>
    <t>https:\\localhost\testPathFile80</t>
  </si>
  <si>
    <t>https:\\localhost\testPathFile81</t>
  </si>
  <si>
    <t>https:\\localhost\testPathFile82</t>
  </si>
  <si>
    <t>https:\\localhost\testPathFile83</t>
  </si>
  <si>
    <t>https:\\localhost\testPathFile84</t>
  </si>
  <si>
    <t>https:\\localhost\testPathFile85</t>
  </si>
  <si>
    <t>INSERT INTO DOCUMENTS(catDoc,nameDoc,descriptionDoc,dateDoc,pathDoc,idProjet,idDeGeneration) VALUES ('Devis','DEV1-MUNICIPALITÉDEPARIS11E-PROJ231','Proposition commerciale du projet','2022/12/05','pathDoc',1,1);</t>
  </si>
  <si>
    <t>INSERT INTO DOCUMENTS(catDoc,nameDoc,descriptionDoc,dateDoc,pathDoc,idProjet,idDeGeneration) VALUES ('Devis','DEV1-BOISDELUX-PROJ232','Proposition commerciale du projet','2022/12/20','https:\\localhost\testPathFile12',2,2);</t>
  </si>
  <si>
    <t>INSERT INTO DOCUMENTS(catDoc,nameDoc,descriptionDoc,dateDoc,pathDoc,idProjet,idDeGeneration) VALUES ('Devis','DEV1-RAMENETAFRAISE-PROJ233','Proposition commerciale du projet','2023/01/10','https:\\localhost\testPathFile24',3,5);</t>
  </si>
  <si>
    <t>INSERT INTO DOCUMENTS(catDoc,nameDoc,descriptionDoc,dateDoc,pathDoc,idProjet,idDeGeneration) VALUES ('Devis','DEV1-TAPUDFUITE-PROJ234','Proposition commerciale du projet','2023/01/30','https:\\localhost\testPathFile36',4,8);</t>
  </si>
  <si>
    <t>INSERT INTO DOCUMENTS(catDoc,nameDoc,descriptionDoc,dateDoc,pathDoc,idProjet,idDeGeneration) VALUES ('Devis','DEV1-LABONNEBAGUETTE-PROJ235','Proposition commerciale du projet','2023/02/15','https:\\localhost\testPathFile48',5,11);</t>
  </si>
  <si>
    <t>INSERT INTO DOCUMENTS(catDoc,nameDoc,descriptionDoc,dateDoc,pathDoc,idProjet,idDeGeneration) VALUES ('Devis','DEV1-GLESBOULES-PROJ236','Proposition commerciale du projet','2023/03/05','https:\\localhost\testPathFile60',6,14);</t>
  </si>
  <si>
    <t>INSERT INTO DOCUMENTS(catDoc,nameDoc,descriptionDoc,dateDoc,pathDoc,idProjet,idDeGeneration) VALUES ('Devis','DEV1-AUPIRATE-PROJ237','Proposition commerciale du projet','2023/04/05','https:\\localhost\testPathFile72',7,18);</t>
  </si>
  <si>
    <t>INSERT INTO DOCUMENTS(catDoc,nameDoc,descriptionDoc,dateDoc,pathDoc,idProjet,idDeGeneration) VALUES ('Devis','DEV1-BOISDELUX-PROJ238','Proposition commerciale du projet','2023/05/15','https:\\localhost\testPathFile83',8,21);</t>
  </si>
  <si>
    <t>Facture accompte pour démarrer les travaux</t>
  </si>
  <si>
    <t>Relevé de Coût pour ameublement</t>
  </si>
  <si>
    <t>INSERT INTO DOCUMENTS(catDoc,nameDoc,descriptionDoc,dateDoc,pathDoc,idProjet,idDeGeneration) VALUES ('Facture','FAC1-MUNICIPALITÉDEPARIS11E-PROJ231','Facture accompte pour démarrer les travaux','2022/12/10','https:\\localhost\testPathFile1',1,3);</t>
  </si>
  <si>
    <t>INSERT INTO DOCUMENTS(catDoc,nameDoc,descriptionDoc,dateDoc,pathDoc,idProjet,idDeGeneration) VALUES ('Facture','FAC3-BOISDELUX-PROJ232','Facture accompte pour démarrer les travaux','2023/01/02','https:\\localhost\testPathFile13',2,4);</t>
  </si>
  <si>
    <t>INSERT INTO DOCUMENTS(catDoc,nameDoc,descriptionDoc,dateDoc,pathDoc,idProjet,idDeGeneration) VALUES ('Facture','FAC5-RAMENETAFRAISE-PROJ233','Facture accompte pour démarrer les travaux','2023/01/20','https:\\localhost\testPathFile25',3,7);</t>
  </si>
  <si>
    <t>INSERT INTO DOCUMENTS(catDoc,nameDoc,descriptionDoc,dateDoc,pathDoc,idProjet,idDeGeneration) VALUES ('Facture','FAC7-TAPUDFUITE-PROJ234','Facture accompte pour démarrer les travaux','2023/02/15','https:\\localhost\testPathFile37',4,10);</t>
  </si>
  <si>
    <t>INSERT INTO DOCUMENTS(catDoc,nameDoc,descriptionDoc,dateDoc,pathDoc,idProjet,idDeGeneration) VALUES ('Facture','FAC9-LABONNEBAGUETTE-PROJ235','Facture accompte pour démarrer les travaux','2023/02/26','https:\\localhost\testPathFile49',5,13);</t>
  </si>
  <si>
    <t>INSERT INTO DOCUMENTS(catDoc,nameDoc,descriptionDoc,dateDoc,pathDoc,idProjet,idDeGeneration) VALUES ('Facture','FAC11-GLESBOULES-PROJ236','Facture accompte pour démarrer les travaux','2023/03/12','https:\\localhost\testPathFile61',6,16);</t>
  </si>
  <si>
    <t>INSERT INTO DOCUMENTS(catDoc,nameDoc,descriptionDoc,dateDoc,pathDoc,idProjet,idDeGeneration) VALUES ('Facture','FAC13-AUPIRATE-PROJ237','Facture accompte pour démarrer les travaux','2023/04/15','https:\\localhost\testPathFile73',7,19);</t>
  </si>
  <si>
    <t>INSERT INTO DOCUMENTS(catDoc,nameDoc,descriptionDoc,dateDoc,pathDoc,idProjet,idDeGeneration) VALUES ('Facture','FAC14-BOISDELUX-PROJ238','Facture accompte pour démarrer les travaux','2023/05/16','https:\\localhost\testPathFile84',8,22);</t>
  </si>
  <si>
    <t>Facture transmise pour autorisation exploitation</t>
  </si>
  <si>
    <t>INSERT INTO DOCUMENTS(catDoc,nameDoc,descriptionDoc,dateDoc,pathDoc,idProjet,idDeGeneration) VALUES ('Facture','FAC2-MUNICIPALITÉDEPARIS11E-PROJ231','Facture transmise pour autorisation exploitation','2023/01/17','https:\\localhost\testPathFile11',1,6);</t>
  </si>
  <si>
    <t>INSERT INTO DOCUMENTS(catDoc,nameDoc,descriptionDoc,dateDoc,pathDoc,idProjet,idDeGeneration) VALUES ('Facture','FAC4-BOISDELUX-PROJ232','Facture transmise pour autorisation exploitation','2023/02/03','https:\\localhost\testPathFile23',2,9);</t>
  </si>
  <si>
    <t>INSERT INTO DOCUMENTS(catDoc,nameDoc,descriptionDoc,dateDoc,pathDoc,idProjet,idDeGeneration) VALUES ('Facture','FAC6-RAMENETAFRAISE-PROJ233','Facture transmise pour autorisation exploitation','2023/02/24','https:\\localhost\testPathFile35',3,12);</t>
  </si>
  <si>
    <t>INSERT INTO DOCUMENTS(catDoc,nameDoc,descriptionDoc,dateDoc,pathDoc,idProjet,idDeGeneration) VALUES ('Facture','FAC8-TAPUDFUITE-PROJ234','Facture transmise pour autorisation exploitation','2023/03/10','https:\\localhost\testPathFile47',4,15);</t>
  </si>
  <si>
    <t>INSERT INTO DOCUMENTS(catDoc,nameDoc,descriptionDoc,dateDoc,pathDoc,idProjet,idDeGeneration) VALUES ('Facture','FAC10-LABONNEBAGUETTE-PROJ235','Facture transmise pour autorisation exploitation','2023/04/04','https:\\localhost\testPathFile59',5,17);</t>
  </si>
  <si>
    <t>INSERT INTO DOCUMENTS(catDoc,nameDoc,descriptionDoc,dateDoc,pathDoc,idProjet,idDeGeneration) VALUES ('Facture','FAC12-GLESBOULES-PROJ236','Facture transmise pour autorisation exploitation','2023/04/28','https:\\localhost\testPathFile71',6,20);</t>
  </si>
  <si>
    <t>INSERT INTO DOCUMENTS(catDoc,nameDoc,descriptionDoc,dateDoc,pathDoc,idProjet,idDeGeneration) VALUES ('Plan','PLA1-MUNICIPALITÉDEPARIS11E-PROJ231','Plan de face - etc','2022/12/20','https:\\localhost\testPathFile2',1,NULL);</t>
  </si>
  <si>
    <t>INSERT INTO DOCUMENTS(catDoc,nameDoc,descriptionDoc,dateDoc,pathDoc,idProjet,idDeGeneration) VALUES ('Plan','PLA2-MUNICIPALITÉDEPARIS11E-PROJ231','Plan de coté Est - etc','2022/12/20','https:\\localhost\testPathFile3',1,NULL);</t>
  </si>
  <si>
    <t>INSERT INTO DOCUMENTS(catDoc,nameDoc,descriptionDoc,dateDoc,pathDoc,idProjet,idDeGeneration) VALUES ('ImgPhoto','IMG1-MUNICIPALITÉDEPARIS11E-PROJ231','Photo de projection de face','2022/12/21','https:\\localhost\testPathFile4',1,NULL);</t>
  </si>
  <si>
    <t>INSERT INTO DOCUMENTS(catDoc,nameDoc,descriptionDoc,dateDoc,pathDoc,idProjet,idDeGeneration) VALUES ('ImgPhoto','IMG2-MUNICIPALITÉDEPARIS11E-PROJ231','Photo de projection de coté Est','2022/12/21','https:\\localhost\testPathFile5',1,NULL);</t>
  </si>
  <si>
    <t>INSERT INTO DOCUMENTS(catDoc,nameDoc,descriptionDoc,dateDoc,pathDoc,idProjet,idDeGeneration) VALUES ('ImgPhoto','IMG3-MUNICIPALITÉDEPARIS11E-PROJ231','Photo de projection dcoté Ouest et Sud','2022/12/22','https:\\localhost\testPathFile6',1,NULL);</t>
  </si>
  <si>
    <t>INSERT INTO DOCUMENTS(catDoc,nameDoc,descriptionDoc,dateDoc,pathDoc,idProjet,idDeGeneration) VALUES ('Schema','SCH1-MUNICIPALITÉDEPARIS11E-PROJ231','Schema de principe de circulation','2022/12/23','https:\\localhost\testPathFile7',1,NULL);</t>
  </si>
  <si>
    <t>INSERT INTO DOCUMENTS(catDoc,nameDoc,descriptionDoc,dateDoc,pathDoc,idProjet,idDeGeneration) VALUES ('Plan','PLA3-BOISDELUX-PROJ232','Plan de face - etc','2023/01/02','https:\\localhost\testPathFile14',2,NULL);</t>
  </si>
  <si>
    <t>INSERT INTO DOCUMENTS(catDoc,nameDoc,descriptionDoc,dateDoc,pathDoc,idProjet,idDeGeneration) VALUES ('Plan','PLA4-BOISDELUX-PROJ232','Plan de coté Est - etc','2023/01/02','https:\\localhost\testPathFile15',2,NULL);</t>
  </si>
  <si>
    <t>INSERT INTO DOCUMENTS(catDoc,nameDoc,descriptionDoc,dateDoc,pathDoc,idProjet,idDeGeneration) VALUES ('ImgPhoto','IMG4-BOISDELUX-PROJ232','Photo de projection de face','2023/01/03','https:\\localhost\testPathFile16',2,NULL);</t>
  </si>
  <si>
    <t>INSERT INTO DOCUMENTS(catDoc,nameDoc,descriptionDoc,dateDoc,pathDoc,idProjet,idDeGeneration) VALUES ('ImgPhoto','IMG5-BOISDELUX-PROJ232','Photo de projection de coté Est','2023/01/03','https:\\localhost\testPathFile17',2,NULL);</t>
  </si>
  <si>
    <t>INSERT INTO DOCUMENTS(catDoc,nameDoc,descriptionDoc,dateDoc,pathDoc,idProjet,idDeGeneration) VALUES ('ImgPhoto','IMG6-BOISDELUX-PROJ232','Photo de projection dcoté Ouest et Sud','2023/01/04','https:\\localhost\testPathFile18',2,NULL);</t>
  </si>
  <si>
    <t>INSERT INTO DOCUMENTS(catDoc,nameDoc,descriptionDoc,dateDoc,pathDoc,idProjet,idDeGeneration) VALUES ('Schema','SCH2-BOISDELUX-PROJ232','Schema de principe de circulation','2023/01/04','https:\\localhost\testPathFile19',2,NULL);</t>
  </si>
  <si>
    <t>INSERT INTO DOCUMENTS(catDoc,nameDoc,descriptionDoc,dateDoc,pathDoc,idProjet,idDeGeneration) VALUES ('Plan','PLA5-RAMENETAFRAISE-PROJ233','Plan de face - etc','2023/01/20','https:\\localhost\testPathFile26',3,NULL);</t>
  </si>
  <si>
    <t>INSERT INTO DOCUMENTS(catDoc,nameDoc,descriptionDoc,dateDoc,pathDoc,idProjet,idDeGeneration) VALUES ('Plan','PLA6-RAMENETAFRAISE-PROJ233','Plan de coté Est - etc','2023/01/20','https:\\localhost\testPathFile27',3,NULL);</t>
  </si>
  <si>
    <t>INSERT INTO DOCUMENTS(catDoc,nameDoc,descriptionDoc,dateDoc,pathDoc,idProjet,idDeGeneration) VALUES ('ImgPhoto','IMG7-RAMENETAFRAISE-PROJ233','Photo de projection de face','2023/01/21','https:\\localhost\testPathFile28',3,NULL);</t>
  </si>
  <si>
    <t>INSERT INTO DOCUMENTS(catDoc,nameDoc,descriptionDoc,dateDoc,pathDoc,idProjet,idDeGeneration) VALUES ('ImgPhoto','IMG8-RAMENETAFRAISE-PROJ233','Photo de projection de coté Est','2023/01/21','https:\\localhost\testPathFile29',3,NULL);</t>
  </si>
  <si>
    <t>INSERT INTO DOCUMENTS(catDoc,nameDoc,descriptionDoc,dateDoc,pathDoc,idProjet,idDeGeneration) VALUES ('ImgPhoto','IMG9-RAMENETAFRAISE-PROJ233','Photo de projection dcoté Ouest et Sud','2023/01/22','https:\\localhost\testPathFile30',3,NULL);</t>
  </si>
  <si>
    <t>INSERT INTO DOCUMENTS(catDoc,nameDoc,descriptionDoc,dateDoc,pathDoc,idProjet,idDeGeneration) VALUES ('Plan','PLA7-TAPUDFUITE-PROJ234','Plan de face - etc','2023/02/15','https:\\localhost\testPathFile38',4,NULL);</t>
  </si>
  <si>
    <t>INSERT INTO DOCUMENTS(catDoc,nameDoc,descriptionDoc,dateDoc,pathDoc,idProjet,idDeGeneration) VALUES ('Plan','PLA8-TAPUDFUITE-PROJ234','Plan de coté Est - etc','2023/02/15','https:\\localhost\testPathFile39',4,NULL);</t>
  </si>
  <si>
    <t>INSERT INTO DOCUMENTS(catDoc,nameDoc,descriptionDoc,dateDoc,pathDoc,idProjet,idDeGeneration) VALUES ('ImgPhoto','IMG10-TAPUDFUITE-PROJ234','Photo de projection de face','2023/02/16','https:\\localhost\testPathFile40',4,NULL);</t>
  </si>
  <si>
    <t>INSERT INTO DOCUMENTS(catDoc,nameDoc,descriptionDoc,dateDoc,pathDoc,idProjet,idDeGeneration) VALUES ('ImgPhoto','IMG11-TAPUDFUITE-PROJ234','Photo de projection de coté Est','2023/02/16','https:\\localhost\testPathFile41',4,NULL);</t>
  </si>
  <si>
    <t>INSERT INTO DOCUMENTS(catDoc,nameDoc,descriptionDoc,dateDoc,pathDoc,idProjet,idDeGeneration) VALUES ('ImgPhoto','IMG12-TAPUDFUITE-PROJ234','Photo de projection dcoté Ouest et Sud','2023/02/17','https:\\localhost\testPathFile42',4,NULL);</t>
  </si>
  <si>
    <t>INSERT INTO DOCUMENTS(catDoc,nameDoc,descriptionDoc,dateDoc,pathDoc,idProjet,idDeGeneration) VALUES ('Plan','PLA9-LABONNEBAGUETTE-PROJ235','Plan de face - etc','2023/02/26','https:\\localhost\testPathFile50',5,NULL);</t>
  </si>
  <si>
    <t>INSERT INTO DOCUMENTS(catDoc,nameDoc,descriptionDoc,dateDoc,pathDoc,idProjet,idDeGeneration) VALUES ('Plan','PLA10-LABONNEBAGUETTE-PROJ235','Plan de coté Est - etc','2023/02/26','https:\\localhost\testPathFile51',5,NULL);</t>
  </si>
  <si>
    <t>INSERT INTO DOCUMENTS(catDoc,nameDoc,descriptionDoc,dateDoc,pathDoc,idProjet,idDeGeneration) VALUES ('ImgPhoto','IMG13-LABONNEBAGUETTE-PROJ235','Photo de projection de face','2023/02/27','https:\\localhost\testPathFile52',5,NULL);</t>
  </si>
  <si>
    <t>INSERT INTO DOCUMENTS(catDoc,nameDoc,descriptionDoc,dateDoc,pathDoc,idProjet,idDeGeneration) VALUES ('ImgPhoto','IMG14-LABONNEBAGUETTE-PROJ235','Photo de projection de coté Est','2023/02/27','https:\\localhost\testPathFile53',5,NULL);</t>
  </si>
  <si>
    <t>INSERT INTO DOCUMENTS(catDoc,nameDoc,descriptionDoc,dateDoc,pathDoc,idProjet,idDeGeneration) VALUES ('ImgPhoto','IMG15-LABONNEBAGUETTE-PROJ235','Photo de projection dcoté Ouest et Sud','2023/02/28','https:\\localhost\testPathFile54',5,NULL);</t>
  </si>
  <si>
    <t>INSERT INTO DOCUMENTS(catDoc,nameDoc,descriptionDoc,dateDoc,pathDoc,idProjet,idDeGeneration) VALUES ('Plan','PLA11-GLESBOULES-PROJ236','Plan de face - etc','2023/03/12','https:\\localhost\testPathFile62',6,NULL);</t>
  </si>
  <si>
    <t>INSERT INTO DOCUMENTS(catDoc,nameDoc,descriptionDoc,dateDoc,pathDoc,idProjet,idDeGeneration) VALUES ('Plan','PLA12-GLESBOULES-PROJ236','Plan de coté Est - etc','2023/03/12','https:\\localhost\testPathFile63',6,NULL);</t>
  </si>
  <si>
    <t>INSERT INTO DOCUMENTS(catDoc,nameDoc,descriptionDoc,dateDoc,pathDoc,idProjet,idDeGeneration) VALUES ('ImgPhoto','IMG16-GLESBOULES-PROJ236','Photo de projection de face','2023/03/13','https:\\localhost\testPathFile64',6,NULL);</t>
  </si>
  <si>
    <t>INSERT INTO DOCUMENTS(catDoc,nameDoc,descriptionDoc,dateDoc,pathDoc,idProjet,idDeGeneration) VALUES ('ImgPhoto','IMG17-GLESBOULES-PROJ236','Photo de projection de coté Est','2023/03/13','https:\\localhost\testPathFile65',6,NULL);</t>
  </si>
  <si>
    <t>INSERT INTO DOCUMENTS(catDoc,nameDoc,descriptionDoc,dateDoc,pathDoc,idProjet,idDeGeneration) VALUES ('ImgPhoto','IMG18-GLESBOULES-PROJ236','Photo de projection dcoté Ouest et Sud','2023/03/14','https:\\localhost\testPathFile66',6,NULL);</t>
  </si>
  <si>
    <t>INSERT INTO DOCUMENTS(catDoc,nameDoc,descriptionDoc,dateDoc,pathDoc,idProjet,idDeGeneration) VALUES ('Plan','PLA13-AUPIRATE-PROJ237','Plan de face - etc','2023/04/15','https:\\localhost\testPathFile74',7,NULL);</t>
  </si>
  <si>
    <t>INSERT INTO DOCUMENTS(catDoc,nameDoc,descriptionDoc,dateDoc,pathDoc,idProjet,idDeGeneration) VALUES ('Plan','PLA14-AUPIRATE-PROJ237','Plan de coté Est - etc','2023/04/15','https:\\localhost\testPathFile75',7,NULL);</t>
  </si>
  <si>
    <t>INSERT INTO DOCUMENTS(catDoc,nameDoc,descriptionDoc,dateDoc,pathDoc,idProjet,idDeGeneration) VALUES ('ImgPhoto','IMG19-AUPIRATE-PROJ237','Photo de projection de face','2023/04/16','https:\\localhost\testPathFile76',7,NULL);</t>
  </si>
  <si>
    <t>INSERT INTO DOCUMENTS(catDoc,nameDoc,descriptionDoc,dateDoc,pathDoc,idProjet,idDeGeneration) VALUES ('ImgPhoto','IMG20-AUPIRATE-PROJ237','Photo de projection de coté Est','2023/04/16','https:\\localhost\testPathFile77',7,NULL);</t>
  </si>
  <si>
    <t>INSERT INTO DOCUMENTS(catDoc,nameDoc,descriptionDoc,dateDoc,pathDoc,idProjet,idDeGeneration) VALUES ('ImgPhoto','IMG21-AUPIRATE-PROJ237','Photo de projection dcoté Ouest et Sud','2023/04/17','https:\\localhost\testPathFile78',7,NULL);</t>
  </si>
  <si>
    <t>INSERT INTO DOCUMENTS(catDoc,nameDoc,descriptionDoc,dateDoc,pathDoc,idProjet,idDeGeneration) VALUES ('Divers','DIV1-MUNICIPALITÉDEPARIS11E-PROJ231','Relevé de Coût pour ameublement','2022/12/27','https:\\localhost\testPathFile8',1,NULL);</t>
  </si>
  <si>
    <t>INSERT INTO DOCUMENTS(catDoc,nameDoc,descriptionDoc,dateDoc,pathDoc,idProjet,idDeGeneration) VALUES ('Divers','DIV2-MUNICIPALITÉDEPARIS11E-PROJ231','Prise des cotes et des piges','2022/12/26','https:\\localhost\testPathFile9',1,NULL);</t>
  </si>
  <si>
    <t>INSERT INTO DOCUMENTS(catDoc,nameDoc,descriptionDoc,dateDoc,pathDoc,idProjet,idDeGeneration) VALUES ('Divers','DIV3-MUNICIPALITÉDEPARIS11E-PROJ231','Document de Chiffrage du projet','2022/12/28','https:\\localhost\testPathFile10',1,NULL);</t>
  </si>
  <si>
    <t>INSERT INTO DOCUMENTS(catDoc,nameDoc,descriptionDoc,dateDoc,pathDoc,idProjet,idDeGeneration) VALUES ('Divers','DIV4-BOISDELUX-PROJ232','Relevé de Coût pour ameublement','2023/01/08','https:\\localhost\testPathFile20',2,NULL);</t>
  </si>
  <si>
    <t>INSERT INTO DOCUMENTS(catDoc,nameDoc,descriptionDoc,dateDoc,pathDoc,idProjet,idDeGeneration) VALUES ('Divers','DIV5-BOISDELUX-PROJ232','Prise des cotes et des piges','2023/01/09','https:\\localhost\testPathFile21',2,NULL);</t>
  </si>
  <si>
    <t>INSERT INTO DOCUMENTS(catDoc,nameDoc,descriptionDoc,dateDoc,pathDoc,idProjet,idDeGeneration) VALUES ('Divers','DIV6-BOISDELUX-PROJ232','Document de Chiffrage du projet','2023/01/09','https:\\localhost\testPathFile22',2,NULL);</t>
  </si>
  <si>
    <t>INSERT INTO DOCUMENTS(catDoc,nameDoc,descriptionDoc,dateDoc,pathDoc,idProjet,idDeGeneration) VALUES ('Divers','DIV7-RAMENETAFRAISE-PROJ233','Schema de principe de circulation','2023/01/22','https:\\localhost\testPathFile31',3,NULL);</t>
  </si>
  <si>
    <t>INSERT INTO DOCUMENTS(catDoc,nameDoc,descriptionDoc,dateDoc,pathDoc,idProjet,idDeGeneration) VALUES ('Divers','DIV8-RAMENETAFRAISE-PROJ233','Relevé de Coût pour ameublement','2023/01/26','https:\\localhost\testPathFile32',3,NULL);</t>
  </si>
  <si>
    <t>INSERT INTO DOCUMENTS(catDoc,nameDoc,descriptionDoc,dateDoc,pathDoc,idProjet,idDeGeneration) VALUES ('Divers','DIV9-RAMENETAFRAISE-PROJ233','Prise des cotes et des piges','2023/01/27','https:\\localhost\testPathFile33',3,NULL);</t>
  </si>
  <si>
    <t>INSERT INTO DOCUMENTS(catDoc,nameDoc,descriptionDoc,dateDoc,pathDoc,idProjet,idDeGeneration) VALUES ('ChiffrageProj','CHI1-RAMENETAFRAISE-PROJ233','Document de Chiffrage du projet','2023/01/27','https:\\localhost\testPathFile34',3,NULL);</t>
  </si>
  <si>
    <t>INSERT INTO DOCUMENTS(catDoc,nameDoc,descriptionDoc,dateDoc,pathDoc,idProjet,idDeGeneration) VALUES ('Schema','SCH3-TAPUDFUITE-PROJ234','Schema de principe de circulation','2023/02/17','https:\\localhost\testPathFile43',4,NULL);</t>
  </si>
  <si>
    <t>INSERT INTO DOCUMENTS(catDoc,nameDoc,descriptionDoc,dateDoc,pathDoc,idProjet,idDeGeneration) VALUES ('Divers','DIV10-TAPUDFUITE-PROJ234','Relevé de Coût pour ameublement','2023/02/21','https:\\localhost\testPathFile44',4,NULL);</t>
  </si>
  <si>
    <t>INSERT INTO DOCUMENTS(catDoc,nameDoc,descriptionDoc,dateDoc,pathDoc,idProjet,idDeGeneration) VALUES ('Divers','DIV11-TAPUDFUITE-PROJ234','Prise des cotes et des piges','2023/02/22','https:\\localhost\testPathFile45',4,NULL);</t>
  </si>
  <si>
    <t>INSERT INTO DOCUMENTS(catDoc,nameDoc,descriptionDoc,dateDoc,pathDoc,idProjet,idDeGeneration) VALUES ('Divers','DIV12-TAPUDFUITE-PROJ234','Document de Chiffrage du projet','2023/02/22','https:\\localhost\testPathFile46',4,NULL);</t>
  </si>
  <si>
    <t>INSERT INTO DOCUMENTS(catDoc,nameDoc,descriptionDoc,dateDoc,pathDoc,idProjet,idDeGeneration) VALUES ('Schema','SCH4-LABONNEBAGUETTE-PROJ235','Schema de principe de circulation','2023/02/28','https:\\localhost\testPathFile55',5,NULL);</t>
  </si>
  <si>
    <t>INSERT INTO DOCUMENTS(catDoc,nameDoc,descriptionDoc,dateDoc,pathDoc,idProjet,idDeGeneration) VALUES ('Divers','DIV13-LABONNEBAGUETTE-PROJ235','Relevé de Coût pour ameublement','2023/03/04','https:\\localhost\testPathFile56',5,NULL);</t>
  </si>
  <si>
    <t>INSERT INTO DOCUMENTS(catDoc,nameDoc,descriptionDoc,dateDoc,pathDoc,idProjet,idDeGeneration) VALUES ('Divers','DIV14-LABONNEBAGUETTE-PROJ235','Prise des cotes et des piges','2023/03/05','https:\\localhost\testPathFile57',5,NULL);</t>
  </si>
  <si>
    <t>INSERT INTO DOCUMENTS(catDoc,nameDoc,descriptionDoc,dateDoc,pathDoc,idProjet,idDeGeneration) VALUES ('Divers','DIV15-LABONNEBAGUETTE-PROJ235','Document de Chiffrage du projet','2023/03/05','https:\\localhost\testPathFile58',5,NULL);</t>
  </si>
  <si>
    <t>INSERT INTO DOCUMENTS(catDoc,nameDoc,descriptionDoc,dateDoc,pathDoc,idProjet,idDeGeneration) VALUES ('Schema','SCH5-GLESBOULES-PROJ236','Schema de principe de circulation','2023/03/14','https:\\localhost\testPathFile67',6,NULL);</t>
  </si>
  <si>
    <t>INSERT INTO DOCUMENTS(catDoc,nameDoc,descriptionDoc,dateDoc,pathDoc,idProjet,idDeGeneration) VALUES ('Divers','DIV16-GLESBOULES-PROJ236','Relevé de Coût pour ameublement','2023/03/18','https:\\localhost\testPathFile68',6,NULL);</t>
  </si>
  <si>
    <t>INSERT INTO DOCUMENTS(catDoc,nameDoc,descriptionDoc,dateDoc,pathDoc,idProjet,idDeGeneration) VALUES ('Divers','DIV17-GLESBOULES-PROJ236','Prise des cotes et des piges','2023/03/19','https:\\localhost\testPathFile69',6,NULL);</t>
  </si>
  <si>
    <t>INSERT INTO DOCUMENTS(catDoc,nameDoc,descriptionDoc,dateDoc,pathDoc,idProjet,idDeGeneration) VALUES ('Divers','DIV18-GLESBOULES-PROJ236','Document de Chiffrage du projet','2023/03/19','https:\\localhost\testPathFile70',6,NULL);</t>
  </si>
  <si>
    <t>INSERT INTO DOCUMENTS(catDoc,nameDoc,descriptionDoc,dateDoc,pathDoc,idProjet,idDeGeneration) VALUES ('Schema','SCH6-AUPIRATE-PROJ237','Schema de principe de circulation','2023/04/17','https:\\localhost\testPathFile79',7,NULL);</t>
  </si>
  <si>
    <t>INSERT INTO DOCUMENTS(catDoc,nameDoc,descriptionDoc,dateDoc,pathDoc,idProjet,idDeGeneration) VALUES ('Divers','DIV19-AUPIRATE-PROJ237','Relevé de Coût pour ameublement','2023/04/21','https:\\localhost\testPathFile80',7,NULL);</t>
  </si>
  <si>
    <t>INSERT INTO DOCUMENTS(catDoc,nameDoc,descriptionDoc,dateDoc,pathDoc,idProjet,idDeGeneration) VALUES ('Divers','DIV20-AUPIRATE-PROJ237','Prise des cotes et des piges','2023/04/22','https:\\localhost\testPathFile81',7,NULL);</t>
  </si>
  <si>
    <t>INSERT INTO DOCUMENTS(catDoc,nameDoc,descriptionDoc,dateDoc,pathDoc,idProjet,idDeGeneration) VALUES ('Divers','DIV21-AUPIRATE-PROJ237','Document de Chiffrage du projet','2023/04/22','https:\\localhost\testPathFile82',7,NULL);</t>
  </si>
  <si>
    <t>INSERT INTO LIGFACTFORFAIT(dateInterventionLigFactForfait,numLigFactForfait,designationLigFactForfait,montantLigFactForfait,idFacture) VALUES ('2023/03/13',1,'Ligne prise des exigences test Forfait 1',280,10);</t>
  </si>
  <si>
    <t>INSERT INTO LIGFACTFORFAIT(dateInterventionLigFactForfait,numLigFactForfait,designationLigFactForfait,montantLigFactForfait,idFacture) VALUES ('2023/03/13',2,'Ligne de la conception test Forfait1',1610,10);</t>
  </si>
  <si>
    <t>INSERT INTO LIGFACTFORFAIT(dateInterventionLigFactForfait,numLigFactForfait,designationLigFactForfait,montantLigFactForfait,idFacture) VALUES ('2023/04/04',3,'Ligne réalisation et indication date butoir projet test Forfait 1',2520,10);</t>
  </si>
  <si>
    <t>INSERT INTO LIGFACTFORFAIT(dateInterventionLigFactForfait,numLigFactForfait,designationLigFactForfait,montantLigFactForfait,idFacture) VALUES ('2023/04/03',1,'Ligne prise des exigences test Forfait 2',350,12);</t>
  </si>
  <si>
    <t>INSERT INTO LIGFACTFORFAIT(dateInterventionLigFactForfait,numLigFactForfait,designationLigFactForfait,montantLigFactForfait,idFacture) VALUES ('2023/04/03',2,'Ligne de la conception test Forfait2',1750,12);</t>
  </si>
  <si>
    <t>INSERT INTO LIGFACTFORFAIT(dateInterventionLigFactForfait,numLigFactForfait,designationLigFactForfait,montantLigFactForfait,idFacture) VALUES ('2023/04/28',3,'Ligne réalisation et indication date butoir projet test Forfait 2',2100,12);</t>
  </si>
  <si>
    <t>Echanges Rdv,prise de cotes,reportage photos</t>
  </si>
  <si>
    <t>Etude et propositions,Description de la partie a réaliser,Enumération des fournitures</t>
  </si>
  <si>
    <t>Réalisation,Fabrication et pose des elements validés à la phase 2 ,indication éventuelle date de livraison</t>
  </si>
  <si>
    <t>INSERT INTO LIGFACTFORFAIT(dateInterventionLigFactForfait,numLigFactForfait,designationLigFactForfait,montantLigFactForfait,idFacture) VALUES ('2022/12/10',1,'Facture Acompte de 30% - du devis 101222-Fact-MUNICIPALITÉDEPARIS11E-PROJ231-1 Montant ',1800,1);</t>
  </si>
  <si>
    <t>INSERT INTO LIGFACTFORFAIT(dateInterventionLigFactForfait,numLigFactForfait,designationLigFactForfait,montantLigFactForfait,idFacture) VALUES ('2023/01/02',1,'Echanges Rdv,prise de cotes,reportage photos',210,2);</t>
  </si>
  <si>
    <t>INSERT INTO LIGFACTFORFAIT(dateInterventionLigFactForfait,numLigFactForfait,designationLigFactForfait,montantLigFactForfait,idFacture) VALUES ('2023/01/02',2,'Etude et propositions,Description de la partie a réaliser,Enumération des fournitures',1540,2);</t>
  </si>
  <si>
    <t>INSERT INTO LIGFACTFORFAIT(dateInterventionLigFactForfait,numLigFactForfait,designationLigFactForfait,montantLigFactForfait,idFacture) VALUES ('2023/01/17',3,'Réalisation,Fabrication et pose des elements validés à la phase 2 ,indication éventuelle date de livraison',2450,2);</t>
  </si>
  <si>
    <t>INSERT INTO LIGFACTFORFAIT(dateInterventionLigFactForfait,numLigFactForfait,designationLigFactForfait,montantLigFactForfait,idFacture) VALUES ('2023/03/13',1,'Facture Acompte de 30% - du devis 260223-Fact-LABONNEBAGUETTE-PROJ235-9 Montant ',1890,9);</t>
  </si>
  <si>
    <t>INSERT INTO LIGFACTFORFAIT(dateInterventionLigFactForfait,numLigFactForfait,designationLigFactForfait,montantLigFactForfait,idFacture) VALUES ('2023/04/03',1,'Facture Acompte de 30% - du devis 120323-Fact-GLESBOULES-PROJ236-11 Montant ',1800,11);</t>
  </si>
  <si>
    <t>INSERT INTO LIGFACTFORFAIT(dateInterventionLigFactForfait,numLigFactForfait,designationLigFactForfait,montantLigFactForfait,idFacture) VALUES ('2023/05/02',1,'Facture Acompte de 30% - du devis 150423-Fact-AUPIRATE-PROJ237-13 Montant ',2130,13);</t>
  </si>
  <si>
    <t>INSERT INTO LIGFACTFORFAIT(dateInterventionLigFactForfait,numLigFactForfait,designationLigFactForfait,montantLigFactForfait,idFacture) VALUES ('',1,'Facture Acompte de 30% - du devis 250523-Fact-BOISDELUX-PROJ238-14 Montant ',2250,14);</t>
  </si>
  <si>
    <t>INSERT INTO COUTS(catCout,dateCout,descriptionCout,montantCout,idProjet) VALUES ('RH','2023/01/02','salaires',4200,1);</t>
  </si>
  <si>
    <t>INSERT INTO COUTS(catCout,dateCout,descriptionCout,montantCout,idProjet) VALUES ('Charges','2023/01/02','electricité',380,1);</t>
  </si>
  <si>
    <t>INSERT INTO COUTS(catCout,dateCout,descriptionCout,montantCout,idProjet) VALUES ('Frais','2023/01/02','déplacement 33km (7L/100km)',5,1);</t>
  </si>
  <si>
    <t>INSERT INTO COUTS(catCout,dateCout,descriptionCout,montantCout,idProjet) VALUES ('Divers','2023/01/17','Mug (Mug kdo client flockage SD)',16,1);</t>
  </si>
  <si>
    <t>INSERT INTO COUTS(catCout,dateCout,descriptionCout,montantCout,idProjet) VALUES ('RH','2023/01/16','salaires',3920,2);</t>
  </si>
  <si>
    <t>INSERT INTO COUTS(catCout,dateCout,descriptionCout,montantCout,idProjet) VALUES ('Charges','2023/01/16','electricité',380,2);</t>
  </si>
  <si>
    <t>INSERT INTO COUTS(catCout,dateCout,descriptionCout,montantCout,idProjet) VALUES ('Frais','2023/01/16','déplacement 33km (7L/100km)',5,2);</t>
  </si>
  <si>
    <t>INSERT INTO COUTS(catCout,dateCout,descriptionCout,montantCout,idProjet) VALUES ('Divers','2023/02/03','Mug (Mug kdo client flockage SD)',16,2);</t>
  </si>
  <si>
    <t>INSERT INTO COUTS(catCout,dateCout,descriptionCout,montantCout,idProjet) VALUES ('RH','2023/02/06','salaires',3920,3);</t>
  </si>
  <si>
    <t>INSERT INTO COUTS(catCout,dateCout,descriptionCout,montantCout,idProjet) VALUES ('Charges','2023/02/06','electricité',380,3);</t>
  </si>
  <si>
    <t>INSERT INTO COUTS(catCout,dateCout,descriptionCout,montantCout,idProjet) VALUES ('Frais','2023/02/06','déplacement 33km (7L/100km)',5,3);</t>
  </si>
  <si>
    <t>INSERT INTO COUTS(catCout,dateCout,descriptionCout,montantCout,idProjet) VALUES ('Divers','2023/02/24','Mug (Mug kdo client flockage SD)',16,3);</t>
  </si>
  <si>
    <t>INSERT INTO COUTS(catCout,dateCout,descriptionCout,montantCout,idProjet) VALUES ('RH','2023/02/27','salaires',3920,4);</t>
  </si>
  <si>
    <t>INSERT INTO COUTS(catCout,dateCout,descriptionCout,montantCout,idProjet) VALUES ('Charges','2023/02/27','electricité',380,4);</t>
  </si>
  <si>
    <t>INSERT INTO COUTS(catCout,dateCout,descriptionCout,montantCout,idProjet) VALUES ('Frais','2023/02/27','déplacement 33km (7L/100km)',5,4);</t>
  </si>
  <si>
    <t>INSERT INTO COUTS(catCout,dateCout,descriptionCout,montantCout,idProjet) VALUES ('Divers','2023/03/10','Mug (Mug kdo client flockage SD)',16,4);</t>
  </si>
  <si>
    <t>INSERT INTO COUTS(catCout,dateCout,descriptionCout,montantCout,idProjet) VALUES ('RH','2023/03/13','salaires',3920,5);</t>
  </si>
  <si>
    <t>INSERT INTO COUTS(catCout,dateCout,descriptionCout,montantCout,idProjet) VALUES ('Charges','2023/03/13','electricité',380,5);</t>
  </si>
  <si>
    <t>INSERT INTO COUTS(catCout,dateCout,descriptionCout,montantCout,idProjet) VALUES ('Frais','2023/03/13','déplacement 33km (7L/100km)',5,5);</t>
  </si>
  <si>
    <t>INSERT INTO COUTS(catCout,dateCout,descriptionCout,montantCout,idProjet) VALUES ('Divers','2023/04/04','Mug (Mug kdo client flockage SD)',16,5);</t>
  </si>
  <si>
    <t>INSERT INTO COUTS(catCout,dateCout,descriptionCout,montantCout,idProjet) VALUES ('RH','2023/04/03','salaires',3920,6);</t>
  </si>
  <si>
    <t>INSERT INTO COUTS(catCout,dateCout,descriptionCout,montantCout,idProjet) VALUES ('Charges','2023/04/03','electricité',380,6);</t>
  </si>
  <si>
    <t>INSERT INTO COUTS(catCout,dateCout,descriptionCout,montantCout,idProjet) VALUES ('Frais','2023/04/03','déplacement 33km (7L/100km)',5,6);</t>
  </si>
  <si>
    <t>INSERT INTO COUTS(catCout,dateCout,descriptionCout,montantCout,idProjet) VALUES ('Charges','2023/05/02','electricité',380,7);</t>
  </si>
  <si>
    <t>INSERT INTO COUTS(catCout,dateCout,descriptionCout,montantCout,idProjet) VALUES ('Frais','2023/05/02','déplacement 33km (7L/100km)',5,7);</t>
  </si>
  <si>
    <t>INSERT INTO COUTS(catCout,dateCout,descriptionCout,montantCout,idProjet) VALUES ('RH','2023/05/02','salaires',3920,7);</t>
  </si>
  <si>
    <t>14 chemin de Lebrun 59000 LILLE</t>
  </si>
  <si>
    <t>112 Place laisse de lurgence 59000 LILLE</t>
  </si>
  <si>
    <t>INSERT INTO LIGDEVFORFAIT(numLigDevForfait,designationLigDevForfait,montantLigDevForfait,idDevis) VALUES (1,'Echanges Rdv, prise de cotes, reportage photos',300,1);</t>
  </si>
  <si>
    <t>INSERT INTO LIGDEVFORFAIT(numLigDevForfait,designationLigDevForfait,montantLigDevForfait,idDevis) VALUES (2,'Etude et propositions, Description de la partie a réaliser, Enumération des fournitures',2200,1);</t>
  </si>
  <si>
    <t>INSERT INTO LIGDEVFORFAIT(numLigDevForfait,designationLigDevForfait,montantLigDevForfait,idDevis) VALUES (3,'Réalisation, Fabrication et pose des elements validés à la phase 2, indication éventuelle date de livraison',3500,1);</t>
  </si>
  <si>
    <t>INSERT INTO LIGDEVFORFAIT(numLigDevForfait,designationLigDevForfait,montantLigDevForfait,idDevis) VALUES (1,'Ligne prise des exigences test Forfait 1',400,5);</t>
  </si>
  <si>
    <t>INSERT INTO LIGDEVFORFAIT(numLigDevForfait,designationLigDevForfait,montantLigDevForfait,idDevis) VALUES (2,'Ligne de la conception test Forfait1',2300,5);</t>
  </si>
  <si>
    <t>INSERT INTO LIGDEVFORFAIT(numLigDevForfait,designationLigDevForfait,montantLigDevForfait,idDevis) VALUES (3,'Ligne réalisation et indication date butoir projet test Forfait 1',3600,5);</t>
  </si>
  <si>
    <t>INSERT INTO LIGDEVFORFAIT(numLigDevForfait,designationLigDevForfait,montantLigDevForfait,idDevis) VALUES (1,'Ligne prise des exigences test Forfait 2',500,6);</t>
  </si>
  <si>
    <t>INSERT INTO LIGDEVFORFAIT(numLigDevForfait,designationLigDevForfait,montantLigDevForfait,idDevis) VALUES (2,'Ligne de la conception test Forfait2',2500,6);</t>
  </si>
  <si>
    <t>INSERT INTO LIGDEVFORFAIT(numLigDevForfait,designationLigDevForfait,montantLigDevForfait,idDevis) VALUES (3,'Ligne réalisation et indication date butoir projet test Forfait 2',3000,6);</t>
  </si>
  <si>
    <t>INSERT INTO LIGDEVFORFAIT(numLigDevForfait,designationLigDevForfait,montantLigDevForfait,idDevis) VALUES (1,'Ligne prise des exigences test Forfait 3',300,7);</t>
  </si>
  <si>
    <t>INSERT INTO LIGDEVFORFAIT(numLigDevForfait,designationLigDevForfait,montantLigDevForfait,idDevis) VALUES (2,'Ligne de la conception test Forfait3',2600,7);</t>
  </si>
  <si>
    <t>INSERT INTO LIGDEVFORFAIT(numLigDevForfait,designationLigDevForfait,montantLigDevForfait,idDevis) VALUES (3,'Ligne réalisation et indication date butoir projet test Forfait 3',4200,7);</t>
  </si>
  <si>
    <t>INSERT INTO LIGDEVFORFAIT(numLigDevForfait,designationLigDevForfait,montantLigDevForfait,idDevis) VALUES (1,'Ligne prise des exigences test Forfait 4',500,8);</t>
  </si>
  <si>
    <t>INSERT INTO LIGDEVFORFAIT(numLigDevForfait,designationLigDevForfait,montantLigDevForfait,idDevis) VALUES (2,'Ligne de la conception test Forfait4',3000,8);</t>
  </si>
  <si>
    <t>INSERT INTO LIGDEVFORFAIT(numLigDevForfait,designationLigDevForfait,montantLigDevForfait,idDevis) VALUES (3,'Ligne réalisation et indication date butoir projet test Forfait 4',4000,8);</t>
  </si>
  <si>
    <t>INSERT INTO LIGDEVFORFAIT(numLigDevForfait,designationLigDevForfait,montantLigDevForfait,idDevis) VALUES (1,'Ligne prise des exigences test Forfait 5',800,9);</t>
  </si>
  <si>
    <t>INSERT INTO LIGDEVFORFAIT(numLigDevForfait,designationLigDevForfait,montantLigDevForfait,idDevis) VALUES (2,'Ligne de la conception test Forfait5',5200,9);</t>
  </si>
  <si>
    <t>INSERT INTO LIGDEVFORFAIT(numLigDevForfait,designationLigDevForfait,montantLigDevForfait,idDevis) VALUES (3,'Ligne réalisation et indication date butoir projet test Forfait 5',8300,9);</t>
  </si>
  <si>
    <t>agencement de la partie administrative de lEts</t>
  </si>
  <si>
    <t>Agencement de lenvironnement de Bar</t>
  </si>
  <si>
    <t>Terminer</t>
  </si>
  <si>
    <r>
      <t>numTache</t>
    </r>
    <r>
      <rPr>
        <b/>
        <sz val="12"/>
        <color theme="1"/>
        <rFont val="Century Gothic"/>
        <family val="2"/>
      </rPr>
      <t xml:space="preserve"> 
STRING</t>
    </r>
  </si>
  <si>
    <t>INSERT INTO TACHES(numTache,nameTache,descriptionTache,prioTache,stateTache,categoryTache,dateCreateTache,dateInProgressTache,dateToTestTache,dateEndThTache,dateEndRealTache,idProjet) VALUES ('1','tache1','tache1','Vitale','Terminer','Initialisation','2022/12/10','2023/01/02','2023/01/02','2023/01/02','2023/01/02',1);</t>
  </si>
  <si>
    <t>INSERT INTO TACHES(numTache,nameTache,descriptionTache,prioTache,stateTache,categoryTache,dateCreateTache,dateInProgressTache,dateToTestTache,dateEndThTache,dateEndRealTache,idProjet) VALUES ('2','tache2','tache2','Vitale','Terminer','Initialisation','2023/01/02','2023/01/02','2023/01/02','2023/01/02','2023/01/02',1);</t>
  </si>
  <si>
    <t>INSERT INTO TACHES(numTache,nameTache,descriptionTache,prioTache,stateTache,categoryTache,dateCreateTache,dateInProgressTache,dateToTestTache,dateEndThTache,dateEndRealTache,idProjet) VALUES ('3','tache3','tache3','Vitale','Terminer','Analyse','2023/01/02','2023/01/02','2023/01/02','2023/01/02','2023/01/02',1);</t>
  </si>
  <si>
    <t>INSERT INTO TACHES(numTache,nameTache,descriptionTache,prioTache,stateTache,categoryTache,dateCreateTache,dateInProgressTache,dateToTestTache,dateEndThTache,dateEndRealTache,idProjet) VALUES ('4','tache4','tache4','Vitale','Terminer','Analyse','2023/01/03','2023/01/03','2023/01/03','2023/01/03','2023/01/03',1);</t>
  </si>
  <si>
    <t>INSERT INTO TACHES(numTache,nameTache,descriptionTache,prioTache,stateTache,categoryTache,dateCreateTache,dateInProgressTache,dateToTestTache,dateEndThTache,dateEndRealTache,idProjet) VALUES ('5','tache5','tache5','Vitale','Terminer','Conception','2023/01/03','2023/01/03','2023/01/03','2023/01/04','2023/01/04',1);</t>
  </si>
  <si>
    <t>INSERT INTO TACHES(numTache,nameTache,descriptionTache,prioTache,stateTache,categoryTache,dateCreateTache,dateInProgressTache,dateToTestTache,dateEndThTache,dateEndRealTache,idProjet) VALUES ('6','tache6','tache6','Vitale','Terminer','Realisation','2023/01/05','2023/01/05','2023/01/05','2023/01/05','2023/01/05',1);</t>
  </si>
  <si>
    <t>INSERT INTO TACHES(numTache,nameTache,descriptionTache,prioTache,stateTache,categoryTache,dateCreateTache,dateInProgressTache,dateToTestTache,dateEndThTache,dateEndRealTache,idProjet) VALUES ('7','tache7','tache7','Vitale','Terminer','Realisation','2023/01/06','2023/01/06','2023/01/06','2023/01/06','2023/01/06',1);</t>
  </si>
  <si>
    <t>INSERT INTO TACHES(numTache,nameTache,descriptionTache,prioTache,stateTache,categoryTache,dateCreateTache,dateInProgressTache,dateToTestTache,dateEndThTache,dateEndRealTache,idProjet) VALUES ('8','tache8','tache8','Utile','Terminer','Realisation','2023/01/13','2023/01/13','2023/01/13','2023/01/13','2023/01/13',1);</t>
  </si>
  <si>
    <t>INSERT INTO TACHES(numTache,nameTache,descriptionTache,prioTache,stateTache,categoryTache,dateCreateTache,dateInProgressTache,dateToTestTache,dateEndThTache,dateEndRealTache,idProjet) VALUES ('9','tache9','tache9','Importante','Terminer','Realisation','2023/01/11','2023/01/11','2023/01/11','2023/01/11','2023/01/11',1);</t>
  </si>
  <si>
    <t>INSERT INTO TACHES(numTache,nameTache,descriptionTache,prioTache,stateTache,categoryTache,dateCreateTache,dateInProgressTache,dateToTestTache,dateEndThTache,dateEndRealTache,idProjet) VALUES ('10','tache10','tache10','Vitale','Terminer','Realisation','2023/01/07','2023/01/07','2023/01/07','2023/01/07','2023/01/07',1);</t>
  </si>
  <si>
    <t>INSERT INTO TACHES(numTache,nameTache,descriptionTache,prioTache,stateTache,categoryTache,dateCreateTache,dateInProgressTache,dateToTestTache,dateEndThTache,dateEndRealTache,idProjet) VALUES ('11','tache11','tache11','Vitale','Terminer','Realisation','2023/01/07','2023/01/07','2023/01/07','2023/01/07','2023/01/07',1);</t>
  </si>
  <si>
    <t>INSERT INTO TACHES(numTache,nameTache,descriptionTache,prioTache,stateTache,categoryTache,dateCreateTache,dateInProgressTache,dateToTestTache,dateEndThTache,dateEndRealTache,idProjet) VALUES ('12','tache12','tache12','Vitale','Terminer','Realisation','2023/01/07','2023/01/07','2023/01/07','2023/01/07','2023/01/07',1);</t>
  </si>
  <si>
    <t>INSERT INTO TACHES(numTache,nameTache,descriptionTache,prioTache,stateTache,categoryTache,dateCreateTache,dateInProgressTache,dateToTestTache,dateEndThTache,dateEndRealTache,idProjet) VALUES ('13','tache13','tache13','Vitale','Terminer','Realisation','2023/01/08','2023/01/08','2023/01/08','2023/01/08','2023/01/08',1);</t>
  </si>
  <si>
    <t>INSERT INTO TACHES(numTache,nameTache,descriptionTache,prioTache,stateTache,categoryTache,dateCreateTache,dateInProgressTache,dateToTestTache,dateEndThTache,dateEndRealTache,idProjet) VALUES ('14','tache14','tache14','Vitale','Terminer','Realisation','2023/01/09','2023/01/09','2023/01/09','2023/01/09','2023/01/09',1);</t>
  </si>
  <si>
    <t>INSERT INTO TACHES(numTache,nameTache,descriptionTache,prioTache,stateTache,categoryTache,dateCreateTache,dateInProgressTache,dateToTestTache,dateEndThTache,dateEndRealTache,idProjet) VALUES ('15','tache15','tache15','Importante','Terminer','Realisation','2023/01/12','2023/01/12','2023/01/12','2023/01/12','2023/01/12',1);</t>
  </si>
  <si>
    <t>INSERT INTO TACHES(numTache,nameTache,descriptionTache,prioTache,stateTache,categoryTache,dateCreateTache,dateInProgressTache,dateToTestTache,dateEndThTache,dateEndRealTache,idProjet) VALUES ('16','tache16','tache16','Confort','Terminer','Realisation','2023/01/14','2023/01/14','2023/01/15','2023/01/15','2023/01/15',1);</t>
  </si>
  <si>
    <t>INSERT INTO TACHES(numTache,nameTache,descriptionTache,prioTache,stateTache,categoryTache,dateCreateTache,dateInProgressTache,dateToTestTache,dateEndThTache,dateEndRealTache,idProjet) VALUES ('17','tache17','tache17','Vitale','Terminer','Realisation','2023/01/10','2023/01/10','2023/01/10','2023/01/10','2023/01/11',1);</t>
  </si>
  <si>
    <t>INSERT INTO TACHES(numTache,nameTache,descriptionTache,prioTache,stateTache,categoryTache,dateCreateTache,dateInProgressTache,dateToTestTache,dateEndThTache,dateEndRealTache,idProjet) VALUES ('18','tache18','tache18','Vitale','Terminer','Exploitation','2023/01/16','2023/01/16','2023/01/16','2023/01/17','2023/01/17',1);</t>
  </si>
  <si>
    <t>INSERT INTO TACHES(numTache,nameTache,descriptionTache,prioTache,stateTache,categoryTache,dateCreateTache,dateInProgressTache,dateToTestTache,dateEndThTache,dateEndRealTache,idProjet) VALUES ('1','tache1','tache1','Vitale','Terminer','Initialisation','2023/01/02','2023/01/02','2023/01/02','2023/01/02','2023/01/02',2);</t>
  </si>
  <si>
    <t>INSERT INTO TACHES(numTache,nameTache,descriptionTache,prioTache,stateTache,categoryTache,dateCreateTache,dateInProgressTache,dateToTestTache,dateEndThTache,dateEndRealTache,idProjet) VALUES ('2','tache2','tache2','Vitale','Terminer','Initialisation','2023/01/02','2023/01/02','2023/01/02','2023/01/02','2023/01/02',2);</t>
  </si>
  <si>
    <t>INSERT INTO TACHES(numTache,nameTache,descriptionTache,prioTache,stateTache,categoryTache,dateCreateTache,dateInProgressTache,dateToTestTache,dateEndThTache,dateEndRealTache,idProjet) VALUES ('3','tache3','tache3','Vitale','Terminer','Analyse','2023/01/02','2023/01/02','2023/01/02','2023/01/02','2023/01/02',2);</t>
  </si>
  <si>
    <t>INSERT INTO TACHES(numTache,nameTache,descriptionTache,prioTache,stateTache,categoryTache,dateCreateTache,dateInProgressTache,dateToTestTache,dateEndThTache,dateEndRealTache,idProjet) VALUES ('4','tache4','tache4','Vitale','Terminer','Analyse','2023/01/03','2023/01/03','2023/01/03','2023/01/03','2023/01/03',2);</t>
  </si>
  <si>
    <t>INSERT INTO TACHES(numTache,nameTache,descriptionTache,prioTache,stateTache,categoryTache,dateCreateTache,dateInProgressTache,dateToTestTache,dateEndThTache,dateEndRealTache,idProjet) VALUES ('5','tache5','tache5','Vitale','Terminer','Conception','2023/01/03','2023/01/03','2023/01/03','2023/01/04','2023/01/04',2);</t>
  </si>
  <si>
    <t>INSERT INTO TACHES(numTache,nameTache,descriptionTache,prioTache,stateTache,categoryTache,dateCreateTache,dateInProgressTache,dateToTestTache,dateEndThTache,dateEndRealTache,idProjet) VALUES ('6','tache6','tache6','Vitale','Terminer','Realisation','2023/01/05','2023/01/05','2023/01/10','2023/01/11','2023/01/11',2);</t>
  </si>
  <si>
    <t>INSERT INTO TACHES(numTache,nameTache,descriptionTache,prioTache,stateTache,categoryTache,dateCreateTache,dateInProgressTache,dateToTestTache,dateEndThTache,dateEndRealTache,idProjet) VALUES ('7','tache7','tache7','Vitale','Terminer','Realisation','2023/01/12','2023/01/12','2023/01/17','2023/01/18','2023/01/18',2);</t>
  </si>
  <si>
    <t>INSERT INTO TACHES(numTache,nameTache,descriptionTache,prioTache,stateTache,categoryTache,dateCreateTache,dateInProgressTache,dateToTestTache,dateEndThTache,dateEndRealTache,idProjet) VALUES ('8','tache8','tache8','Utile','Terminer','Realisation','2023/01/30','2023/01/30','2023/01/30','2023/01/30','2023/01/30',2);</t>
  </si>
  <si>
    <t>INSERT INTO TACHES(numTache,nameTache,descriptionTache,prioTache,stateTache,categoryTache,dateCreateTache,dateInProgressTache,dateToTestTache,dateEndThTache,dateEndRealTache,idProjet) VALUES ('9','tache9','tache9','Importante','Terminer','Realisation','2023/01/28','2023/01/28','2023/01/28','2023/01/28','2023/01/28',2);</t>
  </si>
  <si>
    <t>INSERT INTO TACHES(numTache,nameTache,descriptionTache,prioTache,stateTache,categoryTache,dateCreateTache,dateInProgressTache,dateToTestTache,dateEndThTache,dateEndRealTache,idProjet) VALUES ('10','tache10','tache10','Vitale','Terminer','Realisation','2023/01/19','2023/01/19','2023/01/19','2023/01/19','2023/01/20',2);</t>
  </si>
  <si>
    <t>INSERT INTO TACHES(numTache,nameTache,descriptionTache,prioTache,stateTache,categoryTache,dateCreateTache,dateInProgressTache,dateToTestTache,dateEndThTache,dateEndRealTache,idProjet) VALUES ('11','tache11','tache11','Vitale','Terminer','Realisation','2023/01/20','2023/01/20','2023/01/20','2023/01/20','2023/01/21',2);</t>
  </si>
  <si>
    <t>INSERT INTO TACHES(numTache,nameTache,descriptionTache,prioTache,stateTache,categoryTache,dateCreateTache,dateInProgressTache,dateToTestTache,dateEndThTache,dateEndRealTache,idProjet) VALUES ('12','tache12','tache12','Vitale','Terminer','Realisation','2023/01/21','2023/01/21','2023/01/23','2023/01/24','2023/01/24',2);</t>
  </si>
  <si>
    <t>INSERT INTO TACHES(numTache,nameTache,descriptionTache,prioTache,stateTache,categoryTache,dateCreateTache,dateInProgressTache,dateToTestTache,dateEndThTache,dateEndRealTache,idProjet) VALUES ('13','tache13','tache13','Vitale','Terminer','Realisation','2023/01/25','2023/01/25','2023/01/25','2023/01/25','2023/01/25',2);</t>
  </si>
  <si>
    <t>INSERT INTO TACHES(numTache,nameTache,descriptionTache,prioTache,stateTache,categoryTache,dateCreateTache,dateInProgressTache,dateToTestTache,dateEndThTache,dateEndRealTache,idProjet) VALUES ('14','tache14','tache14','Vitale','Terminer','Realisation','2023/01/26','2023/01/26','2023/01/26','2023/01/26','2023/01/26',2);</t>
  </si>
  <si>
    <t>INSERT INTO TACHES(numTache,nameTache,descriptionTache,prioTache,stateTache,categoryTache,dateCreateTache,dateInProgressTache,dateToTestTache,dateEndThTache,dateEndRealTache,idProjet) VALUES ('15','tache15','tache15','Importante','Terminer','Realisation','2023/01/29','2023/01/29','2023/01/29','2023/01/29','2023/01/29',2);</t>
  </si>
  <si>
    <t>INSERT INTO TACHES(numTache,nameTache,descriptionTache,prioTache,stateTache,categoryTache,dateCreateTache,dateInProgressTache,dateToTestTache,dateEndThTache,dateEndRealTache,idProjet) VALUES ('16','tache16','tache16','Confort','Terminer','Realisation','2023/01/31','2023/01/31','2023/02/01','2023/02/01','2023/02/01',2);</t>
  </si>
  <si>
    <t>INSERT INTO TACHES(numTache,nameTache,descriptionTache,prioTache,stateTache,categoryTache,dateCreateTache,dateInProgressTache,dateToTestTache,dateEndThTache,dateEndRealTache,idProjet) VALUES ('17','tache17','tache17','Vitale','Terminer','Realisation','2023/01/27','2023/01/27','2023/01/27','2023/01/27','2023/01/28',2);</t>
  </si>
  <si>
    <t>INSERT INTO TACHES(numTache,nameTache,descriptionTache,prioTache,stateTache,categoryTache,dateCreateTache,dateInProgressTache,dateToTestTache,dateEndThTache,dateEndRealTache,idProjet) VALUES ('18','tache18','tache18','Vitale','Terminer','Exploitation','2023/02/02','2023/02/02','2023/02/02','2023/02/03','2023/02/03',2);</t>
  </si>
  <si>
    <t>INSERT INTO TACHES(numTache,nameTache,descriptionTache,prioTache,stateTache,categoryTache,dateCreateTache,dateInProgressTache,dateToTestTache,dateEndThTache,dateEndRealTache,idProjet) VALUES ('1','tache1','tache1','Vitale','Terminer','Initialisation','2023/02/06','2023/02/06','2023/02/06','2023/02/06','2023/02/06',3);</t>
  </si>
  <si>
    <t>INSERT INTO TACHES(numTache,nameTache,descriptionTache,prioTache,stateTache,categoryTache,dateCreateTache,dateInProgressTache,dateToTestTache,dateEndThTache,dateEndRealTache,idProjet) VALUES ('2','tache2','tache2','Vitale','Terminer','Initialisation','2023/02/06','2023/02/06','2023/02/06','2023/02/06','2023/02/06',3);</t>
  </si>
  <si>
    <t>INSERT INTO TACHES(numTache,nameTache,descriptionTache,prioTache,stateTache,categoryTache,dateCreateTache,dateInProgressTache,dateToTestTache,dateEndThTache,dateEndRealTache,idProjet) VALUES ('3','tache3','tache3','Vitale','Terminer','Analyse','2023/02/06','2023/02/06','2023/02/06','2023/02/06','2023/02/06',3);</t>
  </si>
  <si>
    <t>INSERT INTO TACHES(numTache,nameTache,descriptionTache,prioTache,stateTache,categoryTache,dateCreateTache,dateInProgressTache,dateToTestTache,dateEndThTache,dateEndRealTache,idProjet) VALUES ('4','tache4','tache4','Vitale','Terminer','Analyse','2023/02/07','2023/02/07','2023/02/07','2023/02/07','2023/02/07',3);</t>
  </si>
  <si>
    <t>INSERT INTO TACHES(numTache,nameTache,descriptionTache,prioTache,stateTache,categoryTache,dateCreateTache,dateInProgressTache,dateToTestTache,dateEndThTache,dateEndRealTache,idProjet) VALUES ('5','tache5','tache5','Vitale','Terminer','Conception','2023/02/07','2023/02/07','2023/02/07','2023/02/08','2023/02/08',3);</t>
  </si>
  <si>
    <t>INSERT INTO TACHES(numTache,nameTache,descriptionTache,prioTache,stateTache,categoryTache,dateCreateTache,dateInProgressTache,dateToTestTache,dateEndThTache,dateEndRealTache,idProjet) VALUES ('6','tache6','tache6','Vitale','Terminer','Realisation','2023/02/09','2023/02/09','2023/02/09','2023/02/09','2023/02/09',3);</t>
  </si>
  <si>
    <t>INSERT INTO TACHES(numTache,nameTache,descriptionTache,prioTache,stateTache,categoryTache,dateCreateTache,dateInProgressTache,dateToTestTache,dateEndThTache,dateEndRealTache,idProjet) VALUES ('7','tache7','tache7','Vitale','Terminer','Realisation','2023/02/10','2023/02/10','2023/02/10','2023/02/10','2023/02/10',3);</t>
  </si>
  <si>
    <t>INSERT INTO TACHES(numTache,nameTache,descriptionTache,prioTache,stateTache,categoryTache,dateCreateTache,dateInProgressTache,dateToTestTache,dateEndThTache,dateEndRealTache,idProjet) VALUES ('8','tache8','tache8','Utile','Terminer','Realisation','2023/02/21','2023/02/21','2023/02/21','2023/02/21','2023/02/21',3);</t>
  </si>
  <si>
    <t>INSERT INTO TACHES(numTache,nameTache,descriptionTache,prioTache,stateTache,categoryTache,dateCreateTache,dateInProgressTache,dateToTestTache,dateEndThTache,dateEndRealTache,idProjet) VALUES ('9','tache9','tache9','Importante','Terminer','Realisation','2023/02/19','2023/02/19','2023/02/19','2023/02/19','2023/02/19',3);</t>
  </si>
  <si>
    <t>INSERT INTO TACHES(numTache,nameTache,descriptionTache,prioTache,stateTache,categoryTache,dateCreateTache,dateInProgressTache,dateToTestTache,dateEndThTache,dateEndRealTache,idProjet) VALUES ('10','tache10','tache10','Vitale','Terminer','Realisation','2023/02/11','2023/02/11','2023/02/11','2023/02/11','2023/02/12',3);</t>
  </si>
  <si>
    <t>INSERT INTO TACHES(numTache,nameTache,descriptionTache,prioTache,stateTache,categoryTache,dateCreateTache,dateInProgressTache,dateToTestTache,dateEndThTache,dateEndRealTache,idProjet) VALUES ('11','tache11','tache11','Vitale','Terminer','Realisation','2023/02/12','2023/02/12','2023/02/12','2023/02/12','2023/02/13',3);</t>
  </si>
  <si>
    <t>INSERT INTO TACHES(numTache,nameTache,descriptionTache,prioTache,stateTache,categoryTache,dateCreateTache,dateInProgressTache,dateToTestTache,dateEndThTache,dateEndRealTache,idProjet) VALUES ('12','tache12','tache12','Vitale','Terminer','Realisation','2023/02/13','2023/02/13','2023/02/15','2023/02/15','2023/02/15',3);</t>
  </si>
  <si>
    <t>INSERT INTO TACHES(numTache,nameTache,descriptionTache,prioTache,stateTache,categoryTache,dateCreateTache,dateInProgressTache,dateToTestTache,dateEndThTache,dateEndRealTache,idProjet) VALUES ('13','tache13','tache13','Vitale','Terminer','Realisation','2023/02/16','2023/02/16','2023/02/16','2023/02/16','2023/02/16',3);</t>
  </si>
  <si>
    <t>INSERT INTO TACHES(numTache,nameTache,descriptionTache,prioTache,stateTache,categoryTache,dateCreateTache,dateInProgressTache,dateToTestTache,dateEndThTache,dateEndRealTache,idProjet) VALUES ('14','tache14','tache14','Vitale','Terminer','Realisation','2023/02/17','2023/02/17','2023/02/17','2023/02/17','2023/02/17',3);</t>
  </si>
  <si>
    <t>INSERT INTO TACHES(numTache,nameTache,descriptionTache,prioTache,stateTache,categoryTache,dateCreateTache,dateInProgressTache,dateToTestTache,dateEndThTache,dateEndRealTache,idProjet) VALUES ('15','tache15','tache15','Importante','Terminer','Realisation','2023/02/20','2023/02/20','2023/02/20','2023/02/20','2023/02/20',3);</t>
  </si>
  <si>
    <t>INSERT INTO TACHES(numTache,nameTache,descriptionTache,prioTache,stateTache,categoryTache,dateCreateTache,dateInProgressTache,dateToTestTache,dateEndThTache,dateEndRealTache,idProjet) VALUES ('16','tache16','tache16','Confort','Terminer','Realisation','2023/02/22','2023/02/22','2023/02/23','2023/02/23','2023/02/23',3);</t>
  </si>
  <si>
    <t>INSERT INTO TACHES(numTache,nameTache,descriptionTache,prioTache,stateTache,categoryTache,dateCreateTache,dateInProgressTache,dateToTestTache,dateEndThTache,dateEndRealTache,idProjet) VALUES ('17','tache17','tache17','Vitale','Terminer','Realisation','2023/02/18','2023/02/18','2023/02/18','2023/02/18','2023/02/19',3);</t>
  </si>
  <si>
    <t>INSERT INTO TACHES(numTache,nameTache,descriptionTache,prioTache,stateTache,categoryTache,dateCreateTache,dateInProgressTache,dateToTestTache,dateEndThTache,dateEndRealTache,idProjet) VALUES ('18','tache18','tache18','Vitale','Terminer','Exploitation','2023/02/24','2023/02/24','2023/02/24','2023/02/24','2023/02/24',3);</t>
  </si>
  <si>
    <t>INSERT INTO TACHES(numTache,nameTache,descriptionTache,prioTache,stateTache,categoryTache,dateCreateTache,dateInProgressTache,dateToTestTache,dateEndThTache,dateEndRealTache,idProjet) VALUES ('1','tache1','tache1','Vitale','Terminer','Initialisation','2023/02/27','2023/02/27','2023/02/27','2023/02/27','2023/02/27',4);</t>
  </si>
  <si>
    <t>INSERT INTO TACHES(numTache,nameTache,descriptionTache,prioTache,stateTache,categoryTache,dateCreateTache,dateInProgressTache,dateToTestTache,dateEndThTache,dateEndRealTache,idProjet) VALUES ('2','tache2','tache2','Vitale','Terminer','Initialisation','2023/02/27','2023/02/27','2023/02/27','2023/02/27','2023/02/27',4);</t>
  </si>
  <si>
    <t>INSERT INTO TACHES(numTache,nameTache,descriptionTache,prioTache,stateTache,categoryTache,dateCreateTache,dateInProgressTache,dateToTestTache,dateEndThTache,dateEndRealTache,idProjet) VALUES ('3','tache3','tache3','Vitale','Terminer','Analyse','2023/02/27','2023/02/27','2023/02/27','2023/02/27','2023/02/27',4);</t>
  </si>
  <si>
    <t>INSERT INTO TACHES(numTache,nameTache,descriptionTache,prioTache,stateTache,categoryTache,dateCreateTache,dateInProgressTache,dateToTestTache,dateEndThTache,dateEndRealTache,idProjet) VALUES ('4','tache4','tache4','Vitale','Terminer','Analyse','2023/02/28','2023/02/28','2023/02/28','2023/02/28','2023/02/28',4);</t>
  </si>
  <si>
    <t>INSERT INTO TACHES(numTache,nameTache,descriptionTache,prioTache,stateTache,categoryTache,dateCreateTache,dateInProgressTache,dateToTestTache,dateEndThTache,dateEndRealTache,idProjet) VALUES ('5','tache5','tache5','Vitale','Terminer','Conception','2023/02/28','2023/02/28','2023/02/28','2023/02/28','2023/02/28',4);</t>
  </si>
  <si>
    <t>INSERT INTO TACHES(numTache,nameTache,descriptionTache,prioTache,stateTache,categoryTache,dateCreateTache,dateInProgressTache,dateToTestTache,dateEndThTache,dateEndRealTache,idProjet) VALUES ('6','tache6','tache6','Vitale','Terminer','Realisation','2023/03/01','2023/03/01','2023/03/01','2023/03/01','2023/03/01',4);</t>
  </si>
  <si>
    <t>INSERT INTO TACHES(numTache,nameTache,descriptionTache,prioTache,stateTache,categoryTache,dateCreateTache,dateInProgressTache,dateToTestTache,dateEndThTache,dateEndRealTache,idProjet) VALUES ('7','tache7','tache7','Vitale','Terminer','Realisation','2023/03/02','2023/03/02','2023/03/02','2023/03/02','2023/03/02',4);</t>
  </si>
  <si>
    <t>INSERT INTO TACHES(numTache,nameTache,descriptionTache,prioTache,stateTache,categoryTache,dateCreateTache,dateInProgressTache,dateToTestTache,dateEndThTache,dateEndRealTache,idProjet) VALUES ('8','tache8','tache8','Utile','Terminer','Realisation','2023/03/08','2023/03/08','2023/03/08','2023/03/08','2023/03/08',4);</t>
  </si>
  <si>
    <t>INSERT INTO TACHES(numTache,nameTache,descriptionTache,prioTache,stateTache,categoryTache,dateCreateTache,dateInProgressTache,dateToTestTache,dateEndThTache,dateEndRealTache,idProjet) VALUES ('9','tache9','tache9','Importante','Terminer','Realisation','2023/03/06','2023/03/06','2023/03/06','2023/03/06','2023/03/06',4);</t>
  </si>
  <si>
    <t>INSERT INTO TACHES(numTache,nameTache,descriptionTache,prioTache,stateTache,categoryTache,dateCreateTache,dateInProgressTache,dateToTestTache,dateEndThTache,dateEndRealTache,idProjet) VALUES ('10','tache10','tache10','Vitale','Terminer','Realisation','2023/03/03','2023/03/03','2023/03/03','2023/03/03','2023/03/03',4);</t>
  </si>
  <si>
    <t>INSERT INTO TACHES(numTache,nameTache,descriptionTache,prioTache,stateTache,categoryTache,dateCreateTache,dateInProgressTache,dateToTestTache,dateEndThTache,dateEndRealTache,idProjet) VALUES ('11','tache11','tache11','Vitale','Terminer','Realisation','2023/03/03','2023/03/03','2023/03/03','2023/03/03','2023/03/03',4);</t>
  </si>
  <si>
    <t>INSERT INTO TACHES(numTache,nameTache,descriptionTache,prioTache,stateTache,categoryTache,dateCreateTache,dateInProgressTache,dateToTestTache,dateEndThTache,dateEndRealTache,idProjet) VALUES ('12','tache12','tache12','Vitale','Terminer','Realisation','2023/03/03','2023/03/03','2023/03/03','2023/03/03','2023/03/03',4);</t>
  </si>
  <si>
    <t>INSERT INTO TACHES(numTache,nameTache,descriptionTache,prioTache,stateTache,categoryTache,dateCreateTache,dateInProgressTache,dateToTestTache,dateEndThTache,dateEndRealTache,idProjet) VALUES ('13','tache13','tache13','Vitale','Terminer','Realisation','2023/03/04','2023/03/04','2023/03/04','2023/03/04','2023/03/04',4);</t>
  </si>
  <si>
    <t>INSERT INTO TACHES(numTache,nameTache,descriptionTache,prioTache,stateTache,categoryTache,dateCreateTache,dateInProgressTache,dateToTestTache,dateEndThTache,dateEndRealTache,idProjet) VALUES ('14','tache14','tache14','Vitale','Terminer','Realisation','2023/03/05','2023/03/05','2023/03/05','2023/03/05','2023/03/05',4);</t>
  </si>
  <si>
    <t>INSERT INTO TACHES(numTache,nameTache,descriptionTache,prioTache,stateTache,categoryTache,dateCreateTache,dateInProgressTache,dateToTestTache,dateEndThTache,dateEndRealTache,idProjet) VALUES ('15','tache15','tache15','Importante','Terminer','Realisation','2023/03/07','2023/03/07','2023/03/07','2023/03/07','2023/03/07',4);</t>
  </si>
  <si>
    <t>INSERT INTO TACHES(numTache,nameTache,descriptionTache,prioTache,stateTache,categoryTache,dateCreateTache,dateInProgressTache,dateToTestTache,dateEndThTache,dateEndRealTache,idProjet) VALUES ('16','tache16','tache16','Confort','Terminer','Realisation','2023/03/09','2023/03/09','2023/03/09','2023/03/09','2023/03/09',4);</t>
  </si>
  <si>
    <t>INSERT INTO TACHES(numTache,nameTache,descriptionTache,prioTache,stateTache,categoryTache,dateCreateTache,dateInProgressTache,dateToTestTache,dateEndThTache,dateEndRealTache,idProjet) VALUES ('17','tache17','tache17','Vitale','Terminer','Realisation','2023/03/06','2023/03/06','2023/03/06','2023/03/06','2023/03/06',4);</t>
  </si>
  <si>
    <t>INSERT INTO TACHES(numTache,nameTache,descriptionTache,prioTache,stateTache,categoryTache,dateCreateTache,dateInProgressTache,dateToTestTache,dateEndThTache,dateEndRealTache,idProjet) VALUES ('18','tache18','tache18','Vitale','Terminer','Exploitation','2023/03/10','2023/03/10','2023/03/10','2023/03/10','2023/03/10',4);</t>
  </si>
  <si>
    <t>INSERT INTO TACHES(numTache,nameTache,descriptionTache,prioTache,stateTache,categoryTache,dateCreateTache,dateInProgressTache,dateToTestTache,dateEndThTache,dateEndRealTache,idProjet) VALUES ('1','tache1','tache1','Vitale','Terminer','Initialisation','2023/03/13','2023/03/13','2023/03/13','2023/03/13','2023/03/13',5);</t>
  </si>
  <si>
    <t>INSERT INTO TACHES(numTache,nameTache,descriptionTache,prioTache,stateTache,categoryTache,dateCreateTache,dateInProgressTache,dateToTestTache,dateEndThTache,dateEndRealTache,idProjet) VALUES ('2','tache2','tache2','Vitale','Terminer','Initialisation','2023/03/13','2023/03/13','2023/03/13','2023/03/13','2023/03/13',5);</t>
  </si>
  <si>
    <t>INSERT INTO TACHES(numTache,nameTache,descriptionTache,prioTache,stateTache,categoryTache,dateCreateTache,dateInProgressTache,dateToTestTache,dateEndThTache,dateEndRealTache,idProjet) VALUES ('3','tache3','tache3','Vitale','Terminer','Analyse','2023/03/13','2023/03/13','2023/03/13','2023/03/13','2023/03/13',5);</t>
  </si>
  <si>
    <t>INSERT INTO TACHES(numTache,nameTache,descriptionTache,prioTache,stateTache,categoryTache,dateCreateTache,dateInProgressTache,dateToTestTache,dateEndThTache,dateEndRealTache,idProjet) VALUES ('4','tache4','tache4','Vitale','Terminer','Analyse','2023/03/14','2023/03/14','2023/03/14','2023/03/14','2023/03/14',5);</t>
  </si>
  <si>
    <t>INSERT INTO TACHES(numTache,nameTache,descriptionTache,prioTache,stateTache,categoryTache,dateCreateTache,dateInProgressTache,dateToTestTache,dateEndThTache,dateEndRealTache,idProjet) VALUES ('5','tache5','tache5','Vitale','Terminer','Conception','2023/03/14','2023/03/14','2023/03/14','2023/03/15','2023/03/15',5);</t>
  </si>
  <si>
    <t>INSERT INTO TACHES(numTache,nameTache,descriptionTache,prioTache,stateTache,categoryTache,dateCreateTache,dateInProgressTache,dateToTestTache,dateEndThTache,dateEndRealTache,idProjet) VALUES ('6','tache6','tache6','Vitale','Terminer','Realisation','2023/03/16','2023/03/16','2023/03/19','2023/03/19','2023/03/19',5);</t>
  </si>
  <si>
    <t>INSERT INTO TACHES(numTache,nameTache,descriptionTache,prioTache,stateTache,categoryTache,dateCreateTache,dateInProgressTache,dateToTestTache,dateEndThTache,dateEndRealTache,idProjet) VALUES ('7','tache7','tache7','Vitale','Terminer','Realisation','2023/03/20','2023/03/20','2023/03/21','2023/03/21','2023/03/21',5);</t>
  </si>
  <si>
    <t>INSERT INTO TACHES(numTache,nameTache,descriptionTache,prioTache,stateTache,categoryTache,dateCreateTache,dateInProgressTache,dateToTestTache,dateEndThTache,dateEndRealTache,idProjet) VALUES ('8','tache8','tache8','Utile','Terminer','Realisation','2023/04/01','2023/04/01','2023/04/01','2023/04/01','2023/04/01',5);</t>
  </si>
  <si>
    <t>INSERT INTO TACHES(numTache,nameTache,descriptionTache,prioTache,stateTache,categoryTache,dateCreateTache,dateInProgressTache,dateToTestTache,dateEndThTache,dateEndRealTache,idProjet) VALUES ('9','tache9','tache9','Importante','Terminer','Realisation','2023/03/30','2023/03/30','2023/03/30','2023/03/30','2023/03/30',5);</t>
  </si>
  <si>
    <t>INSERT INTO TACHES(numTache,nameTache,descriptionTache,prioTache,stateTache,categoryTache,dateCreateTache,dateInProgressTache,dateToTestTache,dateEndThTache,dateEndRealTache,idProjet) VALUES ('10','tache10','tache10','Vitale','Terminer','Realisation','2023/03/22','2023/03/22','2023/03/22','2023/03/22','2023/03/23',5);</t>
  </si>
  <si>
    <t>INSERT INTO TACHES(numTache,nameTache,descriptionTache,prioTache,stateTache,categoryTache,dateCreateTache,dateInProgressTache,dateToTestTache,dateEndThTache,dateEndRealTache,idProjet) VALUES ('11','tache11','tache11','Vitale','Terminer','Realisation','2023/03/23','2023/03/23','2023/03/23','2023/03/23','2023/03/24',5);</t>
  </si>
  <si>
    <t>INSERT INTO TACHES(numTache,nameTache,descriptionTache,prioTache,stateTache,categoryTache,dateCreateTache,dateInProgressTache,dateToTestTache,dateEndThTache,dateEndRealTache,idProjet) VALUES ('12','tache12','tache12','Vitale','Terminer','Realisation','2023/03/24','2023/03/24','2023/03/26','2023/03/26','2023/03/26',5);</t>
  </si>
  <si>
    <t>INSERT INTO TACHES(numTache,nameTache,descriptionTache,prioTache,stateTache,categoryTache,dateCreateTache,dateInProgressTache,dateToTestTache,dateEndThTache,dateEndRealTache,idProjet) VALUES ('13','tache13','tache13','Vitale','Terminer','Realisation','2023/03/27','2023/03/27','2023/03/27','2023/03/27','2023/03/27',5);</t>
  </si>
  <si>
    <t>INSERT INTO TACHES(numTache,nameTache,descriptionTache,prioTache,stateTache,categoryTache,dateCreateTache,dateInProgressTache,dateToTestTache,dateEndThTache,dateEndRealTache,idProjet) VALUES ('14','tache14','tache14','Vitale','Terminer','Realisation','2023/03/28','2023/03/28','2023/03/28','2023/03/28','2023/03/28',5);</t>
  </si>
  <si>
    <t>INSERT INTO TACHES(numTache,nameTache,descriptionTache,prioTache,stateTache,categoryTache,dateCreateTache,dateInProgressTache,dateToTestTache,dateEndThTache,dateEndRealTache,idProjet) VALUES ('15','tache15','tache15','Importante','Terminer','Realisation','2023/03/31','2023/03/31','2023/03/31','2023/03/31','2023/03/31',5);</t>
  </si>
  <si>
    <t>INSERT INTO TACHES(numTache,nameTache,descriptionTache,prioTache,stateTache,categoryTache,dateCreateTache,dateInProgressTache,dateToTestTache,dateEndThTache,dateEndRealTache,idProjet) VALUES ('16','tache16','tache16','Confort','Terminer','Realisation','2023/04/02','2023/04/02','2023/04/03','2023/04/03','2023/04/03',5);</t>
  </si>
  <si>
    <t>INSERT INTO TACHES(numTache,nameTache,descriptionTache,prioTache,stateTache,categoryTache,dateCreateTache,dateInProgressTache,dateToTestTache,dateEndThTache,dateEndRealTache,idProjet) VALUES ('17','tache17','tache17','Vitale','Terminer','Realisation','2023/03/29','2023/03/29','2023/03/29','2023/03/29','2023/03/30',5);</t>
  </si>
  <si>
    <t>INSERT INTO TACHES(numTache,nameTache,descriptionTache,prioTache,stateTache,categoryTache,dateCreateTache,dateInProgressTache,dateToTestTache,dateEndThTache,dateEndRealTache,idProjet) VALUES ('18','tache18','tache18','Vitale','Terminer','Exploitation','2023/04/04','2023/04/04','2023/04/04','2023/04/04','2023/04/04',5);</t>
  </si>
  <si>
    <t>INSERT INTO TACHES(numTache,nameTache,descriptionTache,prioTache,stateTache,categoryTache,dateCreateTache,dateInProgressTache,dateToTestTache,dateEndThTache,dateEndRealTache,idProjet) VALUES ('1','tache1','tache1','Vitale','Terminer','Initialisation','2023/04/03','2023/04/03','2023/04/03','2023/04/03','2023/04/03',6);</t>
  </si>
  <si>
    <t>INSERT INTO TACHES(numTache,nameTache,descriptionTache,prioTache,stateTache,categoryTache,dateCreateTache,dateInProgressTache,dateToTestTache,dateEndThTache,dateEndRealTache,idProjet) VALUES ('2','tache2','tache2','Vitale','Terminer','Initialisation','2023/04/03','2023/04/03','2023/04/03','2023/04/03','2023/04/03',6);</t>
  </si>
  <si>
    <t>INSERT INTO TACHES(numTache,nameTache,descriptionTache,prioTache,stateTache,categoryTache,dateCreateTache,dateInProgressTache,dateToTestTache,dateEndThTache,dateEndRealTache,idProjet) VALUES ('3','tache3','tache3','Vitale','Terminer','Analyse','2023/04/03','2023/04/03','2023/04/03','2023/04/03','2023/04/03',6);</t>
  </si>
  <si>
    <t>INSERT INTO TACHES(numTache,nameTache,descriptionTache,prioTache,stateTache,categoryTache,dateCreateTache,dateInProgressTache,dateToTestTache,dateEndThTache,dateEndRealTache,idProjet) VALUES ('4','tache4','tache4','Vitale','Terminer','Analyse','2023/04/04','2023/04/04','2023/04/04','2023/04/04','2023/04/04',6);</t>
  </si>
  <si>
    <t>INSERT INTO TACHES(numTache,nameTache,descriptionTache,prioTache,stateTache,categoryTache,dateCreateTache,dateInProgressTache,dateToTestTache,dateEndThTache,dateEndRealTache,idProjet) VALUES ('5','tache5','tache5','Vitale','Terminer','Conception','2023/04/04','2023/04/04','2023/04/04','2023/04/05','2023/04/05',6);</t>
  </si>
  <si>
    <t>INSERT INTO TACHES(numTache,nameTache,descriptionTache,prioTache,stateTache,categoryTache,dateCreateTache,dateInProgressTache,dateToTestTache,dateEndThTache,dateEndRealTache,idProjet) VALUES ('6','tache6','tache6','Vitale','Terminer','Realisation','2023/04/06','2023/04/06','2023/04/10','2023/04/11','2023/04/11',6);</t>
  </si>
  <si>
    <t>INSERT INTO TACHES(numTache,nameTache,descriptionTache,prioTache,stateTache,categoryTache,dateCreateTache,dateInProgressTache,dateToTestTache,dateEndThTache,dateEndRealTache,idProjet) VALUES ('7','tache7','tache7','Vitale','Terminer','Realisation','2023/04/12','2023/04/12','2023/04/14','2023/04/15','2023/04/15',6);</t>
  </si>
  <si>
    <t>INSERT INTO TACHES(numTache,nameTache,descriptionTache,prioTache,stateTache,categoryTache,dateCreateTache,dateInProgressTache,dateToTestTache,dateEndThTache,dateEndRealTache,idProjet) VALUES ('8','tache8','tache8','Utile','Terminer','Realisation','2023/04/27','2023/04/27','2023/04/27','2023/04/27','2023/04/27',6);</t>
  </si>
  <si>
    <t>INSERT INTO TACHES(numTache,nameTache,descriptionTache,prioTache,stateTache,categoryTache,dateCreateTache,dateInProgressTache,dateToTestTache,dateEndThTache,dateEndRealTache,idProjet) VALUES ('9','tache9','tache9','Importante','Terminer','Realisation','2023/04/25','2023/04/25','2023/04/25','2023/04/25','2023/04/25',6);</t>
  </si>
  <si>
    <t>INSERT INTO TACHES(numTache,nameTache,descriptionTache,prioTache,stateTache,categoryTache,dateCreateTache,dateInProgressTache,dateToTestTache,dateEndThTache,dateEndRealTache,idProjet) VALUES ('10','tache10','tache10','Vitale','Terminer','Realisation','2023/04/16','2023/04/16','2023/04/16','2023/04/16','2023/04/17',6);</t>
  </si>
  <si>
    <t>INSERT INTO TACHES(numTache,nameTache,descriptionTache,prioTache,stateTache,categoryTache,dateCreateTache,dateInProgressTache,dateToTestTache,dateEndThTache,dateEndRealTache,idProjet) VALUES ('11','tache11','tache11','Vitale','Terminer','Realisation','2023/04/17','2023/04/17','2023/04/17','2023/04/17','2023/04/18',6);</t>
  </si>
  <si>
    <t>INSERT INTO TACHES(numTache,nameTache,descriptionTache,prioTache,stateTache,categoryTache,dateCreateTache,dateInProgressTache,dateToTestTache,dateEndThTache,dateEndRealTache,idProjet) VALUES ('12','tache12','tache12','Vitale','Terminer','Realisation','2023/04/18','2023/04/18','2023/04/20','2023/04/20','2023/04/20',6);</t>
  </si>
  <si>
    <t>INSERT INTO TACHES(numTache,nameTache,descriptionTache,prioTache,stateTache,categoryTache,dateCreateTache,dateInProgressTache,dateToTestTache,dateEndThTache,dateEndRealTache,idProjet) VALUES ('13','tache13','tache13','Vitale','Terminer','Realisation','2023/04/21','2023/04/21','2023/04/21','2023/04/22','2023/04/21',6);</t>
  </si>
  <si>
    <t>INSERT INTO TACHES(numTache,nameTache,descriptionTache,prioTache,stateTache,categoryTache,dateCreateTache,dateInProgressTache,dateToTestTache,dateEndThTache,dateEndRealTache,idProjet) VALUES ('14','tache14','tache14','Vitale','Terminer','Realisation','2023/04/22','2023/04/22','2023/04/23','2023/04/23','2023/04/22',6);</t>
  </si>
  <si>
    <t>INSERT INTO TACHES(numTache,nameTache,descriptionTache,prioTache,stateTache,categoryTache,dateCreateTache,dateInProgressTache,dateToTestTache,dateEndThTache,dateEndRealTache,idProjet) VALUES ('15','tache15','tache15','Importante','Terminer','Realisation','2023/04/26','2023/04/26','2023/04/26','2023/04/26','2023/04/26',6);</t>
  </si>
  <si>
    <t>INSERT INTO TACHES(numTache,nameTache,descriptionTache,prioTache,stateTache,categoryTache,dateCreateTache,dateInProgressTache,dateToTestTache,dateEndThTache,dateEndRealTache,idProjet) VALUES ('16','tache16','tache16','Confort','Terminer','Realisation','2023/04/28','2023/04/28','2023/04/29','2023/04/29','2023/04/29',6);</t>
  </si>
  <si>
    <t>INSERT INTO TACHES(numTache,nameTache,descriptionTache,prioTache,stateTache,categoryTache,dateCreateTache,dateInProgressTache,dateToTestTache,dateEndThTache,dateEndRealTache,idProjet) VALUES ('17','tache17','tache17','Vitale','Terminer','Realisation','2023/04/23','2023/04/23','2023/04/24','2023/04/24','2023/04/25',6);</t>
  </si>
  <si>
    <t>INSERT INTO TACHES(numTache,nameTache,descriptionTache,prioTache,stateTache,categoryTache,dateCreateTache,dateInProgressTache,dateToTestTache,dateEndThTache,dateEndRealTache,idProjet) VALUES ('18','tache18','tache18','Vitale','Terminer','Exploitation','2023/04/30','2023/04/30','2023/05/02','2023/05/03','2023/05/03',6);</t>
  </si>
  <si>
    <t>INSERT INTO TACHES(numTache,nameTache,descriptionTache,prioTache,stateTache,categoryTache,dateCreateTache,dateInProgressTache,dateToTestTache,dateEndThTache,dateEndRealTache,idProjet) VALUES ('1','tache1','tache1','Vitale','Terminer','Initialisation','2023/04/15','2023/04/15','2023/04/15','','2023/04/15',7);</t>
  </si>
  <si>
    <t>INSERT INTO TACHES(numTache,nameTache,descriptionTache,prioTache,stateTache,categoryTache,dateCreateTache,dateInProgressTache,dateToTestTache,dateEndThTache,dateEndRealTache,idProjet) VALUES ('2','tache2','tache2','Importante','Terminer','Initialisation','2023/04/15','2023/04/15','2023/04/15','2023/04/16','2023/04/16',7);</t>
  </si>
  <si>
    <t>INSERT INTO TACHES(numTache,nameTache,descriptionTache,prioTache,stateTache,categoryTache,dateCreateTache,dateInProgressTache,dateToTestTache,dateEndThTache,dateEndRealTache,idProjet) VALUES ('3','tache3','tache3','Vitale','Terminer','Initialisation','2023/05/02','2023/05/02','2023/05/03','2023/05/03','2023/05/03',7);</t>
  </si>
  <si>
    <t>INSERT INTO TACHES(numTache,nameTache,descriptionTache,prioTache,stateTache,categoryTache,dateCreateTache,dateInProgressTache,dateToTestTache,dateEndThTache,dateEndRealTache,idProjet) VALUES ('4','tache4','tache4','Vitale','Terminer','Analyse','2023/04/15','2023/04/15','2023/04/15','2023/04/15','2023/04/15',7);</t>
  </si>
  <si>
    <t>INSERT INTO TACHES(numTache,nameTache,descriptionTache,prioTache,stateTache,categoryTache,dateCreateTache,dateInProgressTache,dateToTestTache,dateEndThTache,dateEndRealTache,idProjet) VALUES ('5','tache5','tache5','Vitale','Terminer','Analyse','2023/05/02','2023/05/02','2023/05/02','2023/05/02','2023/05/02',7);</t>
  </si>
  <si>
    <t>INSERT INTO TACHES(numTache,nameTache,descriptionTache,prioTache,stateTache,categoryTache,dateCreateTache,dateInProgressTache,dateToTestTache,dateEndThTache,dateEndRealTache,idProjet) VALUES ('6','tache6','tache6','Vitale','Terminer','Conception','2023/04/16','2023/04/16','2023/04/16','2023/04/17','2023/04/17',7);</t>
  </si>
  <si>
    <t>INSERT INTO TACHES(numTache,nameTache,descriptionTache,prioTache,stateTache,categoryTache,dateCreateTache,dateInProgressTache,dateToTestTache,dateEndThTache,dateEndRealTache,idProjet) VALUES ('7','tache7','tache7','Vitale','Terminer','Realisation','2023/04/17','2023/04/21','2023/04/22','2023/04/23','2023/04/24',7);</t>
  </si>
  <si>
    <t>INSERT INTO TACHES(numTache,nameTache,descriptionTache,prioTache,stateTache,categoryTache,dateCreateTache,dateInProgressTache,dateToTestTache,dateEndThTache,dateEndRealTache,idProjet) VALUES ('8','tache8','tache8','Vitale','Terminer','Realisation','2023/04/17','2023/04/22','2023/04/23','2023/04/24','2023/04/25',7);</t>
  </si>
  <si>
    <t>INSERT INTO TACHES(numTache,nameTache,descriptionTache,prioTache,stateTache,categoryTache,dateCreateTache,dateInProgressTache,dateToTestTache,dateEndThTache,dateEndRealTache,idProjet) VALUES ('9','tache9','tache9','Utile','Terminer','Realisation','2023/04/19','2023/04/24','2023/04/25','2023/04/26','2023/04/27',7);</t>
  </si>
  <si>
    <t>INSERT INTO TACHES(numTache,nameTache,descriptionTache,prioTache,stateTache,categoryTache,dateCreateTache,dateInProgressTache,dateToTestTache,dateEndThTache,dateEndRealTache,idProjet) VALUES ('10','tache10','tache10','Importante','Terminer','Realisation','2023/04/19','2023/04/24','2023/04/25','2023/04/26','2023/04/27',7);</t>
  </si>
  <si>
    <t>INSERT INTO TACHES(numTache,nameTache,descriptionTache,prioTache,stateTache,categoryTache,dateCreateTache,dateInProgressTache,dateToTestTache,dateEndThTache,dateEndRealTache,idProjet) VALUES ('11','tache11','tache11','Vitale','Terminer','Realisation','2023/04/20','2023/04/25','2023/04/26','2023/04/27','2023/04/28',7);</t>
  </si>
  <si>
    <t>INSERT INTO TACHES(numTache,nameTache,descriptionTache,prioTache,stateTache,categoryTache,dateCreateTache,dateInProgressTache,dateToTestTache,dateEndThTache,dateEndRealTache,idProjet) VALUES ('12','tache12','tache12','Vitale','Terminer','Realisation','2023/04/25','2023/04/30','2023/05/01','2023/05/02','2023/05/03',7);</t>
  </si>
  <si>
    <t>INSERT INTO TACHES(numTache,nameTache,descriptionTache,prioTache,stateTache,categoryTache,dateCreateTache,dateInProgressTache,dateToTestTache,dateEndThTache,dateEndRealTache,idProjet) VALUES ('13','tache13','tache13','Vitale','Terminer','Realisation','2023/05/02','2023/05/07','2023/05/08','2023/05/09','2023/05/10',7);</t>
  </si>
  <si>
    <t>INSERT INTO TACHES(numTache,nameTache,descriptionTache,prioTache,stateTache,categoryTache,dateCreateTache,dateInProgressTache,dateToTestTache,dateEndThTache,dateEndRealTache,idProjet) VALUES ('14','tache14','tache14','Vitale','Terminer','Realisation','2023/05/02','2023/05/07','2023/05/08','2023/05/09','2023/05/10',7);</t>
  </si>
  <si>
    <t>INSERT INTO TACHES(numTache,nameTache,descriptionTache,prioTache,stateTache,categoryTache,dateCreateTache,dateInProgressTache,dateToTestTache,dateEndThTache,dateEndRealTache,idProjet) VALUES ('15','tache15','tache15','Vitale','Terminer','Realisation','2023/04/30','2023/05/05','2023/05/06','2023/05/07','2023/05/08',7);</t>
  </si>
  <si>
    <t>INSERT INTO TACHES(numTache,nameTache,descriptionTache,prioTache,stateTache,categoryTache,dateCreateTache,dateInProgressTache,dateToTestTache,dateEndThTache,dateEndRealTache,idProjet) VALUES ('16','tache16','tache16','Importante','Terminer','Realisation','2023/05/07','2023/05/12','2023/05/13','2023/05/14','2023/05/14',7);</t>
  </si>
  <si>
    <t>INSERT INTO TACHES(numTache,nameTache,descriptionTache,prioTache,stateTache,categoryTache,dateCreateTache,dateInProgressTache,dateToTestTache,dateEndThTache,dateEndRealTache,idProjet) VALUES ('17','tache17','tache17','Confort','Terminer','Realisation','2023/05/08','2023/05/13','2023/05/14','2023/05/15','2023/05/15',7);</t>
  </si>
  <si>
    <t>INSERT INTO TACHES(numTache,nameTache,descriptionTache,prioTache,stateTache,categoryTache,dateCreateTache,dateInProgressTache,dateToTestTache,dateEndThTache,dateEndRealTache,idProjet) VALUES ('18','tache18','tache18','Vitale','Terminer','Realisation','2023/04/28','2023/05/14','2023/05/15','2023/05/25','2023/05/15',7);</t>
  </si>
  <si>
    <t>INSERT INTO TACHES(numTache,nameTache,descriptionTache,prioTache,stateTache,categoryTache,dateCreateTache,dateInProgressTache,dateToTestTache,dateEndThTache,dateEndRealTache,idProjet) VALUES ('19','tache19','tache19','Vitale','Terminer','Exploitation','2023/04/28','2023/05/15','2023/05/15','2023/05/17','2023/05/17',7);</t>
  </si>
  <si>
    <t>INSERT INTO TACHES(numTache,nameTache,descriptionTache,prioTache,stateTache,categoryTache,dateCreateTache,dateInProgressTache,dateToTestTache,dateEndThTache,dateEndRealTache,idProjet) VALUES ('numTache 
STRING','nameTache','descriptionTache','prioTache','stateTache','categoryTache','dateCreateTache','dateInProgressTache','dateToTestTache','dateEndThTache','dateEndRealTache',idProjet);</t>
  </si>
  <si>
    <t>planches, colles, agraffes, vissseries, consommables</t>
  </si>
  <si>
    <t>INSERT INTO COUTS(catCout,dateCout,descriptionCout,montantCout,idProjet) VALUES ('Materiaux','2023/01/02','planches, colles, agraffes, vissseries, consommables',123,1);</t>
  </si>
  <si>
    <t>INSERT INTO COUTS(catCout,dateCout,descriptionCout,montantCout,idProjet) VALUES ('Materiaux','2023/01/16','planches, colles, agraffes, vissseries, consommables',123,2);</t>
  </si>
  <si>
    <t>INSERT INTO COUTS(catCout,dateCout,descriptionCout,montantCout,idProjet) VALUES ('Materiaux','2023/02/06','planches, colles, agraffes, vissseries, consommables',123,3);</t>
  </si>
  <si>
    <t>INSERT INTO COUTS(catCout,dateCout,descriptionCout,montantCout,idProjet) VALUES ('Materiaux','2023/02/27','planches, colles, agraffes, vissseries, consommables',123,4);</t>
  </si>
  <si>
    <t>INSERT INTO COUTS(catCout,dateCout,descriptionCout,montantCout,idProjet) VALUES ('Materiaux','2023/03/13','planches, colles, agraffes, vissseries, consommables',123,5);</t>
  </si>
  <si>
    <t>INSERT INTO COUTS(catCout,dateCout,descriptionCout,montantCout,idProjet) VALUES ('Materiaux','2023/04/03','planches, colles, agraffes, vissseries, consommables',123,6);</t>
  </si>
  <si>
    <t>INSERT INTO COUTS(catCout,dateCout,descriptionCout,montantCout,idProjet) VALUES ('Materiaux','2023/05/02','planches, colles, agraffes, vissseries, consommables',123,7);</t>
  </si>
  <si>
    <t>tvaIntracom</t>
  </si>
  <si>
    <t>commentaire</t>
  </si>
  <si>
    <t>Aime les détails</t>
  </si>
  <si>
    <t>Souhaite des communications fréquentes</t>
  </si>
  <si>
    <t>null</t>
  </si>
  <si>
    <t>codeApe</t>
  </si>
  <si>
    <t>INSERT INTO CLIENTS(firstname,name,adress,tel,mail,isActivate,isPro,numSiret,tvaIntracom,codeApe,nomActivitePro,adrActivitePro,commentaire,idUtilisateur) VALUES ('Elise','ETMOI','174 rue du Faubourg Saint-Denis 59599 TOURQUOINT','09.01.02.03.04','Elise.ETMOI@gmal.com',1,1,'','FR1234567891254680','7410X','Municipalité de Paris 11e','133 rue des Boulets 75011 PARIS','Aime les détails',1);</t>
  </si>
  <si>
    <t>INSERT INTO CLIENTS(firstname,name,adress,tel,mail,isActivate,isPro,numSiret,tvaIntracom,codeApe,nomActivitePro,adrActivitePro,commentaire,idUtilisateur) VALUES ('Frank','NSTEIN','44 rue dAboukir 59512 ROUBAIX','06.05.06.07.08','Frank.NSTEIN@gmal.com',1,1,'9865567891254680','FR9865567891254680','6542C','BoisdeLux','75 rue de la Gerbe 69002 LYON','null',1);</t>
  </si>
  <si>
    <t>INSERT INTO CLIENTS(firstname,name,adress,tel,mail,isActivate,isPro,numSiret,tvaIntracom,codeApe,nomActivitePro,adrActivitePro,commentaire,idUtilisateur) VALUES ('Flo','RISTE','29 rue Quincampoix 59434 ','07.12.34.56.78','Flo.RISTE@gmal.com',1,1,'5462387891254680','FR5462387891254680','5648Z','RameneTaFraise','2D rue Gratte-cul 75002 PARIS','Souhaite des communications fréquentes',2);</t>
  </si>
  <si>
    <t>INSERT INTO CLIENTS(firstname,name,adress,tel,mail,isActivate,isPro,numSiret,tvaIntracom,codeApe,nomActivitePro,adrActivitePro,commentaire,idUtilisateur) VALUES ('Walter','CLOSET','54 rue des Petites Écuries 59120 LOOS','06.11.22.33.44','Walter.CLOSET@gmal.com',1,1,'7652367891254680','FR7652367891254680','7410X','TaPudFuite','1 rue Brisemiche 75004 PARIS','null',3);</t>
  </si>
  <si>
    <t>INSERT INTO CLIENTS(firstname,name,adress,tel,mail,isActivate,isPro,numSiret,tvaIntracom,codeApe,nomActivitePro,adrActivitePro,commentaire,idUtilisateur) VALUES ('Noah','DESINJAC','141 boulevard Diderot 59000 LILLE','07.55.66.77.88','Noah.DESINJAC@gmal.com',1,1,'3568467891254680','FR3568467891254680','6541E','LaBonneBaguette','84 rue des deux Boules 75001 PARIS','null',4);</t>
  </si>
  <si>
    <t>INSERT INTO CLIENTS(firstname,name,adress,tel,mail,isActivate,isPro,numSiret,tvaIntracom,codeApe,nomActivitePro,adrActivitePro,commentaire,idUtilisateur) VALUES ('Karl-Amel','MOU','78 rue La Condamine 59130 LAMBERSART','06.99.88.77.66','Karl-Amel.MOU@gmal.com',1,1,'3568467891254680','FR3568467891254680','6541E','GlesBoules','76 rue Pavée d’Andouilles 71460 SAINT-GENGOUX','null',2);</t>
  </si>
  <si>
    <t>INSERT INTO CLIENTS(firstname,name,adress,tel,mail,isActivate,isPro,numSiret,tvaIntracom,codeApe,nomActivitePro,adrActivitePro,commentaire,idUtilisateur) VALUES ('Kentin','GENMILITERRE','49 rue des Archives 59630 LILLE','06.55.44.33.22','Kentin.GENMILITERRE@gmal.com',1,1,'3568467891254680','FR3568467891254680','6541E','AuPirate','47 rue de la Pompe 75016 PARIS','null',1);</t>
  </si>
  <si>
    <t>INSERT INTO CLIENTS(firstname,name,adress,tel,mail,isActivate,isPro,numSiret,tvaIntracom,codeApe,nomActivitePro,adrActivitePro,commentaire,idUtilisateur) VALUES ('Eva','NOUIE','32 rue des fausses dents 32323 DENCREUSE','06.55.44.33.23','Eva.NOUIE@gmal.com',0,1,'0','0','0','MedicCenter','112 Place laisse de lurgence 59000 LILLE','null',1);</t>
  </si>
  <si>
    <t>catGen</t>
  </si>
  <si>
    <t>INSERT INTO GENERATEUR(dateGenerationDoc,catGen) VALUES ('2022/12/5','Devis');</t>
  </si>
  <si>
    <t>INSERT INTO GENERATEUR(dateGenerationDoc,catGen) VALUES ('2022/12/20','Devis');</t>
  </si>
  <si>
    <t>INSERT INTO GENERATEUR(dateGenerationDoc,catGen) VALUES ('2022/12/10','Facture');</t>
  </si>
  <si>
    <t>INSERT INTO GENERATEUR(dateGenerationDoc,catGen) VALUES ('2023/1/2','Facture');</t>
  </si>
  <si>
    <t>INSERT INTO GENERATEUR(dateGenerationDoc,catGen) VALUES ('2023/1/10','Devis');</t>
  </si>
  <si>
    <t>INSERT INTO GENERATEUR(dateGenerationDoc,catGen) VALUES ('2023/1/17','Facture');</t>
  </si>
  <si>
    <t>INSERT INTO GENERATEUR(dateGenerationDoc,catGen) VALUES ('2023/1/20','Facture');</t>
  </si>
  <si>
    <t>INSERT INTO GENERATEUR(dateGenerationDoc,catGen) VALUES ('2023/1/30','Devis');</t>
  </si>
  <si>
    <t>INSERT INTO GENERATEUR(dateGenerationDoc,catGen) VALUES ('2023/2/3','Facture');</t>
  </si>
  <si>
    <t>INSERT INTO GENERATEUR(dateGenerationDoc,catGen) VALUES ('2023/2/15','Facture');</t>
  </si>
  <si>
    <t>INSERT INTO GENERATEUR(dateGenerationDoc,catGen) VALUES ('2023/2/15','Devis');</t>
  </si>
  <si>
    <t>INSERT INTO GENERATEUR(dateGenerationDoc,catGen) VALUES ('2023/2/24','Facture');</t>
  </si>
  <si>
    <t>INSERT INTO GENERATEUR(dateGenerationDoc,catGen) VALUES ('2023/2/26','Facture');</t>
  </si>
  <si>
    <t>INSERT INTO GENERATEUR(dateGenerationDoc,catGen) VALUES ('2023/3/5','Devis');</t>
  </si>
  <si>
    <t>INSERT INTO GENERATEUR(dateGenerationDoc,catGen) VALUES ('2023/3/10','Facture');</t>
  </si>
  <si>
    <t>INSERT INTO GENERATEUR(dateGenerationDoc,catGen) VALUES ('2023/3/12','Facture');</t>
  </si>
  <si>
    <t>INSERT INTO GENERATEUR(dateGenerationDoc,catGen) VALUES ('2023/4/4','Facture');</t>
  </si>
  <si>
    <t>INSERT INTO GENERATEUR(dateGenerationDoc,catGen) VALUES ('2023/4/5','Devis');</t>
  </si>
  <si>
    <t>INSERT INTO GENERATEUR(dateGenerationDoc,catGen) VALUES ('2023/4/15','Facture');</t>
  </si>
  <si>
    <t>INSERT INTO GENERATEUR(dateGenerationDoc,catGen) VALUES ('2023/4/28','Facture');</t>
  </si>
  <si>
    <t>INSERT INTO GENERATEUR(dateGenerationDoc,catGen) VALUES ('2023/5/15','Devis');</t>
  </si>
  <si>
    <t>INSERT INTO GENERATEUR(dateGenerationDoc,catGen) VALUES ('2023/5/25','Facture');</t>
  </si>
  <si>
    <t>INSERT INTO GENERATEUR(dateGenerationDoc,catGen) VALUES ('2023/5/16','Devis');</t>
  </si>
  <si>
    <t>76 rue Pavée dAndouilles 71460 SAINT-GENGOUX</t>
  </si>
  <si>
    <t>totalHtDev</t>
  </si>
  <si>
    <t>idTva</t>
  </si>
  <si>
    <t>idLigDevQpu</t>
  </si>
  <si>
    <t>numLigDevQpu</t>
  </si>
  <si>
    <t>designationLigDevQpu</t>
  </si>
  <si>
    <t>qLigDevQpu</t>
  </si>
  <si>
    <t>montantLigDevQpu</t>
  </si>
  <si>
    <t>INSERT INTO LIGDEVQPU(numLigDevQpu,designationLigDevQpu,qLigDevQpu,montantLigDevQpu,idDevis) VALUES (1,'Echanges Rdv, prise de cotes, reportage photos',3,100,2);</t>
  </si>
  <si>
    <t>INSERT INTO LIGDEVQPU(numLigDevQpu,designationLigDevQpu,qLigDevQpu,montantLigDevQpu,idDevis) VALUES (2,'Etude et propositions, Description de la partie a réaliser, Enumération des fournitures',2,1100,2);</t>
  </si>
  <si>
    <t>INSERT INTO LIGDEVQPU(numLigDevQpu,designationLigDevQpu,qLigDevQpu,montantLigDevQpu,idDevis) VALUES (3,'Réalisation, Fabrication et pose des elements validés à la phase 2 , indication éventuelle date de livraison',4,1000,2);</t>
  </si>
  <si>
    <t>INSERT INTO LIGDEVQPU(numLigDevQpu,designationLigDevQpu,qLigDevQpu,montantLigDevQpu,idDevis) VALUES (1,'Ligne prise des exigences test QPU 1',4,100,3);</t>
  </si>
  <si>
    <t>INSERT INTO LIGDEVQPU(numLigDevQpu,designationLigDevQpu,qLigDevQpu,montantLigDevQpu,idDevis) VALUES (2,'Ligne de la conception test QPU 1',2,1150,3);</t>
  </si>
  <si>
    <t>INSERT INTO LIGDEVQPU(numLigDevQpu,designationLigDevQpu,qLigDevQpu,montantLigDevQpu,idDevis) VALUES (3,'Ligne réalisation et indication date butoir projet test QPU 1',3,1200,3);</t>
  </si>
  <si>
    <t>INSERT INTO LIGDEVQPU(numLigDevQpu,designationLigDevQpu,qLigDevQpu,montantLigDevQpu,idDevis) VALUES (1,'Ligne prise des exigences test QPU 2',5,100,4);</t>
  </si>
  <si>
    <t>INSERT INTO LIGDEVQPU(numLigDevQpu,designationLigDevQpu,qLigDevQpu,montantLigDevQpu,idDevis) VALUES (2,'Ligne de la conception test QPU 2',6,1100,4);</t>
  </si>
  <si>
    <t>INSERT INTO LIGDEVQPU(numLigDevQpu,designationLigDevQpu,qLigDevQpu,montantLigDevQpu,idDevis) VALUES (3,'Ligne réalisation et indication date butoir projet test QPU 2',6,1000,4);</t>
  </si>
  <si>
    <t>caProj</t>
  </si>
  <si>
    <t>INSERT INTO PROJETS(numProj,nameProj,descriptionProj,dateStartProj,dateEndThProj,dateEndRealProj,placeProj,stateAdvancementProj,caProj,idDevis,idUtilisateur) VALUES ('Municipalité de Paris 11e - Proj231','Municipalité de Paris 11e','Agencement salle municipal congrès des débranchés 2023','2023/01/02','2023/01/17','2023/01/17','https:\\localhost\testPathFile1','Terminer',6000,1,1);</t>
  </si>
  <si>
    <t>INSERT INTO PROJETS(numProj,nameProj,descriptionProj,dateStartProj,dateEndThProj,dateEndRealProj,placeProj,stateAdvancementProj,caProj,idDevis,idUtilisateur) VALUES ('BoisdeLux - Proj232','BoisdeLux','Agencement hall Ets en mini musée','2023/01/16','2023/02/03','2023/02/03','https:\\localhost\testPathFile2','Terminer',6500,2,1);</t>
  </si>
  <si>
    <t>INSERT INTO PROJETS(numProj,nameProj,descriptionProj,dateStartProj,dateEndThProj,dateEndRealProj,placeProj,stateAdvancementProj,caProj,idDevis,idUtilisateur) VALUES ('RameneTaFraise - Proj233','RameneTaFraise','Agencement show room 2023','2023/02/06','2023/02/24','2023/02/24','https:\\localhost\testPathFile3','Terminer',6300,3,1);</t>
  </si>
  <si>
    <t>INSERT INTO PROJETS(numProj,nameProj,descriptionProj,dateStartProj,dateEndThProj,dateEndRealProj,placeProj,stateAdvancementProj,caProj,idDevis,idUtilisateur) VALUES ('TaPudFuite - Proj234','TaPudFuite','Agencement showRoom SdBs','2023/02/27','2023/03/10','2023/03/10','https:\\localhost\testPathFile4','Terminer',12100,4,1);</t>
  </si>
  <si>
    <t>INSERT INTO PROJETS(numProj,nameProj,descriptionProj,dateStartProj,dateEndThProj,dateEndRealProj,placeProj,stateAdvancementProj,caProj,idDevis,idUtilisateur) VALUES ('LaBonneBaguette - Proj235','LaBonneBaguette','Agencement de la boulangerie','2023/03/13','2023/03/31','2023/04/04','https:\\localhost\testPathFile5','Terminer',6300,5,1);</t>
  </si>
  <si>
    <t>INSERT INTO PROJETS(numProj,nameProj,descriptionProj,dateStartProj,dateEndThProj,dateEndRealProj,placeProj,stateAdvancementProj,caProj,idDevis,idUtilisateur) VALUES ('GlesBoules - Proj236','GlesBoules','Réfection de la surface de vente de confiserie','2023/04/03','2023/04/28','2023/04/28','https:\\localhost\testPathFile6','Terminer',6000,6,1);</t>
  </si>
  <si>
    <t>INSERT INTO PROJETS(numProj,nameProj,descriptionProj,dateStartProj,dateEndThProj,dateEndRealProj,placeProj,stateAdvancementProj,caProj,idDevis,idUtilisateur) VALUES ('AuPirate - Proj237','AuPirate','Agencement de lenvironnement de Bar','2023/05/02','2023/05/17','2023/05/17','https:\\localhost\testPathFile7','Terminer',7100,7,1);</t>
  </si>
  <si>
    <t>INSERT INTO PROJETS(numProj,nameProj,descriptionProj,dateStartProj,dateEndThProj,dateEndRealProj,placeProj,stateAdvancementProj,caProj,idDevis,idUtilisateur) VALUES ('BoisdeLux - Proj238','BoisdeLux','agencement de la partie administrative de lEts','2023/05/16','2023/05/27','2023/05/27','https:\\localhost\testPathFile8','Terminer',7500,8,1);</t>
  </si>
  <si>
    <t>montantHtFact</t>
  </si>
  <si>
    <t>INSERT INTO FACTURES(numFact,nameFact,dateAcquittalFact,isAccount,typeFact,montantHtFact,idProjet,idTva,idDeGeneration) VALUES ('101222-Fact-MUNICIPALITÉDEPARIS11E-PROJ231-1','101222-Fact-MUNICIPALITÉDEPARIS11E-PROJ231-1','2022/12/10',1,'Forfait',1800,1,1,3);</t>
  </si>
  <si>
    <t>INSERT INTO FACTURES(numFact,nameFact,dateAcquittalFact,isAccount,typeFact,montantHtFact,idProjet,idTva,idDeGeneration) VALUES ('170123-Fact-MUNICIPALITÉDEPARIS11E-PROJ231-2','170123-Fact-MUNICIPALITÉDEPARIS11E-PROJ231-2','2023/01/17',0,'Forfait',4200,1,1,6);</t>
  </si>
  <si>
    <t>INSERT INTO FACTURES(numFact,nameFact,dateAcquittalFact,isAccount,typeFact,montantHtFact,idProjet,idTva,idDeGeneration) VALUES ('020123-Fact-BOISDELUX-PROJ232-3','020123-Fact-BOISDELUX-PROJ232-3','2023/01/02',1,'QPU',1950,2,1,4);</t>
  </si>
  <si>
    <t>INSERT INTO FACTURES(numFact,nameFact,dateAcquittalFact,isAccount,typeFact,montantHtFact,idProjet,idTva,idDeGeneration) VALUES ('030223-Fact-BOISDELUX-PROJ232-4','030223-Fact-BOISDELUX-PROJ232-4','2023/02/03',0,'QPU',4550,2,1,9);</t>
  </si>
  <si>
    <t>INSERT INTO FACTURES(numFact,nameFact,dateAcquittalFact,isAccount,typeFact,montantHtFact,idProjet,idTva,idDeGeneration) VALUES ('200123-Fact-RAMENETAFRAISE-PROJ233-5','200123-Fact-RAMENETAFRAISE-PROJ233-5','2023/01/20',1,'QPU',1890,3,1,7);</t>
  </si>
  <si>
    <t>INSERT INTO FACTURES(numFact,nameFact,dateAcquittalFact,isAccount,typeFact,montantHtFact,idProjet,idTva,idDeGeneration) VALUES ('240223-Fact-RAMENETAFRAISE-PROJ233-6','240223-Fact-RAMENETAFRAISE-PROJ233-6','2023/02/24',0,'QPU',4410,3,1,12);</t>
  </si>
  <si>
    <t>INSERT INTO FACTURES(numFact,nameFact,dateAcquittalFact,isAccount,typeFact,montantHtFact,idProjet,idTva,idDeGeneration) VALUES ('150223-Fact-TAPUDFUITE-PROJ234-7','150223-Fact-TAPUDFUITE-PROJ234-7','2023/02/15',1,'QPU',3630,4,1,10);</t>
  </si>
  <si>
    <t>INSERT INTO FACTURES(numFact,nameFact,dateAcquittalFact,isAccount,typeFact,montantHtFact,idProjet,idTva,idDeGeneration) VALUES ('100323-Fact-TAPUDFUITE-PROJ234-8','100323-Fact-TAPUDFUITE-PROJ234-8','2023/03/10',0,'QPU',8470,4,1,15);</t>
  </si>
  <si>
    <t>INSERT INTO FACTURES(numFact,nameFact,dateAcquittalFact,isAccount,typeFact,montantHtFact,idProjet,idTva,idDeGeneration) VALUES ('260223-Fact-LABONNEBAGUETTE-PROJ235-9','260223-Fact-LABONNEBAGUETTE-PROJ235-9','2023/02/26',1,'Forfait',1890,5,1,13);</t>
  </si>
  <si>
    <t>INSERT INTO FACTURES(numFact,nameFact,dateAcquittalFact,isAccount,typeFact,montantHtFact,idProjet,idTva,idDeGeneration) VALUES ('040423-Fact-LABONNEBAGUETTE-PROJ235-10','040423-Fact-LABONNEBAGUETTE-PROJ235-10','2023/04/04',0,'Forfait',4410,5,1,17);</t>
  </si>
  <si>
    <t>INSERT INTO FACTURES(numFact,nameFact,dateAcquittalFact,isAccount,typeFact,montantHtFact,idProjet,idTva,idDeGeneration) VALUES ('120323-Fact-GLESBOULES-PROJ236-11','120323-Fact-GLESBOULES-PROJ236-11','2023/03/12',1,'Forfait',1800,6,1,16);</t>
  </si>
  <si>
    <t>INSERT INTO FACTURES(numFact,nameFact,dateAcquittalFact,isAccount,typeFact,montantHtFact,idProjet,idTva,idDeGeneration) VALUES ('280423-Fact-GLESBOULES-PROJ236-12','280423-Fact-GLESBOULES-PROJ236-12','2023/04/28',0,'Forfait',4200,6,1,20);</t>
  </si>
  <si>
    <t>INSERT INTO FACTURES(numFact,nameFact,dateAcquittalFact,isAccount,typeFact,montantHtFact,idProjet,idTva,idDeGeneration) VALUES ('150423-Fact-AUPIRATE-PROJ237-13','150423-Fact-AUPIRATE-PROJ237-13','2023/04/15',1,'Forfait',2130,7,1,19);</t>
  </si>
  <si>
    <t>INSERT INTO FACTURES(numFact,nameFact,dateAcquittalFact,isAccount,typeFact,montantHtFact,idProjet,idTva,idDeGeneration) VALUES ('250523-Fact-BOISDELUX-PROJ238-14','250523-Fact-BOISDELUX-PROJ238-14','2023/05/25',0,'Forfait',5250,8,1,22);</t>
  </si>
  <si>
    <t>idLigFactQpu</t>
  </si>
  <si>
    <t>dateInterventionLigFactQpu</t>
  </si>
  <si>
    <t>numLigFactQpu</t>
  </si>
  <si>
    <t>designationLigFactQpu</t>
  </si>
  <si>
    <t>qLigFactQpu</t>
  </si>
  <si>
    <t>montantLigFactQpu</t>
  </si>
  <si>
    <t>INSERT INTO LIGFACTQPU(dateInterventionLigFactQpu,numLigFactQpu,designationLigFactQpu,qLigFactQpu,montantLigFactQpu,idFacture) VALUES ('2023/01/02',1,'Facture Acompte de 30% - du devis 020123-Fact-BOISDELUX-PROJ232-3 Montant ',1,1950,3);</t>
  </si>
  <si>
    <t>INSERT INTO LIGFACTQPU(dateInterventionLigFactQpu,numLigFactQpu,designationLigFactQpu,qLigFactQpu,montantLigFactQpu,idFacture) VALUES ('2023/01/20',1,'Echanges Rdv,prise de cotes,reportage photos',3,100,4);</t>
  </si>
  <si>
    <t>INSERT INTO LIGFACTQPU(dateInterventionLigFactQpu,numLigFactQpu,designationLigFactQpu,qLigFactQpu,montantLigFactQpu,idFacture) VALUES ('2023/01/20',2,'Etude et propositions,Description de la partie a réaliser,Enumération des fournitures',2,1100,4);</t>
  </si>
  <si>
    <t>INSERT INTO LIGFACTQPU(dateInterventionLigFactQpu,numLigFactQpu,designationLigFactQpu,qLigFactQpu,montantLigFactQpu,idFacture) VALUES ('2023/02/24',3,'Réalisation,Fabrication et pose des elements validés à la phase 2 ,indication éventuelle date de livraison',4,1000,4);</t>
  </si>
  <si>
    <t>INSERT INTO LIGFACTQPU(dateInterventionLigFactQpu,numLigFactQpu,designationLigFactQpu,qLigFactQpu,montantLigFactQpu,idFacture) VALUES ('2023/02/24',4,'Remise suite versement Acompte (facture NOMFacture30)',1,-1950,4);</t>
  </si>
  <si>
    <t>INSERT INTO LIGFACTQPU(dateInterventionLigFactQpu,numLigFactQpu,designationLigFactQpu,qLigFactQpu,montantLigFactQpu,idFacture) VALUES ('2023/01/20',1,'Facture Acompte de 30% - du devis 200123-Fact-RAMENETAFRAISE-PROJ233-5 Montant ',1,1890,5);</t>
  </si>
  <si>
    <t>INSERT INTO LIGFACTQPU(dateInterventionLigFactQpu,numLigFactQpu,designationLigFactQpu,qLigFactQpu,montantLigFactQpu,idFacture) VALUES ('2023/01/20',1,'Ligne prise des exigences test QPU 1',4,100,6);</t>
  </si>
  <si>
    <t>INSERT INTO LIGFACTQPU(dateInterventionLigFactQpu,numLigFactQpu,designationLigFactQpu,qLigFactQpu,montantLigFactQpu,idFacture) VALUES ('2023/01/20',2,'Ligne de la conception test QPU 1',2,1150,6);</t>
  </si>
  <si>
    <t>INSERT INTO LIGFACTQPU(dateInterventionLigFactQpu,numLigFactQpu,designationLigFactQpu,qLigFactQpu,montantLigFactQpu,idFacture) VALUES ('2023/02/24',3,'Ligne réalisation et indication date butoir projet test QPU 1',3,1200,6);</t>
  </si>
  <si>
    <t>INSERT INTO LIGFACTQPU(dateInterventionLigFactQpu,numLigFactQpu,designationLigFactQpu,qLigFactQpu,montantLigFactQpu,idFacture) VALUES ('2023/02/24',4,'Remise suite versement Acompte (facture NOMFacture30)',1,-1890,6);</t>
  </si>
  <si>
    <t>INSERT INTO LIGFACTQPU(dateInterventionLigFactQpu,numLigFactQpu,designationLigFactQpu,qLigFactQpu,montantLigFactQpu,idFacture) VALUES ('2023/02/15',1,'Facture Acompte de 30% - du devis 150223-Fact-TAPUDFUITE-PROJ234-7 Montant ',1,3930,7);</t>
  </si>
  <si>
    <t>INSERT INTO LIGFACTQPU(dateInterventionLigFactQpu,numLigFactQpu,designationLigFactQpu,qLigFactQpu,montantLigFactQpu,idFacture) VALUES ('2023/02/15',1,'Ligne prise des exigences test QPU 2',5,100,8);</t>
  </si>
  <si>
    <t>INSERT INTO LIGFACTQPU(dateInterventionLigFactQpu,numLigFactQpu,designationLigFactQpu,qLigFactQpu,montantLigFactQpu,idFacture) VALUES ('2023/02/15',2,'Ligne de la conception test QPU 2',6,1100,8);</t>
  </si>
  <si>
    <t>INSERT INTO LIGFACTQPU(dateInterventionLigFactQpu,numLigFactQpu,designationLigFactQpu,qLigFactQpu,montantLigFactQpu,idFacture) VALUES ('2023/03/10',3,'Ligne réalisation et indication date butoir projet test QPU 2',6,1000,8);</t>
  </si>
  <si>
    <t>INSERT INTO LIGFACTQPU(dateInterventionLigFactQpu,numLigFactQpu,designationLigFactQpu,qLigFactQpu,montantLigFactQpu,idFacture) VALUES ('2023/03/10',4,'Remise suite versement Acompte (facture NOMFacture30)',1,-3930,8);</t>
  </si>
  <si>
    <t>sel</t>
  </si>
  <si>
    <t>sel1</t>
  </si>
  <si>
    <t>sel2</t>
  </si>
  <si>
    <t>sel3</t>
  </si>
  <si>
    <t>sel4</t>
  </si>
  <si>
    <t>INSERT INTO UTILISATEURS(firstname,name,login,psw,sel,adress,tel,mail,isActivate) VALUES ('Edgar','ATOI','Edg','pass1','sel1','14 chemin de Lebrun 59000 LILLE','06.55.44.33.22','Edgar.ATOI@gmal.com',1);</t>
  </si>
  <si>
    <t>INSERT INTO UTILISATEURS(firstname,name,login,psw,sel,adress,tel,mail,isActivate) VALUES ('Edith','KELHEURETIL','Edi','pass2','sel2','145 rue La Fayette 59000 LILLE','07.06.05.04.03','Edith.KELHEURETIL@gmal.com',1);</t>
  </si>
  <si>
    <t>INSERT INTO UTILISATEURS(firstname,name,login,psw,sel,adress,tel,mail,isActivate) VALUES ('Gerard','MENVUSSA','Ger','pass6','sel3','3 rue de laqueduc 59270 BAILLEUL','06.98.76.54.32','Gerard.MENVUSSA@gmal.com',1);</t>
  </si>
  <si>
    <t>INSERT INTO UTILISATEURS(firstname,name,login,psw,sel,adress,tel,mail,isActivate) VALUES ('Florentin','TESTINALE','Flo','pass12','sel4','7M rue du gros colon 70000 TORBOYAUX','07.88.99.11.22','Florentin.TESTINALE@gmal.com',0);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</si>
</sst>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entury Gothic"/>
      <family val="2"/>
    </font>
    <font>
      <sz val="11"/>
      <color rgb="FFFF0000"/>
      <name val="Century Gothic"/>
      <family val="2"/>
    </font>
    <font>
      <sz val="11"/>
      <color theme="0"/>
      <name val="Century Gothic"/>
      <family val="2"/>
    </font>
    <font>
      <b/>
      <sz val="16"/>
      <color theme="1"/>
      <name val="Calibri"/>
      <family val="2"/>
      <scheme val="minor"/>
    </font>
    <font>
      <b/>
      <sz val="16"/>
      <color theme="1"/>
      <name val="Century Gothic"/>
      <family val="2"/>
    </font>
    <font>
      <b/>
      <sz val="11"/>
      <color theme="1"/>
      <name val="Century Gothic"/>
      <family val="2"/>
    </font>
    <font>
      <b/>
      <sz val="12"/>
      <color theme="1"/>
      <name val="Century Gothic"/>
      <family val="2"/>
    </font>
    <font>
      <sz val="12"/>
      <color theme="1"/>
      <name val="Century Gothic"/>
      <family val="2"/>
    </font>
    <font>
      <sz val="16"/>
      <color theme="1"/>
      <name val="Century Gothic"/>
      <family val="2"/>
    </font>
    <font>
      <sz val="12"/>
      <color theme="0"/>
      <name val="Century Gothic"/>
      <family val="2"/>
    </font>
    <font>
      <b/>
      <sz val="12"/>
      <name val="Century Gothic"/>
      <family val="2"/>
    </font>
    <font>
      <b/>
      <u/>
      <sz val="12"/>
      <color theme="1"/>
      <name val="Century Gothic"/>
      <family val="2"/>
    </font>
    <font>
      <b/>
      <u/>
      <sz val="12"/>
      <color theme="0"/>
      <name val="Century Gothic"/>
      <family val="2"/>
    </font>
    <font>
      <b/>
      <sz val="12"/>
      <color theme="0"/>
      <name val="Century Gothic"/>
      <family val="2"/>
    </font>
    <font>
      <b/>
      <u/>
      <sz val="11"/>
      <color theme="1"/>
      <name val="Century Gothic"/>
      <family val="2"/>
    </font>
    <font>
      <sz val="11"/>
      <color rgb="FF02023E"/>
      <name val="Arial"/>
      <family val="2"/>
    </font>
    <font>
      <sz val="11"/>
      <color rgb="FF02023E"/>
      <name val="Century Gothic"/>
      <family val="2"/>
    </font>
    <font>
      <u/>
      <sz val="11"/>
      <color theme="10"/>
      <name val="Calibri"/>
      <family val="2"/>
      <scheme val="minor"/>
    </font>
    <font>
      <u/>
      <sz val="11"/>
      <color theme="10"/>
      <name val="Century Gothic"/>
      <family val="2"/>
    </font>
    <font>
      <i/>
      <sz val="11"/>
      <color rgb="FF000000"/>
      <name val="Century Gothic"/>
      <family val="2"/>
    </font>
    <font>
      <i/>
      <sz val="11"/>
      <color theme="1"/>
      <name val="Century Gothic"/>
      <family val="2"/>
    </font>
    <font>
      <vertAlign val="subscript"/>
      <sz val="11"/>
      <color theme="1"/>
      <name val="Century Gothic"/>
      <family val="2"/>
    </font>
    <font>
      <sz val="11"/>
      <name val="Century Gothic"/>
      <family val="2"/>
    </font>
    <font>
      <i/>
      <sz val="11"/>
      <name val="Century Gothic"/>
      <family val="2"/>
    </font>
    <font>
      <sz val="11"/>
      <color rgb="FF000000"/>
      <name val="Century Gothic"/>
      <family val="2"/>
    </font>
    <font>
      <i/>
      <u/>
      <sz val="11"/>
      <color rgb="FF0000FF"/>
      <name val="Century Gothic"/>
      <family val="2"/>
    </font>
    <font>
      <b/>
      <i/>
      <sz val="11"/>
      <color theme="1"/>
      <name val="Century Gothic"/>
      <family val="2"/>
    </font>
    <font>
      <i/>
      <vertAlign val="subscript"/>
      <sz val="11"/>
      <color theme="1"/>
      <name val="Century Gothic"/>
      <family val="2"/>
    </font>
    <font>
      <b/>
      <sz val="11"/>
      <color rgb="FF993300"/>
      <name val="Century Gothic"/>
      <family val="2"/>
    </font>
    <font>
      <sz val="8"/>
      <name val="Calibri"/>
      <family val="2"/>
      <scheme val="minor"/>
    </font>
    <font>
      <sz val="11"/>
      <name val="Century Gothic"/>
      <family val="2"/>
    </font>
    <font>
      <sz val="11"/>
      <color theme="0" tint="-0.14999847407452621"/>
      <name val="Century Gothic"/>
      <family val="2"/>
    </font>
    <font>
      <sz val="11"/>
      <color theme="0" tint="-0.249977111117893"/>
      <name val="Century Gothic"/>
      <family val="2"/>
    </font>
    <font>
      <sz val="12"/>
      <color theme="0" tint="-0.249977111117893"/>
      <name val="Century Gothic"/>
      <family val="2"/>
    </font>
    <font>
      <b/>
      <sz val="11"/>
      <name val="Century Gothic"/>
      <family val="2"/>
    </font>
    <font>
      <sz val="11"/>
      <color theme="0" tint="-0.34998626667073579"/>
      <name val="Century Gothic"/>
      <family val="2"/>
    </font>
    <font>
      <sz val="8"/>
      <color rgb="FF373737"/>
      <name val="Courier New"/>
      <family val="3"/>
    </font>
    <font>
      <sz val="11"/>
      <color rgb="FF373737"/>
      <name val="Courier New"/>
      <family val="3"/>
    </font>
    <font>
      <b/>
      <u/>
      <sz val="12"/>
      <color rgb="FFFF0000"/>
      <name val="Century Gothic"/>
      <family val="2"/>
    </font>
    <font>
      <sz val="9"/>
      <color indexed="81"/>
      <name val="Tahoma"/>
      <charset val="1"/>
    </font>
    <font>
      <b/>
      <sz val="9"/>
      <color indexed="81"/>
      <name val="Tahoma"/>
      <charset val="1"/>
    </font>
    <font>
      <sz val="12"/>
      <color rgb="FFFF0000"/>
      <name val="Century Gothic"/>
      <family val="2"/>
    </font>
    <font>
      <b/>
      <sz val="12"/>
      <color rgb="FFFF0000"/>
      <name val="Century Gothic"/>
      <family val="2"/>
    </font>
    <font>
      <b/>
      <sz val="11"/>
      <color rgb="FFFF0000"/>
      <name val="Century Gothic"/>
      <family val="2"/>
    </font>
  </fonts>
  <fills count="2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6666FF"/>
        <bgColor indexed="64"/>
      </patternFill>
    </fill>
    <fill>
      <patternFill patternType="solid">
        <fgColor theme="8" tint="0.79998168889431442"/>
        <bgColor indexed="64"/>
      </patternFill>
    </fill>
    <fill>
      <patternFill patternType="solid">
        <fgColor theme="5"/>
        <bgColor indexed="64"/>
      </patternFill>
    </fill>
    <fill>
      <patternFill patternType="solid">
        <fgColor theme="7"/>
        <bgColor indexed="64"/>
      </patternFill>
    </fill>
    <fill>
      <patternFill patternType="solid">
        <fgColor theme="9"/>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0000FF"/>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rgb="FFFFFFFF"/>
        <bgColor indexed="64"/>
      </patternFill>
    </fill>
    <fill>
      <patternFill patternType="solid">
        <fgColor rgb="FFFF0000"/>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ck">
        <color rgb="FFFF9900"/>
      </left>
      <right style="medium">
        <color rgb="FFC0C0C0"/>
      </right>
      <top style="medium">
        <color rgb="FFC0C0C0"/>
      </top>
      <bottom/>
      <diagonal/>
    </border>
    <border>
      <left style="thick">
        <color rgb="FFFF9900"/>
      </left>
      <right style="medium">
        <color rgb="FFC0C0C0"/>
      </right>
      <top/>
      <bottom/>
      <diagonal/>
    </border>
    <border>
      <left style="thick">
        <color rgb="FFFF9900"/>
      </left>
      <right style="medium">
        <color rgb="FFC0C0C0"/>
      </right>
      <top/>
      <bottom style="medium">
        <color rgb="FFC0C0C0"/>
      </bottom>
      <diagonal/>
    </border>
    <border>
      <left style="thin">
        <color indexed="64"/>
      </left>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2">
    <xf numFmtId="0" fontId="0" fillId="0" borderId="0"/>
    <xf numFmtId="0" fontId="21" fillId="0" borderId="0" applyNumberFormat="0" applyFill="0" applyBorder="0" applyAlignment="0" applyProtection="0"/>
  </cellStyleXfs>
  <cellXfs count="386">
    <xf numFmtId="0" fontId="0" fillId="0" borderId="0" xfId="0"/>
    <xf numFmtId="0" fontId="0" fillId="0" borderId="0" xfId="0" applyAlignment="1">
      <alignment vertical="center"/>
    </xf>
    <xf numFmtId="0" fontId="0" fillId="0" borderId="0" xfId="0" applyAlignment="1">
      <alignment horizontal="center" vertical="center"/>
    </xf>
    <xf numFmtId="0" fontId="4" fillId="0" borderId="10" xfId="0" applyFont="1" applyBorder="1" applyAlignment="1">
      <alignment horizontal="center" vertical="center"/>
    </xf>
    <xf numFmtId="0" fontId="4" fillId="0" borderId="0" xfId="0" applyFont="1"/>
    <xf numFmtId="0" fontId="4" fillId="2" borderId="0" xfId="0" quotePrefix="1" applyFont="1" applyFill="1"/>
    <xf numFmtId="0" fontId="5" fillId="0" borderId="8" xfId="0" quotePrefix="1" applyFont="1" applyBorder="1" applyAlignment="1">
      <alignment vertical="center"/>
    </xf>
    <xf numFmtId="0" fontId="5" fillId="0" borderId="1" xfId="0" quotePrefix="1" applyFont="1" applyBorder="1" applyAlignment="1">
      <alignment vertical="center"/>
    </xf>
    <xf numFmtId="0" fontId="4" fillId="0" borderId="0" xfId="0" applyFont="1" applyAlignment="1">
      <alignment horizontal="center"/>
    </xf>
    <xf numFmtId="0" fontId="5" fillId="0" borderId="1" xfId="0" quotePrefix="1" applyFont="1" applyBorder="1" applyAlignment="1">
      <alignment vertical="center" wrapText="1"/>
    </xf>
    <xf numFmtId="0" fontId="4" fillId="0" borderId="0" xfId="0" quotePrefix="1" applyFont="1"/>
    <xf numFmtId="0" fontId="5" fillId="0" borderId="5" xfId="0" quotePrefix="1" applyFont="1" applyBorder="1" applyAlignment="1">
      <alignment vertical="center" wrapText="1"/>
    </xf>
    <xf numFmtId="0" fontId="5" fillId="0" borderId="0" xfId="0" quotePrefix="1" applyFont="1" applyAlignment="1">
      <alignment vertical="center" wrapText="1"/>
    </xf>
    <xf numFmtId="0" fontId="4" fillId="2" borderId="0" xfId="0" quotePrefix="1" applyFont="1" applyFill="1" applyAlignment="1">
      <alignment horizont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1" fillId="0" borderId="11" xfId="0" applyFont="1" applyBorder="1" applyAlignment="1">
      <alignment horizontal="center" vertic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wrapText="1"/>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wrapText="1"/>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wrapText="1"/>
    </xf>
    <xf numFmtId="0" fontId="4" fillId="4" borderId="8" xfId="0" applyFont="1" applyFill="1" applyBorder="1" applyAlignment="1">
      <alignment horizontal="center" vertical="center"/>
    </xf>
    <xf numFmtId="0" fontId="4" fillId="4" borderId="9"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4" fillId="4" borderId="6"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1" xfId="0" applyFont="1" applyFill="1" applyBorder="1" applyAlignment="1">
      <alignment horizontal="center" vertical="center" wrapText="1"/>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6" borderId="3" xfId="0"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wrapText="1"/>
    </xf>
    <xf numFmtId="0" fontId="4" fillId="6" borderId="8" xfId="0" applyFont="1" applyFill="1" applyBorder="1" applyAlignment="1">
      <alignment horizontal="center" vertical="center"/>
    </xf>
    <xf numFmtId="0" fontId="4" fillId="6" borderId="9"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5" xfId="0" applyFont="1" applyFill="1" applyBorder="1" applyAlignment="1">
      <alignment horizontal="center" vertical="center" wrapText="1"/>
    </xf>
    <xf numFmtId="0" fontId="4" fillId="6" borderId="5" xfId="0" applyFont="1" applyFill="1" applyBorder="1" applyAlignment="1">
      <alignment horizontal="center" vertical="center"/>
    </xf>
    <xf numFmtId="0" fontId="0" fillId="6" borderId="6" xfId="0" applyFill="1" applyBorder="1" applyAlignment="1">
      <alignment vertical="center"/>
    </xf>
    <xf numFmtId="0" fontId="4" fillId="7" borderId="2"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7" borderId="7" xfId="0" applyFont="1" applyFill="1" applyBorder="1" applyAlignment="1">
      <alignment horizontal="center" vertical="center"/>
    </xf>
    <xf numFmtId="0" fontId="4" fillId="7" borderId="8" xfId="0" applyFont="1" applyFill="1" applyBorder="1" applyAlignment="1">
      <alignment horizontal="center" vertical="center" wrapText="1"/>
    </xf>
    <xf numFmtId="0" fontId="4" fillId="7" borderId="8" xfId="0" applyFont="1" applyFill="1" applyBorder="1" applyAlignment="1">
      <alignment horizontal="center" vertical="center"/>
    </xf>
    <xf numFmtId="0" fontId="4" fillId="7" borderId="9" xfId="0" applyFont="1" applyFill="1" applyBorder="1" applyAlignment="1">
      <alignment horizontal="center" vertical="center"/>
    </xf>
    <xf numFmtId="0" fontId="4" fillId="7" borderId="4" xfId="0" applyFont="1" applyFill="1" applyBorder="1" applyAlignment="1">
      <alignment horizontal="center" vertical="center"/>
    </xf>
    <xf numFmtId="0" fontId="4" fillId="7" borderId="5" xfId="0" applyFont="1" applyFill="1" applyBorder="1" applyAlignment="1">
      <alignment horizontal="center" vertical="center" wrapText="1"/>
    </xf>
    <xf numFmtId="0" fontId="4" fillId="7" borderId="5" xfId="0" applyFont="1" applyFill="1" applyBorder="1" applyAlignment="1">
      <alignment horizontal="center" vertical="center"/>
    </xf>
    <xf numFmtId="0" fontId="4" fillId="7" borderId="6" xfId="0" applyFont="1" applyFill="1" applyBorder="1" applyAlignment="1">
      <alignment horizontal="center" vertical="center"/>
    </xf>
    <xf numFmtId="0" fontId="4" fillId="8" borderId="7" xfId="0" applyFont="1" applyFill="1" applyBorder="1" applyAlignment="1">
      <alignment horizontal="center" vertical="center"/>
    </xf>
    <xf numFmtId="0" fontId="4" fillId="8" borderId="8" xfId="0" applyFont="1" applyFill="1" applyBorder="1" applyAlignment="1">
      <alignment horizontal="center" vertical="center" wrapText="1"/>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4" fillId="8" borderId="2" xfId="0" applyFont="1" applyFill="1" applyBorder="1" applyAlignment="1">
      <alignment horizontal="center" vertical="center"/>
    </xf>
    <xf numFmtId="0" fontId="4" fillId="8" borderId="1" xfId="0" applyFont="1" applyFill="1" applyBorder="1" applyAlignment="1">
      <alignment horizontal="center" vertical="center" wrapText="1"/>
    </xf>
    <xf numFmtId="0" fontId="4" fillId="8" borderId="1"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4" xfId="0" applyFont="1" applyFill="1" applyBorder="1" applyAlignment="1">
      <alignment horizontal="center" vertical="center"/>
    </xf>
    <xf numFmtId="0" fontId="4" fillId="8" borderId="5" xfId="0" applyFont="1" applyFill="1" applyBorder="1" applyAlignment="1">
      <alignment horizontal="center" vertical="center" wrapText="1"/>
    </xf>
    <xf numFmtId="0" fontId="4" fillId="8" borderId="5" xfId="0" applyFont="1" applyFill="1" applyBorder="1" applyAlignment="1">
      <alignment horizontal="center" vertical="center"/>
    </xf>
    <xf numFmtId="0" fontId="4" fillId="8" borderId="6"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wrapText="1"/>
    </xf>
    <xf numFmtId="0" fontId="4" fillId="9" borderId="8" xfId="0" applyFont="1" applyFill="1" applyBorder="1" applyAlignment="1">
      <alignment horizontal="center" vertical="center"/>
    </xf>
    <xf numFmtId="0" fontId="4" fillId="9" borderId="9" xfId="0" applyFont="1" applyFill="1" applyBorder="1" applyAlignment="1">
      <alignment horizontal="center" vertical="center"/>
    </xf>
    <xf numFmtId="0" fontId="4" fillId="9" borderId="2"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4" fillId="9" borderId="5" xfId="0" applyFont="1" applyFill="1" applyBorder="1" applyAlignment="1">
      <alignment horizontal="center" vertical="center" wrapText="1"/>
    </xf>
    <xf numFmtId="0" fontId="4" fillId="9" borderId="5" xfId="0" applyFont="1" applyFill="1" applyBorder="1" applyAlignment="1">
      <alignment horizontal="center" vertical="center"/>
    </xf>
    <xf numFmtId="0" fontId="4" fillId="9" borderId="6"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8" xfId="0" applyFont="1" applyFill="1" applyBorder="1" applyAlignment="1">
      <alignment horizontal="center" vertical="center" wrapText="1"/>
    </xf>
    <xf numFmtId="0" fontId="4" fillId="10" borderId="8" xfId="0" applyFont="1" applyFill="1" applyBorder="1" applyAlignment="1">
      <alignment horizontal="center" vertical="center"/>
    </xf>
    <xf numFmtId="0" fontId="4" fillId="10" borderId="9" xfId="0" applyFont="1" applyFill="1" applyBorder="1" applyAlignment="1">
      <alignment horizontal="center" vertical="center"/>
    </xf>
    <xf numFmtId="0" fontId="4" fillId="10" borderId="2" xfId="0" applyFont="1" applyFill="1" applyBorder="1" applyAlignment="1">
      <alignment horizontal="center" vertical="center"/>
    </xf>
    <xf numFmtId="0" fontId="4" fillId="10" borderId="1" xfId="0" applyFont="1" applyFill="1" applyBorder="1" applyAlignment="1">
      <alignment horizontal="center" vertical="center" wrapText="1"/>
    </xf>
    <xf numFmtId="0" fontId="4" fillId="10" borderId="1" xfId="0" applyFont="1" applyFill="1" applyBorder="1" applyAlignment="1">
      <alignment horizontal="center" vertical="center"/>
    </xf>
    <xf numFmtId="0" fontId="4" fillId="10" borderId="3" xfId="0" applyFont="1" applyFill="1" applyBorder="1" applyAlignment="1">
      <alignment horizontal="center" vertical="center"/>
    </xf>
    <xf numFmtId="0" fontId="4" fillId="10" borderId="4" xfId="0" applyFont="1" applyFill="1" applyBorder="1" applyAlignment="1">
      <alignment horizontal="center" vertical="center"/>
    </xf>
    <xf numFmtId="0" fontId="4" fillId="10" borderId="5" xfId="0" applyFont="1" applyFill="1" applyBorder="1" applyAlignment="1">
      <alignment horizontal="center" vertical="center" wrapText="1"/>
    </xf>
    <xf numFmtId="0" fontId="4" fillId="10" borderId="5" xfId="0" applyFont="1" applyFill="1" applyBorder="1" applyAlignment="1">
      <alignment horizontal="center" vertical="center"/>
    </xf>
    <xf numFmtId="0" fontId="4" fillId="10" borderId="6" xfId="0" applyFont="1" applyFill="1" applyBorder="1" applyAlignment="1">
      <alignment horizontal="center" vertical="center"/>
    </xf>
    <xf numFmtId="0" fontId="4" fillId="11" borderId="7" xfId="0" applyFont="1" applyFill="1" applyBorder="1" applyAlignment="1">
      <alignment horizontal="center" vertical="center"/>
    </xf>
    <xf numFmtId="0" fontId="4" fillId="11" borderId="8" xfId="0" applyFont="1" applyFill="1" applyBorder="1" applyAlignment="1">
      <alignment horizontal="center" vertical="center" wrapText="1"/>
    </xf>
    <xf numFmtId="0" fontId="4" fillId="11" borderId="8" xfId="0" applyFont="1" applyFill="1" applyBorder="1" applyAlignment="1">
      <alignment horizontal="center" vertical="center"/>
    </xf>
    <xf numFmtId="0" fontId="4" fillId="11" borderId="9" xfId="0" applyFont="1" applyFill="1" applyBorder="1" applyAlignment="1">
      <alignment horizontal="center" vertical="center"/>
    </xf>
    <xf numFmtId="0" fontId="4" fillId="11"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11" borderId="1" xfId="0" applyFont="1" applyFill="1" applyBorder="1" applyAlignment="1">
      <alignment horizontal="center" vertical="center"/>
    </xf>
    <xf numFmtId="0" fontId="4" fillId="11" borderId="3" xfId="0" applyFont="1" applyFill="1" applyBorder="1" applyAlignment="1">
      <alignment horizontal="center" vertical="center"/>
    </xf>
    <xf numFmtId="0" fontId="4" fillId="11" borderId="4" xfId="0" applyFont="1" applyFill="1" applyBorder="1" applyAlignment="1">
      <alignment horizontal="center" vertical="center"/>
    </xf>
    <xf numFmtId="0" fontId="4" fillId="11" borderId="5" xfId="0" applyFont="1" applyFill="1" applyBorder="1" applyAlignment="1">
      <alignment horizontal="center" vertical="center" wrapText="1"/>
    </xf>
    <xf numFmtId="0" fontId="4" fillId="11" borderId="5" xfId="0" applyFont="1" applyFill="1" applyBorder="1" applyAlignment="1">
      <alignment horizontal="center" vertical="center"/>
    </xf>
    <xf numFmtId="0" fontId="4" fillId="11" borderId="6" xfId="0" applyFont="1" applyFill="1" applyBorder="1" applyAlignment="1">
      <alignment horizontal="center" vertical="center"/>
    </xf>
    <xf numFmtId="0" fontId="4" fillId="12" borderId="2" xfId="0" applyFont="1" applyFill="1" applyBorder="1" applyAlignment="1">
      <alignment horizontal="center" vertical="center"/>
    </xf>
    <xf numFmtId="0" fontId="4" fillId="12" borderId="1" xfId="0" applyFont="1" applyFill="1" applyBorder="1" applyAlignment="1">
      <alignment horizontal="center" vertical="center" wrapText="1"/>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4" fillId="13" borderId="2" xfId="0" applyFont="1" applyFill="1" applyBorder="1" applyAlignment="1">
      <alignment horizontal="center" vertical="center"/>
    </xf>
    <xf numFmtId="0" fontId="4" fillId="13" borderId="1" xfId="0" applyFont="1" applyFill="1" applyBorder="1" applyAlignment="1">
      <alignment horizontal="center" vertical="center" wrapText="1"/>
    </xf>
    <xf numFmtId="0" fontId="4" fillId="13" borderId="1" xfId="0" applyFont="1" applyFill="1" applyBorder="1" applyAlignment="1">
      <alignment horizontal="center" vertical="center"/>
    </xf>
    <xf numFmtId="0" fontId="4" fillId="13" borderId="3" xfId="0" applyFont="1" applyFill="1" applyBorder="1" applyAlignment="1">
      <alignment horizontal="center" vertical="center"/>
    </xf>
    <xf numFmtId="0" fontId="6" fillId="14" borderId="7" xfId="0" applyFont="1" applyFill="1" applyBorder="1" applyAlignment="1">
      <alignment horizontal="center" vertical="center"/>
    </xf>
    <xf numFmtId="0" fontId="6" fillId="14" borderId="8" xfId="0" applyFont="1" applyFill="1" applyBorder="1" applyAlignment="1">
      <alignment horizontal="center" vertical="center" wrapText="1"/>
    </xf>
    <xf numFmtId="0" fontId="6" fillId="14" borderId="8" xfId="0" applyFont="1" applyFill="1" applyBorder="1" applyAlignment="1">
      <alignment horizontal="center" vertical="center"/>
    </xf>
    <xf numFmtId="0" fontId="6" fillId="14" borderId="9" xfId="0" applyFont="1" applyFill="1" applyBorder="1" applyAlignment="1">
      <alignment horizontal="center" vertical="center"/>
    </xf>
    <xf numFmtId="0" fontId="6" fillId="14" borderId="4" xfId="0" applyFont="1" applyFill="1" applyBorder="1" applyAlignment="1">
      <alignment horizontal="center" vertical="center"/>
    </xf>
    <xf numFmtId="0" fontId="6" fillId="14" borderId="5" xfId="0" applyFont="1" applyFill="1" applyBorder="1" applyAlignment="1">
      <alignment horizontal="center" vertical="center" wrapText="1"/>
    </xf>
    <xf numFmtId="0" fontId="6" fillId="14" borderId="5" xfId="0" applyFont="1" applyFill="1" applyBorder="1" applyAlignment="1">
      <alignment horizontal="center" vertical="center"/>
    </xf>
    <xf numFmtId="0" fontId="6" fillId="14"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wrapText="1"/>
    </xf>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1" xfId="0" applyFont="1" applyFill="1" applyBorder="1" applyAlignment="1">
      <alignment horizontal="center" vertical="center" wrapText="1"/>
    </xf>
    <xf numFmtId="0" fontId="6" fillId="5" borderId="1"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shrinkToFit="1"/>
    </xf>
    <xf numFmtId="0" fontId="9" fillId="0" borderId="11" xfId="0" applyFont="1" applyBorder="1" applyAlignment="1">
      <alignment horizontal="center" vertical="center"/>
    </xf>
    <xf numFmtId="0" fontId="9" fillId="0" borderId="12" xfId="0" applyFont="1" applyBorder="1" applyAlignment="1">
      <alignment horizontal="center" vertical="center" wrapText="1"/>
    </xf>
    <xf numFmtId="0" fontId="10" fillId="0" borderId="11" xfId="0" applyFont="1" applyBorder="1" applyAlignment="1">
      <alignment horizontal="center"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wrapText="1" shrinkToFit="1"/>
    </xf>
    <xf numFmtId="0" fontId="11" fillId="0" borderId="13" xfId="0" applyFont="1" applyBorder="1" applyAlignment="1">
      <alignment horizontal="center" vertical="center"/>
    </xf>
    <xf numFmtId="0" fontId="11" fillId="0" borderId="14" xfId="0" applyFont="1" applyBorder="1" applyAlignment="1">
      <alignment horizontal="center" vertical="center" wrapText="1" shrinkToFit="1"/>
    </xf>
    <xf numFmtId="0" fontId="11" fillId="2" borderId="8" xfId="0" applyFont="1" applyFill="1" applyBorder="1" applyAlignment="1">
      <alignment horizontal="center" vertical="center"/>
    </xf>
    <xf numFmtId="0" fontId="11" fillId="2" borderId="9" xfId="0" applyFont="1" applyFill="1" applyBorder="1" applyAlignment="1">
      <alignment horizontal="center" vertical="center" wrapText="1" shrinkToFit="1"/>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wrapText="1" shrinkToFit="1"/>
    </xf>
    <xf numFmtId="0" fontId="10" fillId="0" borderId="12" xfId="0" applyFont="1" applyBorder="1" applyAlignment="1">
      <alignment horizontal="center" vertical="center" wrapText="1"/>
    </xf>
    <xf numFmtId="0" fontId="11" fillId="0" borderId="0" xfId="0" applyFont="1" applyAlignment="1">
      <alignment vertical="center"/>
    </xf>
    <xf numFmtId="0" fontId="11" fillId="4" borderId="7" xfId="0" applyFont="1" applyFill="1" applyBorder="1" applyAlignment="1">
      <alignment horizontal="center" vertical="center"/>
    </xf>
    <xf numFmtId="0" fontId="11" fillId="4" borderId="8" xfId="0" applyFont="1" applyFill="1" applyBorder="1" applyAlignment="1">
      <alignment horizontal="center" vertical="center" wrapText="1"/>
    </xf>
    <xf numFmtId="0" fontId="11" fillId="4" borderId="8" xfId="0" applyFont="1" applyFill="1" applyBorder="1" applyAlignment="1">
      <alignment horizontal="center" vertical="center"/>
    </xf>
    <xf numFmtId="0" fontId="11" fillId="4" borderId="9" xfId="0" applyFont="1" applyFill="1" applyBorder="1" applyAlignment="1">
      <alignment horizontal="center" vertical="center" wrapText="1" shrinkToFit="1"/>
    </xf>
    <xf numFmtId="0" fontId="11" fillId="4" borderId="2" xfId="0" applyFont="1" applyFill="1" applyBorder="1" applyAlignment="1">
      <alignment horizontal="center" vertical="center"/>
    </xf>
    <xf numFmtId="0" fontId="11" fillId="4" borderId="1" xfId="0" applyFont="1" applyFill="1" applyBorder="1" applyAlignment="1">
      <alignment horizontal="center" vertical="center" wrapText="1"/>
    </xf>
    <xf numFmtId="0" fontId="11" fillId="4" borderId="1" xfId="0" applyFont="1" applyFill="1" applyBorder="1" applyAlignment="1">
      <alignment horizontal="center" vertical="center"/>
    </xf>
    <xf numFmtId="0" fontId="11" fillId="4" borderId="3" xfId="0" applyFont="1" applyFill="1" applyBorder="1" applyAlignment="1">
      <alignment horizontal="center" vertical="center" wrapText="1" shrinkToFit="1"/>
    </xf>
    <xf numFmtId="0" fontId="11" fillId="4" borderId="4" xfId="0" applyFont="1" applyFill="1" applyBorder="1" applyAlignment="1">
      <alignment horizontal="center" vertical="center"/>
    </xf>
    <xf numFmtId="0" fontId="11" fillId="4" borderId="5" xfId="0" applyFont="1" applyFill="1" applyBorder="1" applyAlignment="1">
      <alignment horizontal="center" vertical="center" wrapText="1"/>
    </xf>
    <xf numFmtId="0" fontId="11" fillId="4" borderId="5" xfId="0" applyFont="1" applyFill="1" applyBorder="1" applyAlignment="1">
      <alignment horizontal="center" vertical="center"/>
    </xf>
    <xf numFmtId="0" fontId="11" fillId="4" borderId="6" xfId="0" applyFont="1" applyFill="1" applyBorder="1" applyAlignment="1">
      <alignment horizontal="center" vertical="center" wrapText="1" shrinkToFit="1"/>
    </xf>
    <xf numFmtId="0" fontId="11" fillId="6" borderId="8" xfId="0" applyFont="1" applyFill="1" applyBorder="1" applyAlignment="1">
      <alignment horizontal="center" vertical="center"/>
    </xf>
    <xf numFmtId="0" fontId="11" fillId="6" borderId="9" xfId="0" applyFont="1" applyFill="1" applyBorder="1" applyAlignment="1">
      <alignment horizontal="center" vertical="center" wrapText="1" shrinkToFit="1"/>
    </xf>
    <xf numFmtId="0" fontId="11" fillId="6" borderId="1" xfId="0" applyFont="1" applyFill="1" applyBorder="1" applyAlignment="1">
      <alignment horizontal="center" vertical="center"/>
    </xf>
    <xf numFmtId="0" fontId="11" fillId="6" borderId="3" xfId="0" applyFont="1" applyFill="1" applyBorder="1" applyAlignment="1">
      <alignment horizontal="center" vertical="center" wrapText="1" shrinkToFit="1"/>
    </xf>
    <xf numFmtId="0" fontId="11" fillId="6" borderId="3" xfId="0" applyFont="1" applyFill="1" applyBorder="1" applyAlignment="1">
      <alignment horizontal="center" wrapText="1" shrinkToFit="1"/>
    </xf>
    <xf numFmtId="0" fontId="11" fillId="6" borderId="5" xfId="0" applyFont="1" applyFill="1" applyBorder="1" applyAlignment="1">
      <alignment horizontal="center" vertical="center"/>
    </xf>
    <xf numFmtId="0" fontId="11" fillId="7" borderId="8" xfId="0" applyFont="1" applyFill="1" applyBorder="1" applyAlignment="1">
      <alignment horizontal="center" vertical="center"/>
    </xf>
    <xf numFmtId="0" fontId="11" fillId="7" borderId="9" xfId="0" applyFont="1" applyFill="1" applyBorder="1" applyAlignment="1">
      <alignment horizontal="center" vertical="center" wrapText="1" shrinkToFit="1"/>
    </xf>
    <xf numFmtId="0" fontId="11" fillId="7" borderId="1" xfId="0" applyFont="1" applyFill="1" applyBorder="1" applyAlignment="1">
      <alignment horizontal="center" vertical="center"/>
    </xf>
    <xf numFmtId="0" fontId="11" fillId="7" borderId="3" xfId="0" applyFont="1" applyFill="1" applyBorder="1" applyAlignment="1">
      <alignment horizontal="center" vertical="center" wrapText="1" shrinkToFit="1"/>
    </xf>
    <xf numFmtId="0" fontId="11" fillId="8" borderId="1" xfId="0" applyFont="1" applyFill="1" applyBorder="1" applyAlignment="1">
      <alignment horizontal="center" vertical="center"/>
    </xf>
    <xf numFmtId="0" fontId="11" fillId="8" borderId="3" xfId="0" applyFont="1" applyFill="1" applyBorder="1" applyAlignment="1">
      <alignment horizontal="center" vertical="center" wrapText="1" shrinkToFit="1"/>
    </xf>
    <xf numFmtId="0" fontId="11" fillId="8" borderId="5" xfId="0" applyFont="1" applyFill="1" applyBorder="1" applyAlignment="1">
      <alignment horizontal="center" vertical="center"/>
    </xf>
    <xf numFmtId="0" fontId="11" fillId="8" borderId="6" xfId="0" applyFont="1" applyFill="1" applyBorder="1" applyAlignment="1">
      <alignment horizontal="center" vertical="center" wrapText="1" shrinkToFit="1"/>
    </xf>
    <xf numFmtId="0" fontId="11" fillId="9" borderId="8" xfId="0" applyFont="1" applyFill="1" applyBorder="1" applyAlignment="1">
      <alignment horizontal="center" vertical="center"/>
    </xf>
    <xf numFmtId="0" fontId="11" fillId="9" borderId="9" xfId="0" applyFont="1" applyFill="1" applyBorder="1" applyAlignment="1">
      <alignment horizontal="center" vertical="center" wrapText="1" shrinkToFit="1"/>
    </xf>
    <xf numFmtId="0" fontId="11" fillId="9" borderId="1" xfId="0" applyFont="1" applyFill="1" applyBorder="1" applyAlignment="1">
      <alignment horizontal="center" vertical="center"/>
    </xf>
    <xf numFmtId="0" fontId="11" fillId="9" borderId="3" xfId="0" applyFont="1" applyFill="1" applyBorder="1" applyAlignment="1">
      <alignment horizontal="center" vertical="center" wrapText="1" shrinkToFit="1"/>
    </xf>
    <xf numFmtId="0" fontId="11" fillId="9" borderId="5"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9" xfId="0" applyFont="1" applyFill="1" applyBorder="1" applyAlignment="1">
      <alignment horizontal="center" vertical="center" wrapText="1" shrinkToFit="1"/>
    </xf>
    <xf numFmtId="0" fontId="11" fillId="3" borderId="1" xfId="0" applyFont="1" applyFill="1" applyBorder="1" applyAlignment="1">
      <alignment horizontal="center" vertical="center"/>
    </xf>
    <xf numFmtId="0" fontId="11" fillId="3" borderId="3" xfId="0" applyFont="1" applyFill="1" applyBorder="1" applyAlignment="1">
      <alignment horizontal="center" vertical="center" wrapText="1" shrinkToFit="1"/>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wrapText="1" shrinkToFit="1"/>
    </xf>
    <xf numFmtId="0" fontId="11" fillId="10" borderId="8" xfId="0" applyFont="1" applyFill="1" applyBorder="1" applyAlignment="1">
      <alignment horizontal="center" vertical="center"/>
    </xf>
    <xf numFmtId="0" fontId="11" fillId="10" borderId="9" xfId="0" applyFont="1" applyFill="1" applyBorder="1" applyAlignment="1">
      <alignment horizontal="center" vertical="center" wrapText="1" shrinkToFit="1"/>
    </xf>
    <xf numFmtId="0" fontId="11" fillId="10" borderId="1" xfId="0" applyFont="1" applyFill="1" applyBorder="1" applyAlignment="1">
      <alignment horizontal="center" vertical="center"/>
    </xf>
    <xf numFmtId="0" fontId="11" fillId="10" borderId="3" xfId="0" applyFont="1" applyFill="1" applyBorder="1" applyAlignment="1">
      <alignment horizontal="center" vertical="center" wrapText="1" shrinkToFit="1"/>
    </xf>
    <xf numFmtId="0" fontId="11" fillId="10" borderId="5" xfId="0" applyFont="1" applyFill="1" applyBorder="1" applyAlignment="1">
      <alignment horizontal="center" vertical="center"/>
    </xf>
    <xf numFmtId="0" fontId="11" fillId="10" borderId="6" xfId="0" applyFont="1" applyFill="1" applyBorder="1" applyAlignment="1">
      <alignment horizontal="center" vertical="center" wrapText="1" shrinkToFit="1"/>
    </xf>
    <xf numFmtId="0" fontId="12" fillId="0" borderId="0" xfId="0" applyFont="1" applyAlignment="1">
      <alignment vertical="center"/>
    </xf>
    <xf numFmtId="0" fontId="11" fillId="11" borderId="8" xfId="0" applyFont="1" applyFill="1" applyBorder="1" applyAlignment="1">
      <alignment horizontal="center" vertical="center"/>
    </xf>
    <xf numFmtId="0" fontId="11" fillId="11" borderId="9" xfId="0" applyFont="1" applyFill="1" applyBorder="1" applyAlignment="1">
      <alignment horizontal="center" vertical="center" wrapText="1" shrinkToFit="1"/>
    </xf>
    <xf numFmtId="0" fontId="11" fillId="11" borderId="1" xfId="0" applyFont="1" applyFill="1" applyBorder="1" applyAlignment="1">
      <alignment horizontal="center" vertical="center"/>
    </xf>
    <xf numFmtId="0" fontId="11" fillId="11" borderId="3" xfId="0" applyFont="1" applyFill="1" applyBorder="1" applyAlignment="1">
      <alignment horizontal="center" vertical="center" wrapText="1" shrinkToFit="1"/>
    </xf>
    <xf numFmtId="0" fontId="11" fillId="11" borderId="5" xfId="0" applyFont="1" applyFill="1" applyBorder="1" applyAlignment="1">
      <alignment horizontal="center" vertical="center"/>
    </xf>
    <xf numFmtId="0" fontId="11" fillId="12" borderId="1" xfId="0" applyFont="1" applyFill="1" applyBorder="1" applyAlignment="1">
      <alignment horizontal="center" vertical="center"/>
    </xf>
    <xf numFmtId="0" fontId="11" fillId="12" borderId="3" xfId="0" applyFont="1" applyFill="1" applyBorder="1" applyAlignment="1">
      <alignment horizontal="center" vertical="center" wrapText="1" shrinkToFit="1"/>
    </xf>
    <xf numFmtId="0" fontId="11" fillId="13" borderId="1" xfId="0" applyFont="1" applyFill="1" applyBorder="1" applyAlignment="1">
      <alignment horizontal="center" vertical="center"/>
    </xf>
    <xf numFmtId="0" fontId="11" fillId="13" borderId="3" xfId="0" applyFont="1" applyFill="1" applyBorder="1" applyAlignment="1">
      <alignment horizontal="center" vertical="center" wrapText="1" shrinkToFit="1"/>
    </xf>
    <xf numFmtId="0" fontId="13" fillId="14" borderId="8" xfId="0" applyFont="1" applyFill="1" applyBorder="1" applyAlignment="1">
      <alignment horizontal="center" vertical="center"/>
    </xf>
    <xf numFmtId="0" fontId="13" fillId="14" borderId="9" xfId="0" applyFont="1" applyFill="1" applyBorder="1" applyAlignment="1">
      <alignment horizontal="center" vertical="center" wrapText="1" shrinkToFit="1"/>
    </xf>
    <xf numFmtId="0" fontId="13" fillId="14" borderId="5" xfId="0" applyFont="1" applyFill="1" applyBorder="1" applyAlignment="1">
      <alignment horizontal="center" vertical="center"/>
    </xf>
    <xf numFmtId="0" fontId="13" fillId="14" borderId="6" xfId="0" applyFont="1" applyFill="1" applyBorder="1" applyAlignment="1">
      <alignment horizontal="center" vertical="center" wrapText="1" shrinkToFit="1"/>
    </xf>
    <xf numFmtId="0" fontId="13" fillId="5" borderId="8" xfId="0" applyFont="1" applyFill="1" applyBorder="1" applyAlignment="1">
      <alignment horizontal="center" vertical="center"/>
    </xf>
    <xf numFmtId="0" fontId="13" fillId="5" borderId="9" xfId="0" applyFont="1" applyFill="1" applyBorder="1" applyAlignment="1">
      <alignment horizontal="center" vertical="center" wrapText="1" shrinkToFit="1"/>
    </xf>
    <xf numFmtId="0" fontId="13" fillId="5" borderId="1" xfId="0" applyFont="1" applyFill="1" applyBorder="1" applyAlignment="1">
      <alignment horizontal="center" vertical="center"/>
    </xf>
    <xf numFmtId="0" fontId="13" fillId="5" borderId="3" xfId="0" applyFont="1" applyFill="1" applyBorder="1" applyAlignment="1">
      <alignment horizontal="center" vertical="center" wrapText="1" shrinkToFit="1"/>
    </xf>
    <xf numFmtId="0" fontId="13" fillId="5" borderId="5" xfId="0" applyFont="1" applyFill="1" applyBorder="1" applyAlignment="1">
      <alignment horizontal="center" vertical="center"/>
    </xf>
    <xf numFmtId="0" fontId="13" fillId="5" borderId="6" xfId="0" applyFont="1" applyFill="1" applyBorder="1" applyAlignment="1">
      <alignment horizontal="center" vertical="center" wrapText="1" shrinkToFit="1"/>
    </xf>
    <xf numFmtId="0" fontId="11" fillId="6" borderId="6" xfId="0" applyFont="1" applyFill="1" applyBorder="1" applyAlignment="1">
      <alignment horizontal="center" wrapText="1" shrinkToFit="1"/>
    </xf>
    <xf numFmtId="0" fontId="4" fillId="7" borderId="18" xfId="0" applyFont="1" applyFill="1" applyBorder="1" applyAlignment="1">
      <alignment horizontal="center" vertical="center"/>
    </xf>
    <xf numFmtId="0" fontId="4" fillId="7" borderId="19" xfId="0" applyFont="1" applyFill="1" applyBorder="1" applyAlignment="1">
      <alignment horizontal="center" vertical="center" wrapText="1"/>
    </xf>
    <xf numFmtId="0" fontId="11" fillId="7" borderId="19" xfId="0" applyFont="1" applyFill="1" applyBorder="1" applyAlignment="1">
      <alignment horizontal="center" vertical="center"/>
    </xf>
    <xf numFmtId="0" fontId="11" fillId="7" borderId="20" xfId="0" applyFont="1" applyFill="1" applyBorder="1" applyAlignment="1">
      <alignment horizontal="center" vertical="center" wrapText="1" shrinkToFit="1"/>
    </xf>
    <xf numFmtId="0" fontId="14" fillId="7" borderId="3" xfId="0" applyFont="1" applyFill="1" applyBorder="1" applyAlignment="1">
      <alignment horizontal="center" vertical="center" wrapText="1" shrinkToFit="1"/>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wrapText="1"/>
    </xf>
    <xf numFmtId="0" fontId="11" fillId="3" borderId="22" xfId="0" applyFont="1" applyFill="1" applyBorder="1" applyAlignment="1">
      <alignment horizontal="center" vertical="center"/>
    </xf>
    <xf numFmtId="0" fontId="11" fillId="3" borderId="23" xfId="0" applyFont="1" applyFill="1" applyBorder="1" applyAlignment="1">
      <alignment horizontal="center" vertical="center" wrapText="1" shrinkToFit="1"/>
    </xf>
    <xf numFmtId="0" fontId="4" fillId="10" borderId="21" xfId="0" applyFont="1" applyFill="1" applyBorder="1" applyAlignment="1">
      <alignment horizontal="center" vertical="center"/>
    </xf>
    <xf numFmtId="0" fontId="4" fillId="10" borderId="22" xfId="0" applyFont="1" applyFill="1" applyBorder="1" applyAlignment="1">
      <alignment horizontal="center" vertical="center" wrapText="1"/>
    </xf>
    <xf numFmtId="0" fontId="11" fillId="10" borderId="22" xfId="0" applyFont="1" applyFill="1" applyBorder="1" applyAlignment="1">
      <alignment horizontal="center" vertical="center"/>
    </xf>
    <xf numFmtId="0" fontId="11" fillId="10" borderId="23" xfId="0" applyFont="1" applyFill="1" applyBorder="1" applyAlignment="1">
      <alignment horizontal="center" vertical="center" wrapText="1" shrinkToFit="1"/>
    </xf>
    <xf numFmtId="0" fontId="11" fillId="2" borderId="8" xfId="0" quotePrefix="1" applyFont="1" applyFill="1" applyBorder="1" applyAlignment="1">
      <alignment horizontal="center" vertical="center"/>
    </xf>
    <xf numFmtId="0" fontId="10" fillId="2" borderId="8" xfId="0" quotePrefix="1" applyFont="1" applyFill="1" applyBorder="1" applyAlignment="1">
      <alignment horizontal="center" vertical="center"/>
    </xf>
    <xf numFmtId="0" fontId="11" fillId="2" borderId="5" xfId="0" applyFont="1" applyFill="1" applyBorder="1" applyAlignment="1">
      <alignment horizontal="center" vertical="center"/>
    </xf>
    <xf numFmtId="0" fontId="11" fillId="2" borderId="6" xfId="0" applyFont="1" applyFill="1" applyBorder="1" applyAlignment="1">
      <alignment horizontal="center" vertical="center" wrapText="1" shrinkToFit="1"/>
    </xf>
    <xf numFmtId="0" fontId="11" fillId="7" borderId="8" xfId="0" quotePrefix="1" applyFont="1" applyFill="1" applyBorder="1" applyAlignment="1">
      <alignment horizontal="center" vertical="center"/>
    </xf>
    <xf numFmtId="0" fontId="4" fillId="15" borderId="7" xfId="0" applyFont="1" applyFill="1" applyBorder="1" applyAlignment="1">
      <alignment horizontal="center" vertical="center"/>
    </xf>
    <xf numFmtId="0" fontId="4" fillId="15" borderId="8" xfId="0" applyFont="1" applyFill="1" applyBorder="1" applyAlignment="1">
      <alignment horizontal="center" vertical="center" wrapText="1"/>
    </xf>
    <xf numFmtId="0" fontId="11" fillId="15" borderId="8" xfId="0" applyFont="1" applyFill="1" applyBorder="1" applyAlignment="1">
      <alignment horizontal="center" vertical="center"/>
    </xf>
    <xf numFmtId="0" fontId="11" fillId="15" borderId="9" xfId="0" applyFont="1" applyFill="1" applyBorder="1" applyAlignment="1">
      <alignment horizontal="center" vertical="center" wrapText="1" shrinkToFit="1"/>
    </xf>
    <xf numFmtId="0" fontId="4" fillId="15" borderId="2" xfId="0" applyFont="1" applyFill="1" applyBorder="1" applyAlignment="1">
      <alignment horizontal="center" vertical="center"/>
    </xf>
    <xf numFmtId="0" fontId="4" fillId="15" borderId="1" xfId="0" applyFont="1" applyFill="1" applyBorder="1" applyAlignment="1">
      <alignment horizontal="center" vertical="center" wrapText="1"/>
    </xf>
    <xf numFmtId="0" fontId="11" fillId="15" borderId="1" xfId="0" applyFont="1" applyFill="1" applyBorder="1" applyAlignment="1">
      <alignment horizontal="center" vertical="center"/>
    </xf>
    <xf numFmtId="0" fontId="11" fillId="15" borderId="3" xfId="0" applyFont="1" applyFill="1" applyBorder="1" applyAlignment="1">
      <alignment horizontal="center" vertical="center" wrapText="1" shrinkToFit="1"/>
    </xf>
    <xf numFmtId="0" fontId="4" fillId="15" borderId="18" xfId="0" applyFont="1" applyFill="1" applyBorder="1" applyAlignment="1">
      <alignment horizontal="center" vertical="center"/>
    </xf>
    <xf numFmtId="0" fontId="4" fillId="15" borderId="19" xfId="0" applyFont="1" applyFill="1" applyBorder="1" applyAlignment="1">
      <alignment horizontal="center" vertical="center" wrapText="1"/>
    </xf>
    <xf numFmtId="0" fontId="11" fillId="15" borderId="19" xfId="0" applyFont="1" applyFill="1" applyBorder="1" applyAlignment="1">
      <alignment horizontal="center" vertical="center"/>
    </xf>
    <xf numFmtId="0" fontId="11" fillId="15" borderId="20" xfId="0" applyFont="1" applyFill="1" applyBorder="1" applyAlignment="1">
      <alignment horizontal="center" vertical="center" wrapText="1" shrinkToFit="1"/>
    </xf>
    <xf numFmtId="0" fontId="11" fillId="11" borderId="19" xfId="0" applyFont="1" applyFill="1" applyBorder="1" applyAlignment="1">
      <alignment horizontal="center" vertical="center"/>
    </xf>
    <xf numFmtId="0" fontId="11" fillId="11" borderId="20" xfId="0" applyFont="1" applyFill="1" applyBorder="1" applyAlignment="1">
      <alignment horizontal="center" vertical="center" wrapText="1" shrinkToFit="1"/>
    </xf>
    <xf numFmtId="0" fontId="15" fillId="15" borderId="8" xfId="0" applyFont="1" applyFill="1" applyBorder="1" applyAlignment="1">
      <alignment horizontal="center" vertical="center"/>
    </xf>
    <xf numFmtId="0" fontId="15" fillId="4" borderId="8" xfId="0" applyFont="1" applyFill="1" applyBorder="1" applyAlignment="1">
      <alignment horizontal="center" vertical="center"/>
    </xf>
    <xf numFmtId="0" fontId="15" fillId="6" borderId="8" xfId="0" applyFont="1" applyFill="1" applyBorder="1" applyAlignment="1">
      <alignment horizontal="center" vertical="center"/>
    </xf>
    <xf numFmtId="0" fontId="15" fillId="8" borderId="1" xfId="0" applyFont="1" applyFill="1" applyBorder="1" applyAlignment="1">
      <alignment horizontal="center" vertical="center"/>
    </xf>
    <xf numFmtId="0" fontId="15" fillId="9" borderId="8" xfId="0" applyFont="1" applyFill="1" applyBorder="1" applyAlignment="1">
      <alignment horizontal="center" vertical="center"/>
    </xf>
    <xf numFmtId="0" fontId="15" fillId="3" borderId="8" xfId="0" applyFont="1" applyFill="1" applyBorder="1" applyAlignment="1">
      <alignment horizontal="center" vertical="center"/>
    </xf>
    <xf numFmtId="0" fontId="15" fillId="10" borderId="8" xfId="0" applyFont="1" applyFill="1" applyBorder="1" applyAlignment="1">
      <alignment horizontal="center" vertical="center"/>
    </xf>
    <xf numFmtId="0" fontId="15" fillId="11" borderId="8" xfId="0" applyFont="1" applyFill="1" applyBorder="1" applyAlignment="1">
      <alignment horizontal="center" vertical="center"/>
    </xf>
    <xf numFmtId="0" fontId="15" fillId="12" borderId="1" xfId="0" applyFont="1" applyFill="1" applyBorder="1" applyAlignment="1">
      <alignment horizontal="center" vertical="center"/>
    </xf>
    <xf numFmtId="0" fontId="15" fillId="13" borderId="1" xfId="0" applyFont="1" applyFill="1" applyBorder="1" applyAlignment="1">
      <alignment horizontal="center" vertical="center"/>
    </xf>
    <xf numFmtId="0" fontId="16" fillId="14" borderId="8" xfId="0" applyFont="1" applyFill="1" applyBorder="1" applyAlignment="1">
      <alignment horizontal="center" vertical="center"/>
    </xf>
    <xf numFmtId="0" fontId="16" fillId="5" borderId="8" xfId="0" applyFont="1" applyFill="1" applyBorder="1" applyAlignment="1">
      <alignment horizontal="center" vertical="center"/>
    </xf>
    <xf numFmtId="0" fontId="11" fillId="9" borderId="19" xfId="0" applyFont="1" applyFill="1" applyBorder="1" applyAlignment="1">
      <alignment horizontal="center" vertical="center"/>
    </xf>
    <xf numFmtId="0" fontId="11" fillId="9" borderId="20" xfId="0" applyFont="1" applyFill="1" applyBorder="1" applyAlignment="1">
      <alignment horizontal="center" vertical="center" wrapText="1" shrinkToFit="1"/>
    </xf>
    <xf numFmtId="0" fontId="4" fillId="9" borderId="24" xfId="0" applyFont="1" applyFill="1" applyBorder="1" applyAlignment="1">
      <alignment horizontal="center" vertical="center" wrapText="1"/>
    </xf>
    <xf numFmtId="0" fontId="4" fillId="9" borderId="25" xfId="0" applyFont="1" applyFill="1" applyBorder="1" applyAlignment="1">
      <alignment horizontal="center" vertical="center" wrapText="1"/>
    </xf>
    <xf numFmtId="0" fontId="13" fillId="16" borderId="7" xfId="0" applyFont="1" applyFill="1" applyBorder="1" applyAlignment="1">
      <alignment horizontal="center" vertical="center"/>
    </xf>
    <xf numFmtId="0" fontId="16" fillId="16" borderId="8" xfId="0" applyFont="1" applyFill="1" applyBorder="1" applyAlignment="1">
      <alignment horizontal="center" vertical="center"/>
    </xf>
    <xf numFmtId="0" fontId="13" fillId="16" borderId="8" xfId="0" applyFont="1" applyFill="1" applyBorder="1" applyAlignment="1">
      <alignment horizontal="center" vertical="center"/>
    </xf>
    <xf numFmtId="0" fontId="13" fillId="16" borderId="9" xfId="0" applyFont="1" applyFill="1" applyBorder="1" applyAlignment="1">
      <alignment horizontal="center" vertical="center" wrapText="1" shrinkToFit="1"/>
    </xf>
    <xf numFmtId="0" fontId="13" fillId="16" borderId="4" xfId="0" applyFont="1" applyFill="1" applyBorder="1" applyAlignment="1">
      <alignment horizontal="center" vertical="center"/>
    </xf>
    <xf numFmtId="0" fontId="13" fillId="16" borderId="5" xfId="0" applyFont="1" applyFill="1" applyBorder="1" applyAlignment="1">
      <alignment horizontal="center" vertical="center"/>
    </xf>
    <xf numFmtId="0" fontId="13" fillId="16" borderId="6" xfId="0" applyFont="1" applyFill="1" applyBorder="1" applyAlignment="1">
      <alignment horizontal="center" vertical="center" wrapText="1" shrinkToFit="1"/>
    </xf>
    <xf numFmtId="0" fontId="9" fillId="0" borderId="0" xfId="0" applyFont="1" applyAlignment="1">
      <alignment horizontal="center" vertical="center"/>
    </xf>
    <xf numFmtId="0" fontId="10" fillId="0" borderId="0" xfId="0" applyFont="1" applyAlignment="1">
      <alignment horizontal="center" vertical="center"/>
    </xf>
    <xf numFmtId="0" fontId="20" fillId="0" borderId="0" xfId="0" applyFont="1" applyAlignment="1">
      <alignment vertical="center" wrapText="1"/>
    </xf>
    <xf numFmtId="0" fontId="22" fillId="17" borderId="27" xfId="1" applyFont="1" applyFill="1" applyBorder="1" applyAlignment="1">
      <alignment horizontal="left" vertical="center" wrapText="1" indent="1"/>
    </xf>
    <xf numFmtId="0" fontId="23" fillId="0" borderId="0" xfId="0" applyFont="1" applyAlignment="1">
      <alignment horizontal="center" vertical="center" wrapText="1"/>
    </xf>
    <xf numFmtId="0" fontId="4" fillId="17" borderId="27" xfId="0" applyFont="1" applyFill="1" applyBorder="1" applyAlignment="1">
      <alignment horizontal="center" vertical="center" wrapText="1"/>
    </xf>
    <xf numFmtId="0" fontId="4" fillId="17" borderId="27" xfId="0" applyFont="1" applyFill="1" applyBorder="1" applyAlignment="1">
      <alignment vertical="center" wrapText="1"/>
    </xf>
    <xf numFmtId="0" fontId="22" fillId="17" borderId="27" xfId="1" applyFont="1" applyFill="1" applyBorder="1" applyAlignment="1">
      <alignment horizontal="right" vertical="center" wrapText="1" indent="4"/>
    </xf>
    <xf numFmtId="0" fontId="22" fillId="17" borderId="27" xfId="1" applyFont="1" applyFill="1" applyBorder="1" applyAlignment="1">
      <alignment horizontal="center" vertical="center" wrapText="1"/>
    </xf>
    <xf numFmtId="0" fontId="4" fillId="17" borderId="27" xfId="0" applyFont="1" applyFill="1" applyBorder="1" applyAlignment="1">
      <alignment horizontal="left" vertical="center" wrapText="1" indent="1"/>
    </xf>
    <xf numFmtId="0" fontId="4" fillId="0" borderId="0" xfId="0" applyFont="1" applyAlignment="1">
      <alignment horizontal="center" vertical="center" wrapText="1"/>
    </xf>
    <xf numFmtId="0" fontId="22" fillId="0" borderId="0" xfId="1" applyFont="1" applyAlignment="1">
      <alignment horizontal="right" vertical="center" wrapText="1"/>
    </xf>
    <xf numFmtId="0" fontId="22" fillId="17" borderId="26" xfId="1" applyFont="1" applyFill="1" applyBorder="1" applyAlignment="1">
      <alignment horizontal="left" vertical="center" wrapText="1" indent="1"/>
    </xf>
    <xf numFmtId="0" fontId="4" fillId="17" borderId="26" xfId="0" applyFont="1" applyFill="1" applyBorder="1" applyAlignment="1">
      <alignment horizontal="left" vertical="center" wrapText="1" indent="1"/>
    </xf>
    <xf numFmtId="0" fontId="5" fillId="17" borderId="27" xfId="0" applyFont="1" applyFill="1" applyBorder="1" applyAlignment="1">
      <alignment horizontal="left" vertical="center" wrapText="1" indent="1"/>
    </xf>
    <xf numFmtId="0" fontId="26" fillId="17" borderId="27" xfId="0" applyFont="1" applyFill="1" applyBorder="1" applyAlignment="1">
      <alignment horizontal="left" vertical="center" wrapText="1" indent="1"/>
    </xf>
    <xf numFmtId="0" fontId="26" fillId="17" borderId="28" xfId="0" applyFont="1" applyFill="1" applyBorder="1" applyAlignment="1">
      <alignment horizontal="left" vertical="center" wrapText="1" indent="1"/>
    </xf>
    <xf numFmtId="0" fontId="28" fillId="0" borderId="0" xfId="0" applyFont="1" applyAlignment="1">
      <alignment horizontal="center" vertical="center" wrapText="1"/>
    </xf>
    <xf numFmtId="0" fontId="4" fillId="17" borderId="28" xfId="0" applyFont="1" applyFill="1" applyBorder="1" applyAlignment="1">
      <alignment horizontal="left" vertical="center" wrapText="1" indent="1"/>
    </xf>
    <xf numFmtId="0" fontId="5" fillId="17" borderId="26" xfId="0" applyFont="1" applyFill="1" applyBorder="1" applyAlignment="1">
      <alignment horizontal="left" vertical="center" wrapText="1" indent="1"/>
    </xf>
    <xf numFmtId="0" fontId="4" fillId="17" borderId="27" xfId="0" applyFont="1" applyFill="1" applyBorder="1" applyAlignment="1">
      <alignment horizontal="left" vertical="center" wrapText="1" indent="4"/>
    </xf>
    <xf numFmtId="0" fontId="32" fillId="0" borderId="0" xfId="0" applyFont="1" applyAlignment="1">
      <alignment horizontal="center" vertical="center" wrapText="1"/>
    </xf>
    <xf numFmtId="0" fontId="24" fillId="17" borderId="27" xfId="0" applyFont="1" applyFill="1" applyBorder="1" applyAlignment="1">
      <alignment horizontal="left" vertical="center" wrapText="1" indent="1"/>
    </xf>
    <xf numFmtId="0" fontId="28" fillId="0" borderId="0" xfId="0" applyFont="1" applyAlignment="1">
      <alignment vertical="center" wrapText="1"/>
    </xf>
    <xf numFmtId="0" fontId="24" fillId="17" borderId="27" xfId="0" applyFont="1" applyFill="1" applyBorder="1" applyAlignment="1">
      <alignment horizontal="center" vertical="center" wrapText="1"/>
    </xf>
    <xf numFmtId="0" fontId="5" fillId="17" borderId="28" xfId="0" applyFont="1" applyFill="1" applyBorder="1" applyAlignment="1">
      <alignment horizontal="left" vertical="center" wrapText="1" indent="1"/>
    </xf>
    <xf numFmtId="0" fontId="4" fillId="17" borderId="26" xfId="0" applyFont="1" applyFill="1" applyBorder="1" applyAlignment="1">
      <alignment horizontal="center" vertical="center" wrapText="1"/>
    </xf>
    <xf numFmtId="0" fontId="27" fillId="17" borderId="27" xfId="0" applyFont="1" applyFill="1" applyBorder="1" applyAlignment="1">
      <alignment horizontal="left" vertical="center" wrapText="1" indent="1"/>
    </xf>
    <xf numFmtId="0" fontId="11" fillId="0" borderId="0" xfId="0" applyFont="1" applyAlignment="1">
      <alignment horizontal="center" vertical="center"/>
    </xf>
    <xf numFmtId="0" fontId="12" fillId="0" borderId="0" xfId="0" applyFont="1" applyAlignment="1">
      <alignment horizontal="center" vertical="center"/>
    </xf>
    <xf numFmtId="0" fontId="11" fillId="2" borderId="0" xfId="0" applyFont="1" applyFill="1" applyAlignment="1">
      <alignment horizontal="center" vertical="center"/>
    </xf>
    <xf numFmtId="1" fontId="4" fillId="0" borderId="0" xfId="0" applyNumberFormat="1" applyFont="1" applyAlignment="1">
      <alignment horizontal="center" vertical="center"/>
    </xf>
    <xf numFmtId="0" fontId="34" fillId="0" borderId="0" xfId="0" applyFont="1" applyAlignment="1">
      <alignment vertical="center" wrapText="1"/>
    </xf>
    <xf numFmtId="14" fontId="11" fillId="0" borderId="0" xfId="0" applyNumberFormat="1" applyFont="1" applyAlignment="1">
      <alignment horizontal="center" vertical="center"/>
    </xf>
    <xf numFmtId="0" fontId="11" fillId="18" borderId="0" xfId="0" applyFont="1" applyFill="1" applyAlignment="1">
      <alignment horizontal="center" vertical="center"/>
    </xf>
    <xf numFmtId="14" fontId="4" fillId="0" borderId="0" xfId="0" applyNumberFormat="1" applyFont="1" applyAlignment="1">
      <alignment horizontal="center" vertical="center"/>
    </xf>
    <xf numFmtId="0" fontId="4" fillId="9" borderId="21" xfId="0" applyFont="1" applyFill="1" applyBorder="1" applyAlignment="1">
      <alignment horizontal="center" vertical="center"/>
    </xf>
    <xf numFmtId="0" fontId="4" fillId="9" borderId="29" xfId="0" applyFont="1" applyFill="1" applyBorder="1" applyAlignment="1">
      <alignment horizontal="center" vertical="center" wrapText="1"/>
    </xf>
    <xf numFmtId="0" fontId="13" fillId="16" borderId="30" xfId="0" applyFont="1" applyFill="1" applyBorder="1" applyAlignment="1">
      <alignment horizontal="center" vertical="center"/>
    </xf>
    <xf numFmtId="0" fontId="16" fillId="14" borderId="0" xfId="0" applyFont="1" applyFill="1" applyAlignment="1">
      <alignment horizontal="center" vertical="center"/>
    </xf>
    <xf numFmtId="0" fontId="13" fillId="14" borderId="0" xfId="0" applyFont="1" applyFill="1" applyAlignment="1">
      <alignment horizontal="center" vertical="center"/>
    </xf>
    <xf numFmtId="14" fontId="9" fillId="0" borderId="0" xfId="0" applyNumberFormat="1" applyFont="1" applyAlignment="1">
      <alignment horizontal="center" vertical="center"/>
    </xf>
    <xf numFmtId="0" fontId="18" fillId="2" borderId="0" xfId="0" applyFont="1" applyFill="1" applyAlignment="1">
      <alignment horizontal="center" vertical="center"/>
    </xf>
    <xf numFmtId="0" fontId="18" fillId="7" borderId="0" xfId="0" applyFont="1" applyFill="1" applyAlignment="1">
      <alignment horizontal="center" vertical="center"/>
    </xf>
    <xf numFmtId="0" fontId="9" fillId="7" borderId="0" xfId="0" applyFont="1" applyFill="1" applyAlignment="1">
      <alignment horizontal="center" vertical="center"/>
    </xf>
    <xf numFmtId="0" fontId="9" fillId="9" borderId="0" xfId="0" applyFont="1" applyFill="1" applyAlignment="1">
      <alignment horizontal="center" vertical="center"/>
    </xf>
    <xf numFmtId="0" fontId="9" fillId="10" borderId="0" xfId="0" applyFont="1" applyFill="1" applyAlignment="1">
      <alignment horizontal="center" vertical="center"/>
    </xf>
    <xf numFmtId="0" fontId="9" fillId="3" borderId="0" xfId="0" applyFont="1" applyFill="1" applyAlignment="1">
      <alignment horizontal="center" vertical="center"/>
    </xf>
    <xf numFmtId="0" fontId="10" fillId="4" borderId="0" xfId="0" applyFont="1" applyFill="1" applyAlignment="1">
      <alignment horizontal="center" vertical="center"/>
    </xf>
    <xf numFmtId="14" fontId="35" fillId="0" borderId="0" xfId="0" applyNumberFormat="1" applyFont="1" applyAlignment="1">
      <alignment horizontal="center" vertical="center"/>
    </xf>
    <xf numFmtId="14" fontId="36" fillId="0" borderId="0" xfId="0" applyNumberFormat="1" applyFont="1" applyAlignment="1">
      <alignment horizontal="center" vertical="center"/>
    </xf>
    <xf numFmtId="14" fontId="37" fillId="0" borderId="0" xfId="0" applyNumberFormat="1" applyFont="1" applyAlignment="1">
      <alignment horizontal="center" vertical="center"/>
    </xf>
    <xf numFmtId="14" fontId="26" fillId="0" borderId="0" xfId="0" applyNumberFormat="1" applyFont="1" applyAlignment="1">
      <alignment horizontal="center" vertical="center"/>
    </xf>
    <xf numFmtId="14" fontId="38" fillId="0" borderId="0" xfId="0" applyNumberFormat="1" applyFont="1" applyAlignment="1">
      <alignment horizontal="center" vertical="center"/>
    </xf>
    <xf numFmtId="14" fontId="39" fillId="0" borderId="0" xfId="0" applyNumberFormat="1" applyFont="1" applyAlignment="1">
      <alignment horizontal="center" vertical="center"/>
    </xf>
    <xf numFmtId="0" fontId="19" fillId="0" borderId="0" xfId="0" applyFont="1" applyAlignment="1">
      <alignment horizontal="center" vertical="center" wrapText="1"/>
    </xf>
    <xf numFmtId="0" fontId="4" fillId="18" borderId="0" xfId="0" applyFont="1" applyFill="1" applyAlignment="1">
      <alignment horizontal="center" vertical="center"/>
    </xf>
    <xf numFmtId="0" fontId="16" fillId="0" borderId="0" xfId="0" applyFont="1" applyAlignment="1">
      <alignment horizontal="center" vertical="center"/>
    </xf>
    <xf numFmtId="0" fontId="13" fillId="0" borderId="0" xfId="0" applyFont="1" applyAlignment="1">
      <alignment horizontal="center" vertical="center"/>
    </xf>
    <xf numFmtId="0" fontId="4" fillId="0" borderId="0" xfId="0" applyFont="1" applyAlignment="1">
      <alignment horizontal="left" vertical="center"/>
    </xf>
    <xf numFmtId="0" fontId="36" fillId="0" borderId="0" xfId="0" applyFont="1" applyAlignment="1">
      <alignment horizontal="center" vertical="center"/>
    </xf>
    <xf numFmtId="0" fontId="4" fillId="11" borderId="31" xfId="0" applyFont="1" applyFill="1" applyBorder="1" applyAlignment="1">
      <alignment horizontal="center" vertical="center"/>
    </xf>
    <xf numFmtId="0" fontId="4" fillId="11" borderId="32" xfId="0" applyFont="1" applyFill="1" applyBorder="1" applyAlignment="1">
      <alignment horizontal="center" vertical="center" wrapText="1"/>
    </xf>
    <xf numFmtId="0" fontId="11" fillId="11" borderId="32" xfId="0" applyFont="1" applyFill="1" applyBorder="1" applyAlignment="1">
      <alignment horizontal="center" vertical="center"/>
    </xf>
    <xf numFmtId="0" fontId="11" fillId="11" borderId="1" xfId="0" applyFont="1" applyFill="1" applyBorder="1" applyAlignment="1">
      <alignment horizontal="center" vertical="center" wrapText="1"/>
    </xf>
    <xf numFmtId="0" fontId="11" fillId="11" borderId="0" xfId="0" applyFont="1" applyFill="1" applyAlignment="1">
      <alignment horizontal="center" vertical="center"/>
    </xf>
    <xf numFmtId="0" fontId="4" fillId="0" borderId="0" xfId="0" quotePrefix="1" applyFont="1" applyAlignment="1">
      <alignment horizontal="center" vertical="center"/>
    </xf>
    <xf numFmtId="0" fontId="40" fillId="0" borderId="0" xfId="0" applyFont="1" applyAlignment="1">
      <alignment horizontal="left" vertical="center" indent="1"/>
    </xf>
    <xf numFmtId="14" fontId="41" fillId="0" borderId="0" xfId="0" applyNumberFormat="1" applyFont="1" applyAlignment="1">
      <alignment horizontal="left" vertical="center" indent="1"/>
    </xf>
    <xf numFmtId="0" fontId="16" fillId="16" borderId="13" xfId="0" applyFont="1" applyFill="1" applyBorder="1" applyAlignment="1">
      <alignment horizontal="center" vertical="center"/>
    </xf>
    <xf numFmtId="0" fontId="13" fillId="16" borderId="32" xfId="0" applyFont="1" applyFill="1" applyBorder="1" applyAlignment="1">
      <alignment horizontal="center" vertical="center"/>
    </xf>
    <xf numFmtId="0" fontId="15" fillId="3" borderId="13" xfId="0" applyFont="1" applyFill="1" applyBorder="1" applyAlignment="1">
      <alignment horizontal="center" vertical="center"/>
    </xf>
    <xf numFmtId="0" fontId="11" fillId="3" borderId="33" xfId="0" applyFont="1" applyFill="1" applyBorder="1" applyAlignment="1">
      <alignment horizontal="center" vertical="center"/>
    </xf>
    <xf numFmtId="0" fontId="11" fillId="3" borderId="32" xfId="0" applyFont="1" applyFill="1" applyBorder="1" applyAlignment="1">
      <alignment horizontal="center" vertical="center"/>
    </xf>
    <xf numFmtId="0" fontId="15" fillId="0" borderId="0" xfId="0" applyFont="1" applyAlignment="1">
      <alignment horizontal="center" vertical="center"/>
    </xf>
    <xf numFmtId="14" fontId="4" fillId="0" borderId="0" xfId="0" applyNumberFormat="1" applyFont="1" applyAlignment="1">
      <alignment horizontal="left" vertical="center"/>
    </xf>
    <xf numFmtId="0" fontId="42" fillId="15" borderId="8" xfId="0" applyFont="1" applyFill="1" applyBorder="1" applyAlignment="1">
      <alignment horizontal="center" vertical="center"/>
    </xf>
    <xf numFmtId="14" fontId="4" fillId="19" borderId="0" xfId="0" applyNumberFormat="1" applyFont="1" applyFill="1" applyAlignment="1">
      <alignment horizontal="center" vertical="center"/>
    </xf>
    <xf numFmtId="1" fontId="4" fillId="0" borderId="0" xfId="0" quotePrefix="1" applyNumberFormat="1" applyFont="1" applyAlignment="1">
      <alignment horizontal="center" vertical="center"/>
    </xf>
    <xf numFmtId="0" fontId="45" fillId="2" borderId="1" xfId="0" applyFont="1" applyFill="1" applyBorder="1" applyAlignment="1">
      <alignment horizontal="center" vertical="center"/>
    </xf>
    <xf numFmtId="0" fontId="46" fillId="2" borderId="1" xfId="0" applyFont="1" applyFill="1" applyBorder="1" applyAlignment="1">
      <alignment horizontal="center" vertical="center"/>
    </xf>
    <xf numFmtId="0" fontId="5" fillId="2" borderId="0" xfId="0" applyFont="1" applyFill="1" applyAlignment="1">
      <alignment horizontal="center" vertical="center"/>
    </xf>
    <xf numFmtId="0" fontId="47" fillId="2" borderId="0" xfId="0" applyFont="1" applyFill="1" applyAlignment="1">
      <alignment horizontal="center" vertical="center"/>
    </xf>
    <xf numFmtId="0" fontId="5" fillId="2" borderId="0" xfId="0" quotePrefix="1" applyFont="1" applyFill="1" applyAlignment="1">
      <alignment horizontal="center" vertical="center"/>
    </xf>
    <xf numFmtId="0" fontId="7" fillId="0" borderId="0" xfId="0" applyFont="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0" borderId="0" xfId="0" applyFont="1" applyAlignment="1">
      <alignment horizontal="center" vertical="center"/>
    </xf>
    <xf numFmtId="0" fontId="36" fillId="0" borderId="0" xfId="0" applyFont="1" applyAlignment="1">
      <alignment horizontal="center" vertical="center" wrapText="1"/>
    </xf>
    <xf numFmtId="0" fontId="11" fillId="6" borderId="0" xfId="0" applyFont="1" applyFill="1" applyAlignment="1">
      <alignment horizontal="center" vertical="center" wrapText="1"/>
    </xf>
    <xf numFmtId="0" fontId="11" fillId="6" borderId="34" xfId="0" applyFont="1" applyFill="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3333FF"/>
      <color rgb="FF6666FF"/>
      <color rgb="FF0000FF"/>
      <color rgb="FF0033CC"/>
      <color rgb="FFFF3300"/>
      <color rgb="FF00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7.jpeg"/><Relationship Id="rId3" Type="http://schemas.openxmlformats.org/officeDocument/2006/relationships/image" Target="../media/image2.jpeg"/><Relationship Id="rId7" Type="http://schemas.openxmlformats.org/officeDocument/2006/relationships/image" Target="../media/image6.gif"/><Relationship Id="rId2" Type="http://schemas.openxmlformats.org/officeDocument/2006/relationships/hyperlink" Target="http://villemin.gerard.free.fr/Langue/Prenom1.htm#top" TargetMode="External"/><Relationship Id="rId1" Type="http://schemas.openxmlformats.org/officeDocument/2006/relationships/image" Target="../media/image1.gif"/><Relationship Id="rId6" Type="http://schemas.openxmlformats.org/officeDocument/2006/relationships/image" Target="../media/image5.jpeg"/><Relationship Id="rId5" Type="http://schemas.openxmlformats.org/officeDocument/2006/relationships/image" Target="../media/image4.jpeg"/><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xdr:col>
      <xdr:colOff>0</xdr:colOff>
      <xdr:row>143</xdr:row>
      <xdr:rowOff>0</xdr:rowOff>
    </xdr:from>
    <xdr:to>
      <xdr:col>1</xdr:col>
      <xdr:colOff>365760</xdr:colOff>
      <xdr:row>144</xdr:row>
      <xdr:rowOff>198783</xdr:rowOff>
    </xdr:to>
    <xdr:grpSp>
      <xdr:nvGrpSpPr>
        <xdr:cNvPr id="10257" name="Group 17">
          <a:extLst>
            <a:ext uri="{FF2B5EF4-FFF2-40B4-BE49-F238E27FC236}">
              <a16:creationId xmlns:a16="http://schemas.microsoft.com/office/drawing/2014/main" id="{4A8F4A07-AEA7-637F-8886-0EB679E3CEF1}"/>
            </a:ext>
          </a:extLst>
        </xdr:cNvPr>
        <xdr:cNvGrpSpPr>
          <a:grpSpLocks/>
        </xdr:cNvGrpSpPr>
      </xdr:nvGrpSpPr>
      <xdr:grpSpPr bwMode="auto">
        <a:xfrm>
          <a:off x="826936" y="37522205"/>
          <a:ext cx="365760" cy="461176"/>
          <a:chOff x="104" y="35381"/>
          <a:chExt cx="46" cy="62"/>
        </a:xfrm>
      </xdr:grpSpPr>
      <xdr:pic>
        <xdr:nvPicPr>
          <xdr:cNvPr id="2" name="Image 1">
            <a:extLst>
              <a:ext uri="{FF2B5EF4-FFF2-40B4-BE49-F238E27FC236}">
                <a16:creationId xmlns:a16="http://schemas.microsoft.com/office/drawing/2014/main" id="{7B8902C4-2AED-DA86-2B95-669ADD1ABA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 y="35381"/>
            <a:ext cx="46" cy="6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258" name="Freeform 18">
            <a:hlinkClick xmlns:r="http://schemas.openxmlformats.org/officeDocument/2006/relationships" r:id="rId2"/>
            <a:extLst>
              <a:ext uri="{FF2B5EF4-FFF2-40B4-BE49-F238E27FC236}">
                <a16:creationId xmlns:a16="http://schemas.microsoft.com/office/drawing/2014/main" id="{A01A2AF5-ABA1-F3A9-399B-AF96EADE210D}"/>
              </a:ext>
            </a:extLst>
          </xdr:cNvPr>
          <xdr:cNvSpPr>
            <a:spLocks/>
          </xdr:cNvSpPr>
        </xdr:nvSpPr>
        <xdr:spPr bwMode="auto">
          <a:xfrm>
            <a:off x="111" y="35388"/>
            <a:ext cx="31" cy="46"/>
          </a:xfrm>
          <a:custGeom>
            <a:avLst/>
            <a:gdLst>
              <a:gd name="T0" fmla="*/ 0 w 31"/>
              <a:gd name="T1" fmla="*/ 22 h 46"/>
              <a:gd name="T2" fmla="*/ 7 w 31"/>
              <a:gd name="T3" fmla="*/ 22 h 46"/>
              <a:gd name="T4" fmla="*/ 7 w 31"/>
              <a:gd name="T5" fmla="*/ 46 h 46"/>
              <a:gd name="T6" fmla="*/ 23 w 31"/>
              <a:gd name="T7" fmla="*/ 46 h 46"/>
              <a:gd name="T8" fmla="*/ 23 w 31"/>
              <a:gd name="T9" fmla="*/ 22 h 46"/>
              <a:gd name="T10" fmla="*/ 31 w 31"/>
              <a:gd name="T11" fmla="*/ 22 h 46"/>
              <a:gd name="T12" fmla="*/ 16 w 31"/>
              <a:gd name="T13" fmla="*/ 0 h 46"/>
              <a:gd name="T14" fmla="*/ 0 w 31"/>
              <a:gd name="T15" fmla="*/ 22 h 46"/>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1" h="46">
                <a:moveTo>
                  <a:pt x="0" y="22"/>
                </a:moveTo>
                <a:lnTo>
                  <a:pt x="7" y="22"/>
                </a:lnTo>
                <a:lnTo>
                  <a:pt x="7" y="46"/>
                </a:lnTo>
                <a:lnTo>
                  <a:pt x="23" y="46"/>
                </a:lnTo>
                <a:lnTo>
                  <a:pt x="23" y="22"/>
                </a:lnTo>
                <a:lnTo>
                  <a:pt x="31" y="22"/>
                </a:lnTo>
                <a:lnTo>
                  <a:pt x="16" y="0"/>
                </a:lnTo>
                <a:lnTo>
                  <a:pt x="0" y="22"/>
                </a:lnTo>
                <a:close/>
              </a:path>
            </a:pathLst>
          </a:cu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grpSp>
    <xdr:clientData/>
  </xdr:twoCellAnchor>
  <xdr:twoCellAnchor>
    <xdr:from>
      <xdr:col>1</xdr:col>
      <xdr:colOff>0</xdr:colOff>
      <xdr:row>184</xdr:row>
      <xdr:rowOff>0</xdr:rowOff>
    </xdr:from>
    <xdr:to>
      <xdr:col>1</xdr:col>
      <xdr:colOff>365760</xdr:colOff>
      <xdr:row>186</xdr:row>
      <xdr:rowOff>7951</xdr:rowOff>
    </xdr:to>
    <xdr:grpSp>
      <xdr:nvGrpSpPr>
        <xdr:cNvPr id="10256" name="Group 16">
          <a:extLst>
            <a:ext uri="{FF2B5EF4-FFF2-40B4-BE49-F238E27FC236}">
              <a16:creationId xmlns:a16="http://schemas.microsoft.com/office/drawing/2014/main" id="{C156983E-5686-F5EC-967F-F9641C6A5CE1}"/>
            </a:ext>
          </a:extLst>
        </xdr:cNvPr>
        <xdr:cNvGrpSpPr>
          <a:grpSpLocks/>
        </xdr:cNvGrpSpPr>
      </xdr:nvGrpSpPr>
      <xdr:grpSpPr bwMode="auto">
        <a:xfrm>
          <a:off x="826936" y="48280320"/>
          <a:ext cx="365760" cy="532737"/>
          <a:chOff x="104" y="45409"/>
          <a:chExt cx="46" cy="62"/>
        </a:xfrm>
      </xdr:grpSpPr>
      <xdr:pic>
        <xdr:nvPicPr>
          <xdr:cNvPr id="3" name="Image 2">
            <a:extLst>
              <a:ext uri="{FF2B5EF4-FFF2-40B4-BE49-F238E27FC236}">
                <a16:creationId xmlns:a16="http://schemas.microsoft.com/office/drawing/2014/main" id="{CEB6ACDB-554D-7B00-9536-A6BED56C3E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 y="45409"/>
            <a:ext cx="46" cy="6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260" name="Freeform 20">
            <a:hlinkClick xmlns:r="http://schemas.openxmlformats.org/officeDocument/2006/relationships" r:id="rId2"/>
            <a:extLst>
              <a:ext uri="{FF2B5EF4-FFF2-40B4-BE49-F238E27FC236}">
                <a16:creationId xmlns:a16="http://schemas.microsoft.com/office/drawing/2014/main" id="{7AC80463-49F4-31C3-D3CC-30291FB6143D}"/>
              </a:ext>
            </a:extLst>
          </xdr:cNvPr>
          <xdr:cNvSpPr>
            <a:spLocks/>
          </xdr:cNvSpPr>
        </xdr:nvSpPr>
        <xdr:spPr bwMode="auto">
          <a:xfrm>
            <a:off x="111" y="45416"/>
            <a:ext cx="31" cy="46"/>
          </a:xfrm>
          <a:custGeom>
            <a:avLst/>
            <a:gdLst>
              <a:gd name="T0" fmla="*/ 0 w 31"/>
              <a:gd name="T1" fmla="*/ 22 h 46"/>
              <a:gd name="T2" fmla="*/ 7 w 31"/>
              <a:gd name="T3" fmla="*/ 22 h 46"/>
              <a:gd name="T4" fmla="*/ 7 w 31"/>
              <a:gd name="T5" fmla="*/ 46 h 46"/>
              <a:gd name="T6" fmla="*/ 23 w 31"/>
              <a:gd name="T7" fmla="*/ 46 h 46"/>
              <a:gd name="T8" fmla="*/ 23 w 31"/>
              <a:gd name="T9" fmla="*/ 22 h 46"/>
              <a:gd name="T10" fmla="*/ 31 w 31"/>
              <a:gd name="T11" fmla="*/ 22 h 46"/>
              <a:gd name="T12" fmla="*/ 16 w 31"/>
              <a:gd name="T13" fmla="*/ 0 h 46"/>
              <a:gd name="T14" fmla="*/ 0 w 31"/>
              <a:gd name="T15" fmla="*/ 22 h 46"/>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1" h="46">
                <a:moveTo>
                  <a:pt x="0" y="22"/>
                </a:moveTo>
                <a:lnTo>
                  <a:pt x="7" y="22"/>
                </a:lnTo>
                <a:lnTo>
                  <a:pt x="7" y="46"/>
                </a:lnTo>
                <a:lnTo>
                  <a:pt x="23" y="46"/>
                </a:lnTo>
                <a:lnTo>
                  <a:pt x="23" y="22"/>
                </a:lnTo>
                <a:lnTo>
                  <a:pt x="31" y="22"/>
                </a:lnTo>
                <a:lnTo>
                  <a:pt x="16" y="0"/>
                </a:lnTo>
                <a:lnTo>
                  <a:pt x="0" y="22"/>
                </a:lnTo>
                <a:close/>
              </a:path>
            </a:pathLst>
          </a:cu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grpSp>
    <xdr:clientData/>
  </xdr:twoCellAnchor>
  <xdr:twoCellAnchor editAs="oneCell">
    <xdr:from>
      <xdr:col>1</xdr:col>
      <xdr:colOff>0</xdr:colOff>
      <xdr:row>209</xdr:row>
      <xdr:rowOff>0</xdr:rowOff>
    </xdr:from>
    <xdr:to>
      <xdr:col>1</xdr:col>
      <xdr:colOff>3816625</xdr:colOff>
      <xdr:row>216</xdr:row>
      <xdr:rowOff>151075</xdr:rowOff>
    </xdr:to>
    <xdr:pic>
      <xdr:nvPicPr>
        <xdr:cNvPr id="4" name="Image 3">
          <a:extLst>
            <a:ext uri="{FF2B5EF4-FFF2-40B4-BE49-F238E27FC236}">
              <a16:creationId xmlns:a16="http://schemas.microsoft.com/office/drawing/2014/main" id="{8142BC4A-0B98-A2D6-8352-568F1711F75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6936" y="406741023"/>
          <a:ext cx="3816626" cy="1987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265</xdr:row>
      <xdr:rowOff>0</xdr:rowOff>
    </xdr:from>
    <xdr:to>
      <xdr:col>1</xdr:col>
      <xdr:colOff>365760</xdr:colOff>
      <xdr:row>266</xdr:row>
      <xdr:rowOff>198783</xdr:rowOff>
    </xdr:to>
    <xdr:grpSp>
      <xdr:nvGrpSpPr>
        <xdr:cNvPr id="10255" name="Group 15">
          <a:extLst>
            <a:ext uri="{FF2B5EF4-FFF2-40B4-BE49-F238E27FC236}">
              <a16:creationId xmlns:a16="http://schemas.microsoft.com/office/drawing/2014/main" id="{D3824EA1-2B9B-0451-3889-1F61DA2F551C}"/>
            </a:ext>
          </a:extLst>
        </xdr:cNvPr>
        <xdr:cNvGrpSpPr>
          <a:grpSpLocks/>
        </xdr:cNvGrpSpPr>
      </xdr:nvGrpSpPr>
      <xdr:grpSpPr bwMode="auto">
        <a:xfrm>
          <a:off x="826936" y="69534157"/>
          <a:ext cx="365760" cy="461176"/>
          <a:chOff x="104" y="64266"/>
          <a:chExt cx="46" cy="62"/>
        </a:xfrm>
      </xdr:grpSpPr>
      <xdr:pic>
        <xdr:nvPicPr>
          <xdr:cNvPr id="5" name="Image 4">
            <a:extLst>
              <a:ext uri="{FF2B5EF4-FFF2-40B4-BE49-F238E27FC236}">
                <a16:creationId xmlns:a16="http://schemas.microsoft.com/office/drawing/2014/main" id="{113FC6EF-5288-1CE2-0C5E-7EC2ABB557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 y="64266"/>
            <a:ext cx="46" cy="6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263" name="Freeform 23">
            <a:hlinkClick xmlns:r="http://schemas.openxmlformats.org/officeDocument/2006/relationships" r:id="rId2"/>
            <a:extLst>
              <a:ext uri="{FF2B5EF4-FFF2-40B4-BE49-F238E27FC236}">
                <a16:creationId xmlns:a16="http://schemas.microsoft.com/office/drawing/2014/main" id="{614B061B-E00F-D737-0D0C-07D02C6AB8F9}"/>
              </a:ext>
            </a:extLst>
          </xdr:cNvPr>
          <xdr:cNvSpPr>
            <a:spLocks/>
          </xdr:cNvSpPr>
        </xdr:nvSpPr>
        <xdr:spPr bwMode="auto">
          <a:xfrm>
            <a:off x="111" y="64273"/>
            <a:ext cx="31" cy="46"/>
          </a:xfrm>
          <a:custGeom>
            <a:avLst/>
            <a:gdLst>
              <a:gd name="T0" fmla="*/ 0 w 31"/>
              <a:gd name="T1" fmla="*/ 22 h 46"/>
              <a:gd name="T2" fmla="*/ 7 w 31"/>
              <a:gd name="T3" fmla="*/ 22 h 46"/>
              <a:gd name="T4" fmla="*/ 7 w 31"/>
              <a:gd name="T5" fmla="*/ 46 h 46"/>
              <a:gd name="T6" fmla="*/ 23 w 31"/>
              <a:gd name="T7" fmla="*/ 46 h 46"/>
              <a:gd name="T8" fmla="*/ 23 w 31"/>
              <a:gd name="T9" fmla="*/ 22 h 46"/>
              <a:gd name="T10" fmla="*/ 31 w 31"/>
              <a:gd name="T11" fmla="*/ 22 h 46"/>
              <a:gd name="T12" fmla="*/ 16 w 31"/>
              <a:gd name="T13" fmla="*/ 0 h 46"/>
              <a:gd name="T14" fmla="*/ 0 w 31"/>
              <a:gd name="T15" fmla="*/ 22 h 46"/>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1" h="46">
                <a:moveTo>
                  <a:pt x="0" y="22"/>
                </a:moveTo>
                <a:lnTo>
                  <a:pt x="7" y="22"/>
                </a:lnTo>
                <a:lnTo>
                  <a:pt x="7" y="46"/>
                </a:lnTo>
                <a:lnTo>
                  <a:pt x="23" y="46"/>
                </a:lnTo>
                <a:lnTo>
                  <a:pt x="23" y="22"/>
                </a:lnTo>
                <a:lnTo>
                  <a:pt x="31" y="22"/>
                </a:lnTo>
                <a:lnTo>
                  <a:pt x="16" y="0"/>
                </a:lnTo>
                <a:lnTo>
                  <a:pt x="0" y="22"/>
                </a:lnTo>
                <a:close/>
              </a:path>
            </a:pathLst>
          </a:cu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grpSp>
    <xdr:clientData/>
  </xdr:twoCellAnchor>
  <xdr:twoCellAnchor>
    <xdr:from>
      <xdr:col>1</xdr:col>
      <xdr:colOff>0</xdr:colOff>
      <xdr:row>343</xdr:row>
      <xdr:rowOff>0</xdr:rowOff>
    </xdr:from>
    <xdr:to>
      <xdr:col>1</xdr:col>
      <xdr:colOff>365760</xdr:colOff>
      <xdr:row>344</xdr:row>
      <xdr:rowOff>198783</xdr:rowOff>
    </xdr:to>
    <xdr:grpSp>
      <xdr:nvGrpSpPr>
        <xdr:cNvPr id="10254" name="Group 14">
          <a:extLst>
            <a:ext uri="{FF2B5EF4-FFF2-40B4-BE49-F238E27FC236}">
              <a16:creationId xmlns:a16="http://schemas.microsoft.com/office/drawing/2014/main" id="{965A0CD5-E745-CA47-C180-635A9675CA19}"/>
            </a:ext>
          </a:extLst>
        </xdr:cNvPr>
        <xdr:cNvGrpSpPr>
          <a:grpSpLocks/>
        </xdr:cNvGrpSpPr>
      </xdr:nvGrpSpPr>
      <xdr:grpSpPr bwMode="auto">
        <a:xfrm>
          <a:off x="826936" y="90000814"/>
          <a:ext cx="365760" cy="461176"/>
          <a:chOff x="104" y="83428"/>
          <a:chExt cx="46" cy="62"/>
        </a:xfrm>
      </xdr:grpSpPr>
      <xdr:pic>
        <xdr:nvPicPr>
          <xdr:cNvPr id="6" name="Image 5">
            <a:extLst>
              <a:ext uri="{FF2B5EF4-FFF2-40B4-BE49-F238E27FC236}">
                <a16:creationId xmlns:a16="http://schemas.microsoft.com/office/drawing/2014/main" id="{FA2E33F8-7466-96A0-1ED2-086FE2E45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 y="83428"/>
            <a:ext cx="46" cy="6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265" name="Freeform 25">
            <a:hlinkClick xmlns:r="http://schemas.openxmlformats.org/officeDocument/2006/relationships" r:id="rId2"/>
            <a:extLst>
              <a:ext uri="{FF2B5EF4-FFF2-40B4-BE49-F238E27FC236}">
                <a16:creationId xmlns:a16="http://schemas.microsoft.com/office/drawing/2014/main" id="{A17C3133-B903-5888-86EF-0E553E839AED}"/>
              </a:ext>
            </a:extLst>
          </xdr:cNvPr>
          <xdr:cNvSpPr>
            <a:spLocks/>
          </xdr:cNvSpPr>
        </xdr:nvSpPr>
        <xdr:spPr bwMode="auto">
          <a:xfrm>
            <a:off x="111" y="83435"/>
            <a:ext cx="31" cy="46"/>
          </a:xfrm>
          <a:custGeom>
            <a:avLst/>
            <a:gdLst>
              <a:gd name="T0" fmla="*/ 0 w 31"/>
              <a:gd name="T1" fmla="*/ 22 h 46"/>
              <a:gd name="T2" fmla="*/ 7 w 31"/>
              <a:gd name="T3" fmla="*/ 22 h 46"/>
              <a:gd name="T4" fmla="*/ 7 w 31"/>
              <a:gd name="T5" fmla="*/ 46 h 46"/>
              <a:gd name="T6" fmla="*/ 23 w 31"/>
              <a:gd name="T7" fmla="*/ 46 h 46"/>
              <a:gd name="T8" fmla="*/ 23 w 31"/>
              <a:gd name="T9" fmla="*/ 22 h 46"/>
              <a:gd name="T10" fmla="*/ 31 w 31"/>
              <a:gd name="T11" fmla="*/ 22 h 46"/>
              <a:gd name="T12" fmla="*/ 16 w 31"/>
              <a:gd name="T13" fmla="*/ 0 h 46"/>
              <a:gd name="T14" fmla="*/ 0 w 31"/>
              <a:gd name="T15" fmla="*/ 22 h 46"/>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1" h="46">
                <a:moveTo>
                  <a:pt x="0" y="22"/>
                </a:moveTo>
                <a:lnTo>
                  <a:pt x="7" y="22"/>
                </a:lnTo>
                <a:lnTo>
                  <a:pt x="7" y="46"/>
                </a:lnTo>
                <a:lnTo>
                  <a:pt x="23" y="46"/>
                </a:lnTo>
                <a:lnTo>
                  <a:pt x="23" y="22"/>
                </a:lnTo>
                <a:lnTo>
                  <a:pt x="31" y="22"/>
                </a:lnTo>
                <a:lnTo>
                  <a:pt x="16" y="0"/>
                </a:lnTo>
                <a:lnTo>
                  <a:pt x="0" y="22"/>
                </a:lnTo>
                <a:close/>
              </a:path>
            </a:pathLst>
          </a:cu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grpSp>
    <xdr:clientData/>
  </xdr:twoCellAnchor>
  <xdr:twoCellAnchor>
    <xdr:from>
      <xdr:col>1</xdr:col>
      <xdr:colOff>0</xdr:colOff>
      <xdr:row>370</xdr:row>
      <xdr:rowOff>0</xdr:rowOff>
    </xdr:from>
    <xdr:to>
      <xdr:col>1</xdr:col>
      <xdr:colOff>365760</xdr:colOff>
      <xdr:row>372</xdr:row>
      <xdr:rowOff>7951</xdr:rowOff>
    </xdr:to>
    <xdr:grpSp>
      <xdr:nvGrpSpPr>
        <xdr:cNvPr id="10253" name="Group 13">
          <a:extLst>
            <a:ext uri="{FF2B5EF4-FFF2-40B4-BE49-F238E27FC236}">
              <a16:creationId xmlns:a16="http://schemas.microsoft.com/office/drawing/2014/main" id="{D6DDD647-D30E-BA24-456E-346CA66DF677}"/>
            </a:ext>
          </a:extLst>
        </xdr:cNvPr>
        <xdr:cNvGrpSpPr>
          <a:grpSpLocks/>
        </xdr:cNvGrpSpPr>
      </xdr:nvGrpSpPr>
      <xdr:grpSpPr bwMode="auto">
        <a:xfrm>
          <a:off x="826936" y="97085426"/>
          <a:ext cx="365760" cy="532737"/>
          <a:chOff x="104" y="89840"/>
          <a:chExt cx="46" cy="62"/>
        </a:xfrm>
      </xdr:grpSpPr>
      <xdr:pic>
        <xdr:nvPicPr>
          <xdr:cNvPr id="7" name="Image 6">
            <a:extLst>
              <a:ext uri="{FF2B5EF4-FFF2-40B4-BE49-F238E27FC236}">
                <a16:creationId xmlns:a16="http://schemas.microsoft.com/office/drawing/2014/main" id="{8FBCE1D9-15EF-BABF-D05D-94C8D0E19F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 y="89840"/>
            <a:ext cx="46" cy="6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267" name="Freeform 27">
            <a:hlinkClick xmlns:r="http://schemas.openxmlformats.org/officeDocument/2006/relationships" r:id="rId2"/>
            <a:extLst>
              <a:ext uri="{FF2B5EF4-FFF2-40B4-BE49-F238E27FC236}">
                <a16:creationId xmlns:a16="http://schemas.microsoft.com/office/drawing/2014/main" id="{0B203F54-0EDC-DC07-0491-C0849541E0D5}"/>
              </a:ext>
            </a:extLst>
          </xdr:cNvPr>
          <xdr:cNvSpPr>
            <a:spLocks/>
          </xdr:cNvSpPr>
        </xdr:nvSpPr>
        <xdr:spPr bwMode="auto">
          <a:xfrm>
            <a:off x="111" y="89847"/>
            <a:ext cx="31" cy="46"/>
          </a:xfrm>
          <a:custGeom>
            <a:avLst/>
            <a:gdLst>
              <a:gd name="T0" fmla="*/ 0 w 31"/>
              <a:gd name="T1" fmla="*/ 22 h 46"/>
              <a:gd name="T2" fmla="*/ 7 w 31"/>
              <a:gd name="T3" fmla="*/ 22 h 46"/>
              <a:gd name="T4" fmla="*/ 7 w 31"/>
              <a:gd name="T5" fmla="*/ 46 h 46"/>
              <a:gd name="T6" fmla="*/ 23 w 31"/>
              <a:gd name="T7" fmla="*/ 46 h 46"/>
              <a:gd name="T8" fmla="*/ 23 w 31"/>
              <a:gd name="T9" fmla="*/ 22 h 46"/>
              <a:gd name="T10" fmla="*/ 31 w 31"/>
              <a:gd name="T11" fmla="*/ 22 h 46"/>
              <a:gd name="T12" fmla="*/ 16 w 31"/>
              <a:gd name="T13" fmla="*/ 0 h 46"/>
              <a:gd name="T14" fmla="*/ 0 w 31"/>
              <a:gd name="T15" fmla="*/ 22 h 46"/>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1" h="46">
                <a:moveTo>
                  <a:pt x="0" y="22"/>
                </a:moveTo>
                <a:lnTo>
                  <a:pt x="7" y="22"/>
                </a:lnTo>
                <a:lnTo>
                  <a:pt x="7" y="46"/>
                </a:lnTo>
                <a:lnTo>
                  <a:pt x="23" y="46"/>
                </a:lnTo>
                <a:lnTo>
                  <a:pt x="23" y="22"/>
                </a:lnTo>
                <a:lnTo>
                  <a:pt x="31" y="22"/>
                </a:lnTo>
                <a:lnTo>
                  <a:pt x="16" y="0"/>
                </a:lnTo>
                <a:lnTo>
                  <a:pt x="0" y="22"/>
                </a:lnTo>
                <a:close/>
              </a:path>
            </a:pathLst>
          </a:cu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grpSp>
    <xdr:clientData/>
  </xdr:twoCellAnchor>
  <xdr:twoCellAnchor editAs="oneCell">
    <xdr:from>
      <xdr:col>1</xdr:col>
      <xdr:colOff>0</xdr:colOff>
      <xdr:row>400</xdr:row>
      <xdr:rowOff>0</xdr:rowOff>
    </xdr:from>
    <xdr:to>
      <xdr:col>1</xdr:col>
      <xdr:colOff>2615979</xdr:colOff>
      <xdr:row>406</xdr:row>
      <xdr:rowOff>206733</xdr:rowOff>
    </xdr:to>
    <xdr:pic>
      <xdr:nvPicPr>
        <xdr:cNvPr id="8" name="Image 7">
          <a:extLst>
            <a:ext uri="{FF2B5EF4-FFF2-40B4-BE49-F238E27FC236}">
              <a16:creationId xmlns:a16="http://schemas.microsoft.com/office/drawing/2014/main" id="{076807C8-41F5-49A0-456E-5395ABB5455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26936" y="763094630"/>
          <a:ext cx="2615979" cy="1781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510</xdr:row>
      <xdr:rowOff>0</xdr:rowOff>
    </xdr:from>
    <xdr:to>
      <xdr:col>1</xdr:col>
      <xdr:colOff>6814268</xdr:colOff>
      <xdr:row>516</xdr:row>
      <xdr:rowOff>31806</xdr:rowOff>
    </xdr:to>
    <xdr:pic>
      <xdr:nvPicPr>
        <xdr:cNvPr id="9" name="Image 8">
          <a:extLst>
            <a:ext uri="{FF2B5EF4-FFF2-40B4-BE49-F238E27FC236}">
              <a16:creationId xmlns:a16="http://schemas.microsoft.com/office/drawing/2014/main" id="{59312E65-CCA3-F5EA-B551-BC5AFA68B58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26936" y="949942330"/>
          <a:ext cx="6814267" cy="1606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519</xdr:row>
      <xdr:rowOff>0</xdr:rowOff>
    </xdr:from>
    <xdr:to>
      <xdr:col>1</xdr:col>
      <xdr:colOff>365760</xdr:colOff>
      <xdr:row>520</xdr:row>
      <xdr:rowOff>198783</xdr:rowOff>
    </xdr:to>
    <xdr:grpSp>
      <xdr:nvGrpSpPr>
        <xdr:cNvPr id="10252" name="Group 12">
          <a:extLst>
            <a:ext uri="{FF2B5EF4-FFF2-40B4-BE49-F238E27FC236}">
              <a16:creationId xmlns:a16="http://schemas.microsoft.com/office/drawing/2014/main" id="{E98E7539-9B26-C5DE-9441-2E3B6B685A0F}"/>
            </a:ext>
          </a:extLst>
        </xdr:cNvPr>
        <xdr:cNvGrpSpPr>
          <a:grpSpLocks/>
        </xdr:cNvGrpSpPr>
      </xdr:nvGrpSpPr>
      <xdr:grpSpPr bwMode="auto">
        <a:xfrm>
          <a:off x="826936" y="136181990"/>
          <a:ext cx="365760" cy="461176"/>
          <a:chOff x="104" y="119844"/>
          <a:chExt cx="46" cy="62"/>
        </a:xfrm>
      </xdr:grpSpPr>
      <xdr:pic>
        <xdr:nvPicPr>
          <xdr:cNvPr id="10" name="Image 9">
            <a:extLst>
              <a:ext uri="{FF2B5EF4-FFF2-40B4-BE49-F238E27FC236}">
                <a16:creationId xmlns:a16="http://schemas.microsoft.com/office/drawing/2014/main" id="{B225FD81-33C8-67DD-74AF-149DA06F6D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 y="119844"/>
            <a:ext cx="46" cy="6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271" name="Freeform 31">
            <a:hlinkClick xmlns:r="http://schemas.openxmlformats.org/officeDocument/2006/relationships" r:id="rId2"/>
            <a:extLst>
              <a:ext uri="{FF2B5EF4-FFF2-40B4-BE49-F238E27FC236}">
                <a16:creationId xmlns:a16="http://schemas.microsoft.com/office/drawing/2014/main" id="{631B70EA-FCA5-FC6D-EE82-EB4FDEDB5264}"/>
              </a:ext>
            </a:extLst>
          </xdr:cNvPr>
          <xdr:cNvSpPr>
            <a:spLocks/>
          </xdr:cNvSpPr>
        </xdr:nvSpPr>
        <xdr:spPr bwMode="auto">
          <a:xfrm>
            <a:off x="111" y="119851"/>
            <a:ext cx="31" cy="46"/>
          </a:xfrm>
          <a:custGeom>
            <a:avLst/>
            <a:gdLst>
              <a:gd name="T0" fmla="*/ 0 w 31"/>
              <a:gd name="T1" fmla="*/ 22 h 46"/>
              <a:gd name="T2" fmla="*/ 7 w 31"/>
              <a:gd name="T3" fmla="*/ 22 h 46"/>
              <a:gd name="T4" fmla="*/ 7 w 31"/>
              <a:gd name="T5" fmla="*/ 46 h 46"/>
              <a:gd name="T6" fmla="*/ 23 w 31"/>
              <a:gd name="T7" fmla="*/ 46 h 46"/>
              <a:gd name="T8" fmla="*/ 23 w 31"/>
              <a:gd name="T9" fmla="*/ 22 h 46"/>
              <a:gd name="T10" fmla="*/ 31 w 31"/>
              <a:gd name="T11" fmla="*/ 22 h 46"/>
              <a:gd name="T12" fmla="*/ 16 w 31"/>
              <a:gd name="T13" fmla="*/ 0 h 46"/>
              <a:gd name="T14" fmla="*/ 0 w 31"/>
              <a:gd name="T15" fmla="*/ 22 h 46"/>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1" h="46">
                <a:moveTo>
                  <a:pt x="0" y="22"/>
                </a:moveTo>
                <a:lnTo>
                  <a:pt x="7" y="22"/>
                </a:lnTo>
                <a:lnTo>
                  <a:pt x="7" y="46"/>
                </a:lnTo>
                <a:lnTo>
                  <a:pt x="23" y="46"/>
                </a:lnTo>
                <a:lnTo>
                  <a:pt x="23" y="22"/>
                </a:lnTo>
                <a:lnTo>
                  <a:pt x="31" y="22"/>
                </a:lnTo>
                <a:lnTo>
                  <a:pt x="16" y="0"/>
                </a:lnTo>
                <a:lnTo>
                  <a:pt x="0" y="22"/>
                </a:lnTo>
                <a:close/>
              </a:path>
            </a:pathLst>
          </a:cu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grpSp>
    <xdr:clientData/>
  </xdr:twoCellAnchor>
  <xdr:twoCellAnchor>
    <xdr:from>
      <xdr:col>1</xdr:col>
      <xdr:colOff>0</xdr:colOff>
      <xdr:row>549</xdr:row>
      <xdr:rowOff>0</xdr:rowOff>
    </xdr:from>
    <xdr:to>
      <xdr:col>1</xdr:col>
      <xdr:colOff>365760</xdr:colOff>
      <xdr:row>550</xdr:row>
      <xdr:rowOff>198783</xdr:rowOff>
    </xdr:to>
    <xdr:grpSp>
      <xdr:nvGrpSpPr>
        <xdr:cNvPr id="10251" name="Group 11">
          <a:extLst>
            <a:ext uri="{FF2B5EF4-FFF2-40B4-BE49-F238E27FC236}">
              <a16:creationId xmlns:a16="http://schemas.microsoft.com/office/drawing/2014/main" id="{30B1769A-27A6-3C0D-0A39-54D726B1CD27}"/>
            </a:ext>
          </a:extLst>
        </xdr:cNvPr>
        <xdr:cNvGrpSpPr>
          <a:grpSpLocks/>
        </xdr:cNvGrpSpPr>
      </xdr:nvGrpSpPr>
      <xdr:grpSpPr bwMode="auto">
        <a:xfrm>
          <a:off x="826936" y="144053781"/>
          <a:ext cx="365760" cy="461176"/>
          <a:chOff x="104" y="124681"/>
          <a:chExt cx="46" cy="62"/>
        </a:xfrm>
      </xdr:grpSpPr>
      <xdr:pic>
        <xdr:nvPicPr>
          <xdr:cNvPr id="11" name="Image 10">
            <a:extLst>
              <a:ext uri="{FF2B5EF4-FFF2-40B4-BE49-F238E27FC236}">
                <a16:creationId xmlns:a16="http://schemas.microsoft.com/office/drawing/2014/main" id="{199D6348-3A6F-DD04-7620-CFB6CEA92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 y="124681"/>
            <a:ext cx="46" cy="6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273" name="Freeform 33">
            <a:hlinkClick xmlns:r="http://schemas.openxmlformats.org/officeDocument/2006/relationships" r:id="rId2"/>
            <a:extLst>
              <a:ext uri="{FF2B5EF4-FFF2-40B4-BE49-F238E27FC236}">
                <a16:creationId xmlns:a16="http://schemas.microsoft.com/office/drawing/2014/main" id="{DD7898A6-9D12-565F-6056-1781E5E7553B}"/>
              </a:ext>
            </a:extLst>
          </xdr:cNvPr>
          <xdr:cNvSpPr>
            <a:spLocks/>
          </xdr:cNvSpPr>
        </xdr:nvSpPr>
        <xdr:spPr bwMode="auto">
          <a:xfrm>
            <a:off x="111" y="124688"/>
            <a:ext cx="31" cy="46"/>
          </a:xfrm>
          <a:custGeom>
            <a:avLst/>
            <a:gdLst>
              <a:gd name="T0" fmla="*/ 0 w 31"/>
              <a:gd name="T1" fmla="*/ 22 h 46"/>
              <a:gd name="T2" fmla="*/ 7 w 31"/>
              <a:gd name="T3" fmla="*/ 22 h 46"/>
              <a:gd name="T4" fmla="*/ 7 w 31"/>
              <a:gd name="T5" fmla="*/ 46 h 46"/>
              <a:gd name="T6" fmla="*/ 23 w 31"/>
              <a:gd name="T7" fmla="*/ 46 h 46"/>
              <a:gd name="T8" fmla="*/ 23 w 31"/>
              <a:gd name="T9" fmla="*/ 22 h 46"/>
              <a:gd name="T10" fmla="*/ 31 w 31"/>
              <a:gd name="T11" fmla="*/ 22 h 46"/>
              <a:gd name="T12" fmla="*/ 16 w 31"/>
              <a:gd name="T13" fmla="*/ 0 h 46"/>
              <a:gd name="T14" fmla="*/ 0 w 31"/>
              <a:gd name="T15" fmla="*/ 22 h 46"/>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1" h="46">
                <a:moveTo>
                  <a:pt x="0" y="22"/>
                </a:moveTo>
                <a:lnTo>
                  <a:pt x="7" y="22"/>
                </a:lnTo>
                <a:lnTo>
                  <a:pt x="7" y="46"/>
                </a:lnTo>
                <a:lnTo>
                  <a:pt x="23" y="46"/>
                </a:lnTo>
                <a:lnTo>
                  <a:pt x="23" y="22"/>
                </a:lnTo>
                <a:lnTo>
                  <a:pt x="31" y="22"/>
                </a:lnTo>
                <a:lnTo>
                  <a:pt x="16" y="0"/>
                </a:lnTo>
                <a:lnTo>
                  <a:pt x="0" y="22"/>
                </a:lnTo>
                <a:close/>
              </a:path>
            </a:pathLst>
          </a:cu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grpSp>
    <xdr:clientData/>
  </xdr:twoCellAnchor>
  <xdr:twoCellAnchor>
    <xdr:from>
      <xdr:col>1</xdr:col>
      <xdr:colOff>0</xdr:colOff>
      <xdr:row>683</xdr:row>
      <xdr:rowOff>0</xdr:rowOff>
    </xdr:from>
    <xdr:to>
      <xdr:col>1</xdr:col>
      <xdr:colOff>365760</xdr:colOff>
      <xdr:row>685</xdr:row>
      <xdr:rowOff>7951</xdr:rowOff>
    </xdr:to>
    <xdr:grpSp>
      <xdr:nvGrpSpPr>
        <xdr:cNvPr id="10250" name="Group 10">
          <a:extLst>
            <a:ext uri="{FF2B5EF4-FFF2-40B4-BE49-F238E27FC236}">
              <a16:creationId xmlns:a16="http://schemas.microsoft.com/office/drawing/2014/main" id="{D49ABCA6-7468-C350-7BBA-C3097CEBF913}"/>
            </a:ext>
          </a:extLst>
        </xdr:cNvPr>
        <xdr:cNvGrpSpPr>
          <a:grpSpLocks/>
        </xdr:cNvGrpSpPr>
      </xdr:nvGrpSpPr>
      <xdr:grpSpPr bwMode="auto">
        <a:xfrm>
          <a:off x="826936" y="179214449"/>
          <a:ext cx="365760" cy="532737"/>
          <a:chOff x="104" y="154316"/>
          <a:chExt cx="46" cy="62"/>
        </a:xfrm>
      </xdr:grpSpPr>
      <xdr:pic>
        <xdr:nvPicPr>
          <xdr:cNvPr id="12" name="Image 11">
            <a:extLst>
              <a:ext uri="{FF2B5EF4-FFF2-40B4-BE49-F238E27FC236}">
                <a16:creationId xmlns:a16="http://schemas.microsoft.com/office/drawing/2014/main" id="{97CBF5B0-F798-EF21-8FE1-06FE45301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 y="154316"/>
            <a:ext cx="46" cy="6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275" name="Freeform 35">
            <a:hlinkClick xmlns:r="http://schemas.openxmlformats.org/officeDocument/2006/relationships" r:id="rId2"/>
            <a:extLst>
              <a:ext uri="{FF2B5EF4-FFF2-40B4-BE49-F238E27FC236}">
                <a16:creationId xmlns:a16="http://schemas.microsoft.com/office/drawing/2014/main" id="{994A0659-72DD-4835-3C7C-4E702F18AF4F}"/>
              </a:ext>
            </a:extLst>
          </xdr:cNvPr>
          <xdr:cNvSpPr>
            <a:spLocks/>
          </xdr:cNvSpPr>
        </xdr:nvSpPr>
        <xdr:spPr bwMode="auto">
          <a:xfrm>
            <a:off x="111" y="154323"/>
            <a:ext cx="31" cy="46"/>
          </a:xfrm>
          <a:custGeom>
            <a:avLst/>
            <a:gdLst>
              <a:gd name="T0" fmla="*/ 0 w 31"/>
              <a:gd name="T1" fmla="*/ 22 h 46"/>
              <a:gd name="T2" fmla="*/ 7 w 31"/>
              <a:gd name="T3" fmla="*/ 22 h 46"/>
              <a:gd name="T4" fmla="*/ 7 w 31"/>
              <a:gd name="T5" fmla="*/ 46 h 46"/>
              <a:gd name="T6" fmla="*/ 23 w 31"/>
              <a:gd name="T7" fmla="*/ 46 h 46"/>
              <a:gd name="T8" fmla="*/ 23 w 31"/>
              <a:gd name="T9" fmla="*/ 22 h 46"/>
              <a:gd name="T10" fmla="*/ 31 w 31"/>
              <a:gd name="T11" fmla="*/ 22 h 46"/>
              <a:gd name="T12" fmla="*/ 16 w 31"/>
              <a:gd name="T13" fmla="*/ 0 h 46"/>
              <a:gd name="T14" fmla="*/ 0 w 31"/>
              <a:gd name="T15" fmla="*/ 22 h 46"/>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1" h="46">
                <a:moveTo>
                  <a:pt x="0" y="22"/>
                </a:moveTo>
                <a:lnTo>
                  <a:pt x="7" y="22"/>
                </a:lnTo>
                <a:lnTo>
                  <a:pt x="7" y="46"/>
                </a:lnTo>
                <a:lnTo>
                  <a:pt x="23" y="46"/>
                </a:lnTo>
                <a:lnTo>
                  <a:pt x="23" y="22"/>
                </a:lnTo>
                <a:lnTo>
                  <a:pt x="31" y="22"/>
                </a:lnTo>
                <a:lnTo>
                  <a:pt x="16" y="0"/>
                </a:lnTo>
                <a:lnTo>
                  <a:pt x="0" y="22"/>
                </a:lnTo>
                <a:close/>
              </a:path>
            </a:pathLst>
          </a:cu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grpSp>
    <xdr:clientData/>
  </xdr:twoCellAnchor>
  <xdr:twoCellAnchor>
    <xdr:from>
      <xdr:col>1</xdr:col>
      <xdr:colOff>0</xdr:colOff>
      <xdr:row>837</xdr:row>
      <xdr:rowOff>0</xdr:rowOff>
    </xdr:from>
    <xdr:to>
      <xdr:col>1</xdr:col>
      <xdr:colOff>365760</xdr:colOff>
      <xdr:row>838</xdr:row>
      <xdr:rowOff>198783</xdr:rowOff>
    </xdr:to>
    <xdr:grpSp>
      <xdr:nvGrpSpPr>
        <xdr:cNvPr id="10249" name="Group 9">
          <a:extLst>
            <a:ext uri="{FF2B5EF4-FFF2-40B4-BE49-F238E27FC236}">
              <a16:creationId xmlns:a16="http://schemas.microsoft.com/office/drawing/2014/main" id="{E2C02F34-61FC-443F-0513-0075158A1C91}"/>
            </a:ext>
          </a:extLst>
        </xdr:cNvPr>
        <xdr:cNvGrpSpPr>
          <a:grpSpLocks/>
        </xdr:cNvGrpSpPr>
      </xdr:nvGrpSpPr>
      <xdr:grpSpPr bwMode="auto">
        <a:xfrm>
          <a:off x="826936" y="219622977"/>
          <a:ext cx="365760" cy="461176"/>
          <a:chOff x="104" y="189616"/>
          <a:chExt cx="46" cy="62"/>
        </a:xfrm>
      </xdr:grpSpPr>
      <xdr:pic>
        <xdr:nvPicPr>
          <xdr:cNvPr id="13" name="Image 12">
            <a:extLst>
              <a:ext uri="{FF2B5EF4-FFF2-40B4-BE49-F238E27FC236}">
                <a16:creationId xmlns:a16="http://schemas.microsoft.com/office/drawing/2014/main" id="{ECBB89B4-D1DB-72DB-A779-CDC8C057CD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 y="189616"/>
            <a:ext cx="46" cy="6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277" name="Freeform 37">
            <a:hlinkClick xmlns:r="http://schemas.openxmlformats.org/officeDocument/2006/relationships" r:id="rId2"/>
            <a:extLst>
              <a:ext uri="{FF2B5EF4-FFF2-40B4-BE49-F238E27FC236}">
                <a16:creationId xmlns:a16="http://schemas.microsoft.com/office/drawing/2014/main" id="{4E2B4608-AB51-C031-92D8-00FBCC351ACE}"/>
              </a:ext>
            </a:extLst>
          </xdr:cNvPr>
          <xdr:cNvSpPr>
            <a:spLocks/>
          </xdr:cNvSpPr>
        </xdr:nvSpPr>
        <xdr:spPr bwMode="auto">
          <a:xfrm>
            <a:off x="111" y="189623"/>
            <a:ext cx="31" cy="46"/>
          </a:xfrm>
          <a:custGeom>
            <a:avLst/>
            <a:gdLst>
              <a:gd name="T0" fmla="*/ 0 w 31"/>
              <a:gd name="T1" fmla="*/ 22 h 46"/>
              <a:gd name="T2" fmla="*/ 7 w 31"/>
              <a:gd name="T3" fmla="*/ 22 h 46"/>
              <a:gd name="T4" fmla="*/ 7 w 31"/>
              <a:gd name="T5" fmla="*/ 46 h 46"/>
              <a:gd name="T6" fmla="*/ 23 w 31"/>
              <a:gd name="T7" fmla="*/ 46 h 46"/>
              <a:gd name="T8" fmla="*/ 23 w 31"/>
              <a:gd name="T9" fmla="*/ 22 h 46"/>
              <a:gd name="T10" fmla="*/ 31 w 31"/>
              <a:gd name="T11" fmla="*/ 22 h 46"/>
              <a:gd name="T12" fmla="*/ 16 w 31"/>
              <a:gd name="T13" fmla="*/ 0 h 46"/>
              <a:gd name="T14" fmla="*/ 0 w 31"/>
              <a:gd name="T15" fmla="*/ 22 h 46"/>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1" h="46">
                <a:moveTo>
                  <a:pt x="0" y="22"/>
                </a:moveTo>
                <a:lnTo>
                  <a:pt x="7" y="22"/>
                </a:lnTo>
                <a:lnTo>
                  <a:pt x="7" y="46"/>
                </a:lnTo>
                <a:lnTo>
                  <a:pt x="23" y="46"/>
                </a:lnTo>
                <a:lnTo>
                  <a:pt x="23" y="22"/>
                </a:lnTo>
                <a:lnTo>
                  <a:pt x="31" y="22"/>
                </a:lnTo>
                <a:lnTo>
                  <a:pt x="16" y="0"/>
                </a:lnTo>
                <a:lnTo>
                  <a:pt x="0" y="22"/>
                </a:lnTo>
                <a:close/>
              </a:path>
            </a:pathLst>
          </a:cu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grpSp>
    <xdr:clientData/>
  </xdr:twoCellAnchor>
  <xdr:twoCellAnchor editAs="oneCell">
    <xdr:from>
      <xdr:col>1</xdr:col>
      <xdr:colOff>0</xdr:colOff>
      <xdr:row>854</xdr:row>
      <xdr:rowOff>0</xdr:rowOff>
    </xdr:from>
    <xdr:to>
      <xdr:col>1</xdr:col>
      <xdr:colOff>5231958</xdr:colOff>
      <xdr:row>856</xdr:row>
      <xdr:rowOff>198783</xdr:rowOff>
    </xdr:to>
    <xdr:pic>
      <xdr:nvPicPr>
        <xdr:cNvPr id="14" name="Image 13">
          <a:extLst>
            <a:ext uri="{FF2B5EF4-FFF2-40B4-BE49-F238E27FC236}">
              <a16:creationId xmlns:a16="http://schemas.microsoft.com/office/drawing/2014/main" id="{28AFF5E9-226F-9CD2-6557-B9BF9E6222B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26936" y="1542966511"/>
          <a:ext cx="5231958" cy="7235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884</xdr:row>
      <xdr:rowOff>0</xdr:rowOff>
    </xdr:from>
    <xdr:to>
      <xdr:col>1</xdr:col>
      <xdr:colOff>365760</xdr:colOff>
      <xdr:row>886</xdr:row>
      <xdr:rowOff>7951</xdr:rowOff>
    </xdr:to>
    <xdr:grpSp>
      <xdr:nvGrpSpPr>
        <xdr:cNvPr id="10248" name="Group 8">
          <a:extLst>
            <a:ext uri="{FF2B5EF4-FFF2-40B4-BE49-F238E27FC236}">
              <a16:creationId xmlns:a16="http://schemas.microsoft.com/office/drawing/2014/main" id="{22F480F0-F59C-D2F1-21C6-FBA2E98DEA39}"/>
            </a:ext>
          </a:extLst>
        </xdr:cNvPr>
        <xdr:cNvGrpSpPr>
          <a:grpSpLocks/>
        </xdr:cNvGrpSpPr>
      </xdr:nvGrpSpPr>
      <xdr:grpSpPr bwMode="auto">
        <a:xfrm>
          <a:off x="826936" y="231955450"/>
          <a:ext cx="365760" cy="532738"/>
          <a:chOff x="104" y="200728"/>
          <a:chExt cx="46" cy="62"/>
        </a:xfrm>
      </xdr:grpSpPr>
      <xdr:pic>
        <xdr:nvPicPr>
          <xdr:cNvPr id="15" name="Image 14">
            <a:extLst>
              <a:ext uri="{FF2B5EF4-FFF2-40B4-BE49-F238E27FC236}">
                <a16:creationId xmlns:a16="http://schemas.microsoft.com/office/drawing/2014/main" id="{AA9780DE-0390-A210-D78A-DA8B3E1E90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 y="200728"/>
            <a:ext cx="46" cy="6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280" name="Freeform 40">
            <a:hlinkClick xmlns:r="http://schemas.openxmlformats.org/officeDocument/2006/relationships" r:id="rId2"/>
            <a:extLst>
              <a:ext uri="{FF2B5EF4-FFF2-40B4-BE49-F238E27FC236}">
                <a16:creationId xmlns:a16="http://schemas.microsoft.com/office/drawing/2014/main" id="{B4927306-8F13-0350-94F7-43F3CD003674}"/>
              </a:ext>
            </a:extLst>
          </xdr:cNvPr>
          <xdr:cNvSpPr>
            <a:spLocks/>
          </xdr:cNvSpPr>
        </xdr:nvSpPr>
        <xdr:spPr bwMode="auto">
          <a:xfrm>
            <a:off x="111" y="200735"/>
            <a:ext cx="31" cy="46"/>
          </a:xfrm>
          <a:custGeom>
            <a:avLst/>
            <a:gdLst>
              <a:gd name="T0" fmla="*/ 0 w 31"/>
              <a:gd name="T1" fmla="*/ 22 h 46"/>
              <a:gd name="T2" fmla="*/ 7 w 31"/>
              <a:gd name="T3" fmla="*/ 22 h 46"/>
              <a:gd name="T4" fmla="*/ 7 w 31"/>
              <a:gd name="T5" fmla="*/ 46 h 46"/>
              <a:gd name="T6" fmla="*/ 23 w 31"/>
              <a:gd name="T7" fmla="*/ 46 h 46"/>
              <a:gd name="T8" fmla="*/ 23 w 31"/>
              <a:gd name="T9" fmla="*/ 22 h 46"/>
              <a:gd name="T10" fmla="*/ 31 w 31"/>
              <a:gd name="T11" fmla="*/ 22 h 46"/>
              <a:gd name="T12" fmla="*/ 16 w 31"/>
              <a:gd name="T13" fmla="*/ 0 h 46"/>
              <a:gd name="T14" fmla="*/ 0 w 31"/>
              <a:gd name="T15" fmla="*/ 22 h 46"/>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1" h="46">
                <a:moveTo>
                  <a:pt x="0" y="22"/>
                </a:moveTo>
                <a:lnTo>
                  <a:pt x="7" y="22"/>
                </a:lnTo>
                <a:lnTo>
                  <a:pt x="7" y="46"/>
                </a:lnTo>
                <a:lnTo>
                  <a:pt x="23" y="46"/>
                </a:lnTo>
                <a:lnTo>
                  <a:pt x="23" y="22"/>
                </a:lnTo>
                <a:lnTo>
                  <a:pt x="31" y="22"/>
                </a:lnTo>
                <a:lnTo>
                  <a:pt x="16" y="0"/>
                </a:lnTo>
                <a:lnTo>
                  <a:pt x="0" y="22"/>
                </a:lnTo>
                <a:close/>
              </a:path>
            </a:pathLst>
          </a:cu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grpSp>
    <xdr:clientData/>
  </xdr:twoCellAnchor>
  <xdr:twoCellAnchor>
    <xdr:from>
      <xdr:col>1</xdr:col>
      <xdr:colOff>0</xdr:colOff>
      <xdr:row>935</xdr:row>
      <xdr:rowOff>0</xdr:rowOff>
    </xdr:from>
    <xdr:to>
      <xdr:col>1</xdr:col>
      <xdr:colOff>365760</xdr:colOff>
      <xdr:row>936</xdr:row>
      <xdr:rowOff>198783</xdr:rowOff>
    </xdr:to>
    <xdr:grpSp>
      <xdr:nvGrpSpPr>
        <xdr:cNvPr id="10247" name="Group 7">
          <a:extLst>
            <a:ext uri="{FF2B5EF4-FFF2-40B4-BE49-F238E27FC236}">
              <a16:creationId xmlns:a16="http://schemas.microsoft.com/office/drawing/2014/main" id="{741E8CCE-CB41-5914-8864-2F02156E9A23}"/>
            </a:ext>
          </a:extLst>
        </xdr:cNvPr>
        <xdr:cNvGrpSpPr>
          <a:grpSpLocks/>
        </xdr:cNvGrpSpPr>
      </xdr:nvGrpSpPr>
      <xdr:grpSpPr bwMode="auto">
        <a:xfrm>
          <a:off x="826936" y="245337496"/>
          <a:ext cx="365760" cy="461176"/>
          <a:chOff x="104" y="211408"/>
          <a:chExt cx="46" cy="62"/>
        </a:xfrm>
      </xdr:grpSpPr>
      <xdr:pic>
        <xdr:nvPicPr>
          <xdr:cNvPr id="16" name="Image 15">
            <a:extLst>
              <a:ext uri="{FF2B5EF4-FFF2-40B4-BE49-F238E27FC236}">
                <a16:creationId xmlns:a16="http://schemas.microsoft.com/office/drawing/2014/main" id="{E8D3D7B5-B3BC-BB18-3CB7-8567E21F9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 y="211408"/>
            <a:ext cx="46" cy="6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282" name="Freeform 42">
            <a:hlinkClick xmlns:r="http://schemas.openxmlformats.org/officeDocument/2006/relationships" r:id="rId2"/>
            <a:extLst>
              <a:ext uri="{FF2B5EF4-FFF2-40B4-BE49-F238E27FC236}">
                <a16:creationId xmlns:a16="http://schemas.microsoft.com/office/drawing/2014/main" id="{136CB9C2-4383-3131-50FD-E9AB93A5F85A}"/>
              </a:ext>
            </a:extLst>
          </xdr:cNvPr>
          <xdr:cNvSpPr>
            <a:spLocks/>
          </xdr:cNvSpPr>
        </xdr:nvSpPr>
        <xdr:spPr bwMode="auto">
          <a:xfrm>
            <a:off x="111" y="211415"/>
            <a:ext cx="31" cy="46"/>
          </a:xfrm>
          <a:custGeom>
            <a:avLst/>
            <a:gdLst>
              <a:gd name="T0" fmla="*/ 0 w 31"/>
              <a:gd name="T1" fmla="*/ 22 h 46"/>
              <a:gd name="T2" fmla="*/ 7 w 31"/>
              <a:gd name="T3" fmla="*/ 22 h 46"/>
              <a:gd name="T4" fmla="*/ 7 w 31"/>
              <a:gd name="T5" fmla="*/ 46 h 46"/>
              <a:gd name="T6" fmla="*/ 23 w 31"/>
              <a:gd name="T7" fmla="*/ 46 h 46"/>
              <a:gd name="T8" fmla="*/ 23 w 31"/>
              <a:gd name="T9" fmla="*/ 22 h 46"/>
              <a:gd name="T10" fmla="*/ 31 w 31"/>
              <a:gd name="T11" fmla="*/ 22 h 46"/>
              <a:gd name="T12" fmla="*/ 16 w 31"/>
              <a:gd name="T13" fmla="*/ 0 h 46"/>
              <a:gd name="T14" fmla="*/ 0 w 31"/>
              <a:gd name="T15" fmla="*/ 22 h 46"/>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1" h="46">
                <a:moveTo>
                  <a:pt x="0" y="22"/>
                </a:moveTo>
                <a:lnTo>
                  <a:pt x="7" y="22"/>
                </a:lnTo>
                <a:lnTo>
                  <a:pt x="7" y="46"/>
                </a:lnTo>
                <a:lnTo>
                  <a:pt x="23" y="46"/>
                </a:lnTo>
                <a:lnTo>
                  <a:pt x="23" y="22"/>
                </a:lnTo>
                <a:lnTo>
                  <a:pt x="31" y="22"/>
                </a:lnTo>
                <a:lnTo>
                  <a:pt x="16" y="0"/>
                </a:lnTo>
                <a:lnTo>
                  <a:pt x="0" y="22"/>
                </a:lnTo>
                <a:close/>
              </a:path>
            </a:pathLst>
          </a:cu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grpSp>
    <xdr:clientData/>
  </xdr:twoCellAnchor>
  <xdr:twoCellAnchor editAs="oneCell">
    <xdr:from>
      <xdr:col>1</xdr:col>
      <xdr:colOff>0</xdr:colOff>
      <xdr:row>1015</xdr:row>
      <xdr:rowOff>0</xdr:rowOff>
    </xdr:from>
    <xdr:to>
      <xdr:col>1</xdr:col>
      <xdr:colOff>1017766</xdr:colOff>
      <xdr:row>1015</xdr:row>
      <xdr:rowOff>238539</xdr:rowOff>
    </xdr:to>
    <xdr:pic>
      <xdr:nvPicPr>
        <xdr:cNvPr id="17" name="Image 16">
          <a:extLst>
            <a:ext uri="{FF2B5EF4-FFF2-40B4-BE49-F238E27FC236}">
              <a16:creationId xmlns:a16="http://schemas.microsoft.com/office/drawing/2014/main" id="{06B33D75-7109-30AE-313D-464E758820A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26936" y="1837466922"/>
          <a:ext cx="1017767" cy="2385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1027</xdr:row>
      <xdr:rowOff>0</xdr:rowOff>
    </xdr:from>
    <xdr:to>
      <xdr:col>1</xdr:col>
      <xdr:colOff>365760</xdr:colOff>
      <xdr:row>1028</xdr:row>
      <xdr:rowOff>198783</xdr:rowOff>
    </xdr:to>
    <xdr:grpSp>
      <xdr:nvGrpSpPr>
        <xdr:cNvPr id="10246" name="Group 6">
          <a:extLst>
            <a:ext uri="{FF2B5EF4-FFF2-40B4-BE49-F238E27FC236}">
              <a16:creationId xmlns:a16="http://schemas.microsoft.com/office/drawing/2014/main" id="{470C9073-6009-B255-53ED-CB3B5E332F93}"/>
            </a:ext>
          </a:extLst>
        </xdr:cNvPr>
        <xdr:cNvGrpSpPr>
          <a:grpSpLocks/>
        </xdr:cNvGrpSpPr>
      </xdr:nvGrpSpPr>
      <xdr:grpSpPr bwMode="auto">
        <a:xfrm>
          <a:off x="826936" y="269477656"/>
          <a:ext cx="365760" cy="461176"/>
          <a:chOff x="104" y="233139"/>
          <a:chExt cx="46" cy="62"/>
        </a:xfrm>
      </xdr:grpSpPr>
      <xdr:pic>
        <xdr:nvPicPr>
          <xdr:cNvPr id="18" name="Image 17">
            <a:extLst>
              <a:ext uri="{FF2B5EF4-FFF2-40B4-BE49-F238E27FC236}">
                <a16:creationId xmlns:a16="http://schemas.microsoft.com/office/drawing/2014/main" id="{9C8C657A-638E-E991-FCF6-D5FB22105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 y="233139"/>
            <a:ext cx="46" cy="6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285" name="Freeform 45">
            <a:hlinkClick xmlns:r="http://schemas.openxmlformats.org/officeDocument/2006/relationships" r:id="rId2"/>
            <a:extLst>
              <a:ext uri="{FF2B5EF4-FFF2-40B4-BE49-F238E27FC236}">
                <a16:creationId xmlns:a16="http://schemas.microsoft.com/office/drawing/2014/main" id="{D0534707-B2ED-E9B5-8D18-49D0E5F80D39}"/>
              </a:ext>
            </a:extLst>
          </xdr:cNvPr>
          <xdr:cNvSpPr>
            <a:spLocks/>
          </xdr:cNvSpPr>
        </xdr:nvSpPr>
        <xdr:spPr bwMode="auto">
          <a:xfrm>
            <a:off x="111" y="233146"/>
            <a:ext cx="31" cy="46"/>
          </a:xfrm>
          <a:custGeom>
            <a:avLst/>
            <a:gdLst>
              <a:gd name="T0" fmla="*/ 0 w 31"/>
              <a:gd name="T1" fmla="*/ 22 h 46"/>
              <a:gd name="T2" fmla="*/ 7 w 31"/>
              <a:gd name="T3" fmla="*/ 22 h 46"/>
              <a:gd name="T4" fmla="*/ 7 w 31"/>
              <a:gd name="T5" fmla="*/ 46 h 46"/>
              <a:gd name="T6" fmla="*/ 23 w 31"/>
              <a:gd name="T7" fmla="*/ 46 h 46"/>
              <a:gd name="T8" fmla="*/ 23 w 31"/>
              <a:gd name="T9" fmla="*/ 22 h 46"/>
              <a:gd name="T10" fmla="*/ 31 w 31"/>
              <a:gd name="T11" fmla="*/ 22 h 46"/>
              <a:gd name="T12" fmla="*/ 16 w 31"/>
              <a:gd name="T13" fmla="*/ 0 h 46"/>
              <a:gd name="T14" fmla="*/ 0 w 31"/>
              <a:gd name="T15" fmla="*/ 22 h 46"/>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1" h="46">
                <a:moveTo>
                  <a:pt x="0" y="22"/>
                </a:moveTo>
                <a:lnTo>
                  <a:pt x="7" y="22"/>
                </a:lnTo>
                <a:lnTo>
                  <a:pt x="7" y="46"/>
                </a:lnTo>
                <a:lnTo>
                  <a:pt x="23" y="46"/>
                </a:lnTo>
                <a:lnTo>
                  <a:pt x="23" y="22"/>
                </a:lnTo>
                <a:lnTo>
                  <a:pt x="31" y="22"/>
                </a:lnTo>
                <a:lnTo>
                  <a:pt x="16" y="0"/>
                </a:lnTo>
                <a:lnTo>
                  <a:pt x="0" y="22"/>
                </a:lnTo>
                <a:close/>
              </a:path>
            </a:pathLst>
          </a:cu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grpSp>
    <xdr:clientData/>
  </xdr:twoCellAnchor>
  <xdr:twoCellAnchor>
    <xdr:from>
      <xdr:col>1</xdr:col>
      <xdr:colOff>0</xdr:colOff>
      <xdr:row>1035</xdr:row>
      <xdr:rowOff>0</xdr:rowOff>
    </xdr:from>
    <xdr:to>
      <xdr:col>1</xdr:col>
      <xdr:colOff>365760</xdr:colOff>
      <xdr:row>1036</xdr:row>
      <xdr:rowOff>198783</xdr:rowOff>
    </xdr:to>
    <xdr:grpSp>
      <xdr:nvGrpSpPr>
        <xdr:cNvPr id="10245" name="Group 5">
          <a:extLst>
            <a:ext uri="{FF2B5EF4-FFF2-40B4-BE49-F238E27FC236}">
              <a16:creationId xmlns:a16="http://schemas.microsoft.com/office/drawing/2014/main" id="{95F5BFE8-D396-4BC0-F722-1885CA14242C}"/>
            </a:ext>
          </a:extLst>
        </xdr:cNvPr>
        <xdr:cNvGrpSpPr>
          <a:grpSpLocks/>
        </xdr:cNvGrpSpPr>
      </xdr:nvGrpSpPr>
      <xdr:grpSpPr bwMode="auto">
        <a:xfrm>
          <a:off x="826936" y="271576800"/>
          <a:ext cx="365760" cy="461176"/>
          <a:chOff x="104" y="235022"/>
          <a:chExt cx="46" cy="62"/>
        </a:xfrm>
      </xdr:grpSpPr>
      <xdr:pic>
        <xdr:nvPicPr>
          <xdr:cNvPr id="19" name="Image 18">
            <a:extLst>
              <a:ext uri="{FF2B5EF4-FFF2-40B4-BE49-F238E27FC236}">
                <a16:creationId xmlns:a16="http://schemas.microsoft.com/office/drawing/2014/main" id="{D91F6BC3-50C5-968F-BDCC-2AEC1D57D9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 y="235022"/>
            <a:ext cx="46" cy="6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287" name="Freeform 47">
            <a:hlinkClick xmlns:r="http://schemas.openxmlformats.org/officeDocument/2006/relationships" r:id="rId2"/>
            <a:extLst>
              <a:ext uri="{FF2B5EF4-FFF2-40B4-BE49-F238E27FC236}">
                <a16:creationId xmlns:a16="http://schemas.microsoft.com/office/drawing/2014/main" id="{8D079108-BB22-3DA4-7829-52B5B1177D19}"/>
              </a:ext>
            </a:extLst>
          </xdr:cNvPr>
          <xdr:cNvSpPr>
            <a:spLocks/>
          </xdr:cNvSpPr>
        </xdr:nvSpPr>
        <xdr:spPr bwMode="auto">
          <a:xfrm>
            <a:off x="111" y="235029"/>
            <a:ext cx="31" cy="46"/>
          </a:xfrm>
          <a:custGeom>
            <a:avLst/>
            <a:gdLst>
              <a:gd name="T0" fmla="*/ 0 w 31"/>
              <a:gd name="T1" fmla="*/ 22 h 46"/>
              <a:gd name="T2" fmla="*/ 7 w 31"/>
              <a:gd name="T3" fmla="*/ 22 h 46"/>
              <a:gd name="T4" fmla="*/ 7 w 31"/>
              <a:gd name="T5" fmla="*/ 46 h 46"/>
              <a:gd name="T6" fmla="*/ 23 w 31"/>
              <a:gd name="T7" fmla="*/ 46 h 46"/>
              <a:gd name="T8" fmla="*/ 23 w 31"/>
              <a:gd name="T9" fmla="*/ 22 h 46"/>
              <a:gd name="T10" fmla="*/ 31 w 31"/>
              <a:gd name="T11" fmla="*/ 22 h 46"/>
              <a:gd name="T12" fmla="*/ 16 w 31"/>
              <a:gd name="T13" fmla="*/ 0 h 46"/>
              <a:gd name="T14" fmla="*/ 0 w 31"/>
              <a:gd name="T15" fmla="*/ 22 h 46"/>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1" h="46">
                <a:moveTo>
                  <a:pt x="0" y="22"/>
                </a:moveTo>
                <a:lnTo>
                  <a:pt x="7" y="22"/>
                </a:lnTo>
                <a:lnTo>
                  <a:pt x="7" y="46"/>
                </a:lnTo>
                <a:lnTo>
                  <a:pt x="23" y="46"/>
                </a:lnTo>
                <a:lnTo>
                  <a:pt x="23" y="22"/>
                </a:lnTo>
                <a:lnTo>
                  <a:pt x="31" y="22"/>
                </a:lnTo>
                <a:lnTo>
                  <a:pt x="16" y="0"/>
                </a:lnTo>
                <a:lnTo>
                  <a:pt x="0" y="22"/>
                </a:lnTo>
                <a:close/>
              </a:path>
            </a:pathLst>
          </a:cu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grpSp>
    <xdr:clientData/>
  </xdr:twoCellAnchor>
  <xdr:twoCellAnchor>
    <xdr:from>
      <xdr:col>1</xdr:col>
      <xdr:colOff>0</xdr:colOff>
      <xdr:row>1122</xdr:row>
      <xdr:rowOff>0</xdr:rowOff>
    </xdr:from>
    <xdr:to>
      <xdr:col>1</xdr:col>
      <xdr:colOff>365760</xdr:colOff>
      <xdr:row>1124</xdr:row>
      <xdr:rowOff>7951</xdr:rowOff>
    </xdr:to>
    <xdr:grpSp>
      <xdr:nvGrpSpPr>
        <xdr:cNvPr id="10244" name="Group 4">
          <a:extLst>
            <a:ext uri="{FF2B5EF4-FFF2-40B4-BE49-F238E27FC236}">
              <a16:creationId xmlns:a16="http://schemas.microsoft.com/office/drawing/2014/main" id="{08ACA77D-A9F0-D580-0F5C-61121C5F9C3A}"/>
            </a:ext>
          </a:extLst>
        </xdr:cNvPr>
        <xdr:cNvGrpSpPr>
          <a:grpSpLocks/>
        </xdr:cNvGrpSpPr>
      </xdr:nvGrpSpPr>
      <xdr:grpSpPr bwMode="auto">
        <a:xfrm>
          <a:off x="826936" y="294404995"/>
          <a:ext cx="365760" cy="532737"/>
          <a:chOff x="104" y="256843"/>
          <a:chExt cx="46" cy="62"/>
        </a:xfrm>
      </xdr:grpSpPr>
      <xdr:pic>
        <xdr:nvPicPr>
          <xdr:cNvPr id="20" name="Image 19">
            <a:extLst>
              <a:ext uri="{FF2B5EF4-FFF2-40B4-BE49-F238E27FC236}">
                <a16:creationId xmlns:a16="http://schemas.microsoft.com/office/drawing/2014/main" id="{D45A501C-0C66-D0D4-1A52-D12EA9D38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 y="256843"/>
            <a:ext cx="46" cy="6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289" name="Freeform 49">
            <a:hlinkClick xmlns:r="http://schemas.openxmlformats.org/officeDocument/2006/relationships" r:id="rId2"/>
            <a:extLst>
              <a:ext uri="{FF2B5EF4-FFF2-40B4-BE49-F238E27FC236}">
                <a16:creationId xmlns:a16="http://schemas.microsoft.com/office/drawing/2014/main" id="{D3EACE3B-AB93-BEC4-D179-C2827938358C}"/>
              </a:ext>
            </a:extLst>
          </xdr:cNvPr>
          <xdr:cNvSpPr>
            <a:spLocks/>
          </xdr:cNvSpPr>
        </xdr:nvSpPr>
        <xdr:spPr bwMode="auto">
          <a:xfrm>
            <a:off x="111" y="256850"/>
            <a:ext cx="31" cy="46"/>
          </a:xfrm>
          <a:custGeom>
            <a:avLst/>
            <a:gdLst>
              <a:gd name="T0" fmla="*/ 0 w 31"/>
              <a:gd name="T1" fmla="*/ 22 h 46"/>
              <a:gd name="T2" fmla="*/ 7 w 31"/>
              <a:gd name="T3" fmla="*/ 22 h 46"/>
              <a:gd name="T4" fmla="*/ 7 w 31"/>
              <a:gd name="T5" fmla="*/ 46 h 46"/>
              <a:gd name="T6" fmla="*/ 23 w 31"/>
              <a:gd name="T7" fmla="*/ 46 h 46"/>
              <a:gd name="T8" fmla="*/ 23 w 31"/>
              <a:gd name="T9" fmla="*/ 22 h 46"/>
              <a:gd name="T10" fmla="*/ 31 w 31"/>
              <a:gd name="T11" fmla="*/ 22 h 46"/>
              <a:gd name="T12" fmla="*/ 16 w 31"/>
              <a:gd name="T13" fmla="*/ 0 h 46"/>
              <a:gd name="T14" fmla="*/ 0 w 31"/>
              <a:gd name="T15" fmla="*/ 22 h 46"/>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1" h="46">
                <a:moveTo>
                  <a:pt x="0" y="22"/>
                </a:moveTo>
                <a:lnTo>
                  <a:pt x="7" y="22"/>
                </a:lnTo>
                <a:lnTo>
                  <a:pt x="7" y="46"/>
                </a:lnTo>
                <a:lnTo>
                  <a:pt x="23" y="46"/>
                </a:lnTo>
                <a:lnTo>
                  <a:pt x="23" y="22"/>
                </a:lnTo>
                <a:lnTo>
                  <a:pt x="31" y="22"/>
                </a:lnTo>
                <a:lnTo>
                  <a:pt x="16" y="0"/>
                </a:lnTo>
                <a:lnTo>
                  <a:pt x="0" y="22"/>
                </a:lnTo>
                <a:close/>
              </a:path>
            </a:pathLst>
          </a:cu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grpSp>
    <xdr:clientData/>
  </xdr:twoCellAnchor>
  <xdr:twoCellAnchor editAs="oneCell">
    <xdr:from>
      <xdr:col>1</xdr:col>
      <xdr:colOff>0</xdr:colOff>
      <xdr:row>1221</xdr:row>
      <xdr:rowOff>0</xdr:rowOff>
    </xdr:from>
    <xdr:to>
      <xdr:col>1</xdr:col>
      <xdr:colOff>1733384</xdr:colOff>
      <xdr:row>1224</xdr:row>
      <xdr:rowOff>127221</xdr:rowOff>
    </xdr:to>
    <xdr:pic>
      <xdr:nvPicPr>
        <xdr:cNvPr id="21" name="Image 20">
          <a:extLst>
            <a:ext uri="{FF2B5EF4-FFF2-40B4-BE49-F238E27FC236}">
              <a16:creationId xmlns:a16="http://schemas.microsoft.com/office/drawing/2014/main" id="{F5775B6F-D850-D4DB-0BA3-8CEB086D989F}"/>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26936" y="2228663144"/>
          <a:ext cx="1733384"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1257</xdr:row>
      <xdr:rowOff>0</xdr:rowOff>
    </xdr:from>
    <xdr:to>
      <xdr:col>1</xdr:col>
      <xdr:colOff>365760</xdr:colOff>
      <xdr:row>1258</xdr:row>
      <xdr:rowOff>198783</xdr:rowOff>
    </xdr:to>
    <xdr:grpSp>
      <xdr:nvGrpSpPr>
        <xdr:cNvPr id="10243" name="Group 3">
          <a:extLst>
            <a:ext uri="{FF2B5EF4-FFF2-40B4-BE49-F238E27FC236}">
              <a16:creationId xmlns:a16="http://schemas.microsoft.com/office/drawing/2014/main" id="{BA8632EF-53DC-8CF3-3EF9-43417E010C56}"/>
            </a:ext>
          </a:extLst>
        </xdr:cNvPr>
        <xdr:cNvGrpSpPr>
          <a:grpSpLocks/>
        </xdr:cNvGrpSpPr>
      </xdr:nvGrpSpPr>
      <xdr:grpSpPr bwMode="auto">
        <a:xfrm>
          <a:off x="826936" y="329828056"/>
          <a:ext cx="365760" cy="461176"/>
          <a:chOff x="104" y="288233"/>
          <a:chExt cx="46" cy="62"/>
        </a:xfrm>
      </xdr:grpSpPr>
      <xdr:pic>
        <xdr:nvPicPr>
          <xdr:cNvPr id="22" name="Image 21">
            <a:extLst>
              <a:ext uri="{FF2B5EF4-FFF2-40B4-BE49-F238E27FC236}">
                <a16:creationId xmlns:a16="http://schemas.microsoft.com/office/drawing/2014/main" id="{7DE4B800-7C47-DB33-8B3C-62D8E112E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 y="288233"/>
            <a:ext cx="46" cy="6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292" name="Freeform 52">
            <a:hlinkClick xmlns:r="http://schemas.openxmlformats.org/officeDocument/2006/relationships" r:id="rId2"/>
            <a:extLst>
              <a:ext uri="{FF2B5EF4-FFF2-40B4-BE49-F238E27FC236}">
                <a16:creationId xmlns:a16="http://schemas.microsoft.com/office/drawing/2014/main" id="{927A739B-4D1C-9F2A-1EE0-553C97C46F8B}"/>
              </a:ext>
            </a:extLst>
          </xdr:cNvPr>
          <xdr:cNvSpPr>
            <a:spLocks/>
          </xdr:cNvSpPr>
        </xdr:nvSpPr>
        <xdr:spPr bwMode="auto">
          <a:xfrm>
            <a:off x="111" y="288240"/>
            <a:ext cx="31" cy="46"/>
          </a:xfrm>
          <a:custGeom>
            <a:avLst/>
            <a:gdLst>
              <a:gd name="T0" fmla="*/ 0 w 31"/>
              <a:gd name="T1" fmla="*/ 22 h 46"/>
              <a:gd name="T2" fmla="*/ 7 w 31"/>
              <a:gd name="T3" fmla="*/ 22 h 46"/>
              <a:gd name="T4" fmla="*/ 7 w 31"/>
              <a:gd name="T5" fmla="*/ 46 h 46"/>
              <a:gd name="T6" fmla="*/ 23 w 31"/>
              <a:gd name="T7" fmla="*/ 46 h 46"/>
              <a:gd name="T8" fmla="*/ 23 w 31"/>
              <a:gd name="T9" fmla="*/ 22 h 46"/>
              <a:gd name="T10" fmla="*/ 31 w 31"/>
              <a:gd name="T11" fmla="*/ 22 h 46"/>
              <a:gd name="T12" fmla="*/ 16 w 31"/>
              <a:gd name="T13" fmla="*/ 0 h 46"/>
              <a:gd name="T14" fmla="*/ 0 w 31"/>
              <a:gd name="T15" fmla="*/ 22 h 46"/>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1" h="46">
                <a:moveTo>
                  <a:pt x="0" y="22"/>
                </a:moveTo>
                <a:lnTo>
                  <a:pt x="7" y="22"/>
                </a:lnTo>
                <a:lnTo>
                  <a:pt x="7" y="46"/>
                </a:lnTo>
                <a:lnTo>
                  <a:pt x="23" y="46"/>
                </a:lnTo>
                <a:lnTo>
                  <a:pt x="23" y="22"/>
                </a:lnTo>
                <a:lnTo>
                  <a:pt x="31" y="22"/>
                </a:lnTo>
                <a:lnTo>
                  <a:pt x="16" y="0"/>
                </a:lnTo>
                <a:lnTo>
                  <a:pt x="0" y="22"/>
                </a:lnTo>
                <a:close/>
              </a:path>
            </a:pathLst>
          </a:cu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grpSp>
    <xdr:clientData/>
  </xdr:twoCellAnchor>
  <xdr:twoCellAnchor>
    <xdr:from>
      <xdr:col>1</xdr:col>
      <xdr:colOff>0</xdr:colOff>
      <xdr:row>1332</xdr:row>
      <xdr:rowOff>0</xdr:rowOff>
    </xdr:from>
    <xdr:to>
      <xdr:col>1</xdr:col>
      <xdr:colOff>365760</xdr:colOff>
      <xdr:row>1333</xdr:row>
      <xdr:rowOff>198783</xdr:rowOff>
    </xdr:to>
    <xdr:grpSp>
      <xdr:nvGrpSpPr>
        <xdr:cNvPr id="10242" name="Group 2">
          <a:extLst>
            <a:ext uri="{FF2B5EF4-FFF2-40B4-BE49-F238E27FC236}">
              <a16:creationId xmlns:a16="http://schemas.microsoft.com/office/drawing/2014/main" id="{7235B1D2-6F05-912E-638E-22FE8B18B11B}"/>
            </a:ext>
          </a:extLst>
        </xdr:cNvPr>
        <xdr:cNvGrpSpPr>
          <a:grpSpLocks/>
        </xdr:cNvGrpSpPr>
      </xdr:nvGrpSpPr>
      <xdr:grpSpPr bwMode="auto">
        <a:xfrm>
          <a:off x="826936" y="349507534"/>
          <a:ext cx="365760" cy="461176"/>
          <a:chOff x="104" y="306865"/>
          <a:chExt cx="46" cy="62"/>
        </a:xfrm>
      </xdr:grpSpPr>
      <xdr:pic>
        <xdr:nvPicPr>
          <xdr:cNvPr id="23" name="Image 22">
            <a:extLst>
              <a:ext uri="{FF2B5EF4-FFF2-40B4-BE49-F238E27FC236}">
                <a16:creationId xmlns:a16="http://schemas.microsoft.com/office/drawing/2014/main" id="{E2B64FD9-CA0D-AD8F-B892-1202F983A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 y="306865"/>
            <a:ext cx="46" cy="6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294" name="Freeform 54">
            <a:hlinkClick xmlns:r="http://schemas.openxmlformats.org/officeDocument/2006/relationships" r:id="rId2"/>
            <a:extLst>
              <a:ext uri="{FF2B5EF4-FFF2-40B4-BE49-F238E27FC236}">
                <a16:creationId xmlns:a16="http://schemas.microsoft.com/office/drawing/2014/main" id="{CFF70383-B93F-0F25-B9C4-AB7487FE293C}"/>
              </a:ext>
            </a:extLst>
          </xdr:cNvPr>
          <xdr:cNvSpPr>
            <a:spLocks/>
          </xdr:cNvSpPr>
        </xdr:nvSpPr>
        <xdr:spPr bwMode="auto">
          <a:xfrm>
            <a:off x="111" y="306872"/>
            <a:ext cx="31" cy="46"/>
          </a:xfrm>
          <a:custGeom>
            <a:avLst/>
            <a:gdLst>
              <a:gd name="T0" fmla="*/ 0 w 31"/>
              <a:gd name="T1" fmla="*/ 22 h 46"/>
              <a:gd name="T2" fmla="*/ 7 w 31"/>
              <a:gd name="T3" fmla="*/ 22 h 46"/>
              <a:gd name="T4" fmla="*/ 7 w 31"/>
              <a:gd name="T5" fmla="*/ 46 h 46"/>
              <a:gd name="T6" fmla="*/ 23 w 31"/>
              <a:gd name="T7" fmla="*/ 46 h 46"/>
              <a:gd name="T8" fmla="*/ 23 w 31"/>
              <a:gd name="T9" fmla="*/ 22 h 46"/>
              <a:gd name="T10" fmla="*/ 31 w 31"/>
              <a:gd name="T11" fmla="*/ 22 h 46"/>
              <a:gd name="T12" fmla="*/ 16 w 31"/>
              <a:gd name="T13" fmla="*/ 0 h 46"/>
              <a:gd name="T14" fmla="*/ 0 w 31"/>
              <a:gd name="T15" fmla="*/ 22 h 46"/>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1" h="46">
                <a:moveTo>
                  <a:pt x="0" y="22"/>
                </a:moveTo>
                <a:lnTo>
                  <a:pt x="7" y="22"/>
                </a:lnTo>
                <a:lnTo>
                  <a:pt x="7" y="46"/>
                </a:lnTo>
                <a:lnTo>
                  <a:pt x="23" y="46"/>
                </a:lnTo>
                <a:lnTo>
                  <a:pt x="23" y="22"/>
                </a:lnTo>
                <a:lnTo>
                  <a:pt x="31" y="22"/>
                </a:lnTo>
                <a:lnTo>
                  <a:pt x="16" y="0"/>
                </a:lnTo>
                <a:lnTo>
                  <a:pt x="0" y="22"/>
                </a:lnTo>
                <a:close/>
              </a:path>
            </a:pathLst>
          </a:cu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grpSp>
    <xdr:clientData/>
  </xdr:twoCellAnchor>
  <xdr:twoCellAnchor>
    <xdr:from>
      <xdr:col>1</xdr:col>
      <xdr:colOff>0</xdr:colOff>
      <xdr:row>1339</xdr:row>
      <xdr:rowOff>0</xdr:rowOff>
    </xdr:from>
    <xdr:to>
      <xdr:col>1</xdr:col>
      <xdr:colOff>365760</xdr:colOff>
      <xdr:row>1340</xdr:row>
      <xdr:rowOff>198783</xdr:rowOff>
    </xdr:to>
    <xdr:grpSp>
      <xdr:nvGrpSpPr>
        <xdr:cNvPr id="10241" name="Group 1">
          <a:extLst>
            <a:ext uri="{FF2B5EF4-FFF2-40B4-BE49-F238E27FC236}">
              <a16:creationId xmlns:a16="http://schemas.microsoft.com/office/drawing/2014/main" id="{9A97FBD7-70C9-33E8-F882-B154DAD0AA18}"/>
            </a:ext>
          </a:extLst>
        </xdr:cNvPr>
        <xdr:cNvGrpSpPr>
          <a:grpSpLocks/>
        </xdr:cNvGrpSpPr>
      </xdr:nvGrpSpPr>
      <xdr:grpSpPr bwMode="auto">
        <a:xfrm>
          <a:off x="826936" y="351344285"/>
          <a:ext cx="365760" cy="461176"/>
          <a:chOff x="104" y="308189"/>
          <a:chExt cx="46" cy="62"/>
        </a:xfrm>
      </xdr:grpSpPr>
      <xdr:pic>
        <xdr:nvPicPr>
          <xdr:cNvPr id="24" name="Image 23">
            <a:extLst>
              <a:ext uri="{FF2B5EF4-FFF2-40B4-BE49-F238E27FC236}">
                <a16:creationId xmlns:a16="http://schemas.microsoft.com/office/drawing/2014/main" id="{8CDD7C48-5ACF-0149-016D-36C06515C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 y="308189"/>
            <a:ext cx="46" cy="6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296" name="Freeform 56">
            <a:hlinkClick xmlns:r="http://schemas.openxmlformats.org/officeDocument/2006/relationships" r:id="rId2"/>
            <a:extLst>
              <a:ext uri="{FF2B5EF4-FFF2-40B4-BE49-F238E27FC236}">
                <a16:creationId xmlns:a16="http://schemas.microsoft.com/office/drawing/2014/main" id="{EA9B207A-BD80-E953-ECA5-96907798070C}"/>
              </a:ext>
            </a:extLst>
          </xdr:cNvPr>
          <xdr:cNvSpPr>
            <a:spLocks/>
          </xdr:cNvSpPr>
        </xdr:nvSpPr>
        <xdr:spPr bwMode="auto">
          <a:xfrm>
            <a:off x="111" y="308196"/>
            <a:ext cx="31" cy="46"/>
          </a:xfrm>
          <a:custGeom>
            <a:avLst/>
            <a:gdLst>
              <a:gd name="T0" fmla="*/ 0 w 31"/>
              <a:gd name="T1" fmla="*/ 22 h 46"/>
              <a:gd name="T2" fmla="*/ 7 w 31"/>
              <a:gd name="T3" fmla="*/ 22 h 46"/>
              <a:gd name="T4" fmla="*/ 7 w 31"/>
              <a:gd name="T5" fmla="*/ 46 h 46"/>
              <a:gd name="T6" fmla="*/ 23 w 31"/>
              <a:gd name="T7" fmla="*/ 46 h 46"/>
              <a:gd name="T8" fmla="*/ 23 w 31"/>
              <a:gd name="T9" fmla="*/ 22 h 46"/>
              <a:gd name="T10" fmla="*/ 31 w 31"/>
              <a:gd name="T11" fmla="*/ 22 h 46"/>
              <a:gd name="T12" fmla="*/ 16 w 31"/>
              <a:gd name="T13" fmla="*/ 0 h 46"/>
              <a:gd name="T14" fmla="*/ 0 w 31"/>
              <a:gd name="T15" fmla="*/ 22 h 46"/>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1" h="46">
                <a:moveTo>
                  <a:pt x="0" y="22"/>
                </a:moveTo>
                <a:lnTo>
                  <a:pt x="7" y="22"/>
                </a:lnTo>
                <a:lnTo>
                  <a:pt x="7" y="46"/>
                </a:lnTo>
                <a:lnTo>
                  <a:pt x="23" y="46"/>
                </a:lnTo>
                <a:lnTo>
                  <a:pt x="23" y="22"/>
                </a:lnTo>
                <a:lnTo>
                  <a:pt x="31" y="22"/>
                </a:lnTo>
                <a:lnTo>
                  <a:pt x="16" y="0"/>
                </a:lnTo>
                <a:lnTo>
                  <a:pt x="0" y="22"/>
                </a:lnTo>
                <a:close/>
              </a:path>
            </a:pathLst>
          </a:cu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grp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6" Type="http://schemas.openxmlformats.org/officeDocument/2006/relationships/hyperlink" Target="http://villemin.gerard.free.fr/Langue/ContrePe.htm" TargetMode="External"/><Relationship Id="rId21" Type="http://schemas.openxmlformats.org/officeDocument/2006/relationships/hyperlink" Target="http://villemin.gerard.free.fr/Wwwgvmm/Analyse/Logarith.htm" TargetMode="External"/><Relationship Id="rId42" Type="http://schemas.openxmlformats.org/officeDocument/2006/relationships/hyperlink" Target="http://villemin.gerard.free.fr/aCulture/Culture/Huit.htm" TargetMode="External"/><Relationship Id="rId47" Type="http://schemas.openxmlformats.org/officeDocument/2006/relationships/hyperlink" Target="http://villemin.gerard.free.fr/aMaths/Outils/Matrice/Intro.htm" TargetMode="External"/><Relationship Id="rId63" Type="http://schemas.openxmlformats.org/officeDocument/2006/relationships/hyperlink" Target="http://villemin.gerard.free.fr/Biologie/Squelett.htm" TargetMode="External"/><Relationship Id="rId68" Type="http://schemas.openxmlformats.org/officeDocument/2006/relationships/hyperlink" Target="http://villemin.gerard.free.fr/Langue/ContrePe.htm" TargetMode="External"/><Relationship Id="rId16" Type="http://schemas.openxmlformats.org/officeDocument/2006/relationships/hyperlink" Target="http://villemin.gerard.free.fr/Langue/ContrePe.htm" TargetMode="External"/><Relationship Id="rId11" Type="http://schemas.openxmlformats.org/officeDocument/2006/relationships/hyperlink" Target="http://villemin.gerard.free.fr/Humour/aaaCalem/CalemGeo.htm" TargetMode="External"/><Relationship Id="rId24" Type="http://schemas.openxmlformats.org/officeDocument/2006/relationships/hyperlink" Target="http://villemin.gerard.free.fr/Langue/Palindro.htm" TargetMode="External"/><Relationship Id="rId32" Type="http://schemas.openxmlformats.org/officeDocument/2006/relationships/hyperlink" Target="http://villemin.gerard.free.fr/Langue/ContrePe.htm" TargetMode="External"/><Relationship Id="rId37" Type="http://schemas.openxmlformats.org/officeDocument/2006/relationships/hyperlink" Target="http://villemin.gerard.free.fr/aMaths/ARITALGE/Inequat.htm" TargetMode="External"/><Relationship Id="rId40" Type="http://schemas.openxmlformats.org/officeDocument/2006/relationships/hyperlink" Target="http://villemin.gerard.free.fr/Humour/aaaCalem/CalemGeo.htm" TargetMode="External"/><Relationship Id="rId45" Type="http://schemas.openxmlformats.org/officeDocument/2006/relationships/hyperlink" Target="http://villemin.gerard.free.fr/aGeneral/Maritime/Maritime.htm" TargetMode="External"/><Relationship Id="rId53" Type="http://schemas.openxmlformats.org/officeDocument/2006/relationships/hyperlink" Target="http://villemin.gerard.free.fr/Wwwgvmm/MnemoTe/Phrase.htm" TargetMode="External"/><Relationship Id="rId58" Type="http://schemas.openxmlformats.org/officeDocument/2006/relationships/hyperlink" Target="http://villemin.gerard.free.fr/Biologie/Penis.htm" TargetMode="External"/><Relationship Id="rId66" Type="http://schemas.openxmlformats.org/officeDocument/2006/relationships/hyperlink" Target="http://villemin.gerard.free.fr/Wwwgvmm/Geometri/PiIntro.htm" TargetMode="External"/><Relationship Id="rId74" Type="http://schemas.openxmlformats.org/officeDocument/2006/relationships/hyperlink" Target="http://villemin.gerard.free.fr/aNombre/Nb1000/N2000dat.htm" TargetMode="External"/><Relationship Id="rId79" Type="http://schemas.openxmlformats.org/officeDocument/2006/relationships/drawing" Target="../drawings/drawing1.xml"/><Relationship Id="rId5" Type="http://schemas.openxmlformats.org/officeDocument/2006/relationships/hyperlink" Target="http://villemin.gerard.free.fr/Humour/aaaCalem/CalemGeo.htm" TargetMode="External"/><Relationship Id="rId61" Type="http://schemas.openxmlformats.org/officeDocument/2006/relationships/hyperlink" Target="http://villemin.gerard.free.fr/Langue/AnglGene.htm" TargetMode="External"/><Relationship Id="rId19" Type="http://schemas.openxmlformats.org/officeDocument/2006/relationships/hyperlink" Target="http://villemin.gerard.free.fr/Humour/aaaCalem/CalemGeo.htm" TargetMode="External"/><Relationship Id="rId14" Type="http://schemas.openxmlformats.org/officeDocument/2006/relationships/hyperlink" Target="http://villemin.gerard.free.fr/Humour/aaaCalem/CalemGeo.htm" TargetMode="External"/><Relationship Id="rId22" Type="http://schemas.openxmlformats.org/officeDocument/2006/relationships/hyperlink" Target="http://www.monsieur-et-madame.fr/prenoms-lettre-h-debut-60.html" TargetMode="External"/><Relationship Id="rId27" Type="http://schemas.openxmlformats.org/officeDocument/2006/relationships/hyperlink" Target="http://villemin.gerard.free.fr/Langue/AlphaPaM.htm" TargetMode="External"/><Relationship Id="rId30" Type="http://schemas.openxmlformats.org/officeDocument/2006/relationships/hyperlink" Target="http://perso.eleves.ens-rennes.fr/~tpier758/docs/blagues.pdf" TargetMode="External"/><Relationship Id="rId35" Type="http://schemas.openxmlformats.org/officeDocument/2006/relationships/hyperlink" Target="http://villemin.gerard.free.fr/Langue/Palindro.htm" TargetMode="External"/><Relationship Id="rId43" Type="http://schemas.openxmlformats.org/officeDocument/2006/relationships/hyperlink" Target="http://villemin.gerard.free.fr/Langue/Prenom1.htm" TargetMode="External"/><Relationship Id="rId48" Type="http://schemas.openxmlformats.org/officeDocument/2006/relationships/hyperlink" Target="http://villemin.gerard.free.fr/Humour/aaaCalem/CalemAut.htm" TargetMode="External"/><Relationship Id="rId56" Type="http://schemas.openxmlformats.org/officeDocument/2006/relationships/hyperlink" Target="http://villemin.gerard.free.fr/Humour/aaaCalem/CalemGeo.htm" TargetMode="External"/><Relationship Id="rId64" Type="http://schemas.openxmlformats.org/officeDocument/2006/relationships/hyperlink" Target="http://villemin.gerard.free.fr/Wwwgvmm/Geometri/Polygone.htm" TargetMode="External"/><Relationship Id="rId69" Type="http://schemas.openxmlformats.org/officeDocument/2006/relationships/hyperlink" Target="http://diconombre.pagesperso-orange.fr/N100a500/Nb101120.htm" TargetMode="External"/><Relationship Id="rId77" Type="http://schemas.openxmlformats.org/officeDocument/2006/relationships/hyperlink" Target="http://villemin.gerard.free.fr/Langue/AlphaPaM.htm" TargetMode="External"/><Relationship Id="rId8" Type="http://schemas.openxmlformats.org/officeDocument/2006/relationships/hyperlink" Target="http://villemin.gerard.free.fr/Langue/Prenom1.htm" TargetMode="External"/><Relationship Id="rId51" Type="http://schemas.openxmlformats.org/officeDocument/2006/relationships/hyperlink" Target="http://villemin.gerard.free.fr/Langue/ContrePe.htm" TargetMode="External"/><Relationship Id="rId72" Type="http://schemas.openxmlformats.org/officeDocument/2006/relationships/hyperlink" Target="http://villemin.gerard.free.fr/Langue/Rebus.htm" TargetMode="External"/><Relationship Id="rId3" Type="http://schemas.openxmlformats.org/officeDocument/2006/relationships/hyperlink" Target="http://diconombre.pagesperso-orange.fr/N1000/N300000.htm" TargetMode="External"/><Relationship Id="rId12" Type="http://schemas.openxmlformats.org/officeDocument/2006/relationships/hyperlink" Target="http://villemin.gerard.free.fr/Langue/ContrePe.htm" TargetMode="External"/><Relationship Id="rId17" Type="http://schemas.openxmlformats.org/officeDocument/2006/relationships/hyperlink" Target="http://villemin.gerard.free.fr/Humour/aaaCalem/CalemGeo.htm" TargetMode="External"/><Relationship Id="rId25" Type="http://schemas.openxmlformats.org/officeDocument/2006/relationships/hyperlink" Target="http://villemin.gerard.free.fr/aScience/Unites/Temps/Mois.htm" TargetMode="External"/><Relationship Id="rId33" Type="http://schemas.openxmlformats.org/officeDocument/2006/relationships/hyperlink" Target="http://villemin.gerard.free.fr/Langue/anagram.htm" TargetMode="External"/><Relationship Id="rId38" Type="http://schemas.openxmlformats.org/officeDocument/2006/relationships/hyperlink" Target="http://villemin.gerard.free.fr/Langue/ContrePe.htm" TargetMode="External"/><Relationship Id="rId46" Type="http://schemas.openxmlformats.org/officeDocument/2006/relationships/hyperlink" Target="http://villemin.gerard.free.fr/Referenc/Outils/AOUTILS/Definiti.htm" TargetMode="External"/><Relationship Id="rId59" Type="http://schemas.openxmlformats.org/officeDocument/2006/relationships/hyperlink" Target="http://villemin.gerard.free.fr/CultureG/MusNote.htm" TargetMode="External"/><Relationship Id="rId67" Type="http://schemas.openxmlformats.org/officeDocument/2006/relationships/hyperlink" Target="http://villemin.gerard.free.fr/Wwwgvmm/Geometri/TroiCerc.htm" TargetMode="External"/><Relationship Id="rId20" Type="http://schemas.openxmlformats.org/officeDocument/2006/relationships/hyperlink" Target="http://villemin.gerard.free.fr/Wwwgvmm/Numerati/Langue.htm" TargetMode="External"/><Relationship Id="rId41" Type="http://schemas.openxmlformats.org/officeDocument/2006/relationships/hyperlink" Target="http://villemin.gerard.free.fr/Wwwgvmm/Geometri/Droite.htm" TargetMode="External"/><Relationship Id="rId54" Type="http://schemas.openxmlformats.org/officeDocument/2006/relationships/hyperlink" Target="http://villemin.gerard.free.fr/Biologie/Sang.htm" TargetMode="External"/><Relationship Id="rId62" Type="http://schemas.openxmlformats.org/officeDocument/2006/relationships/hyperlink" Target="http://villemin.gerard.free.fr/Referenc/Vocabula/GlosR/ReligAbr.htm" TargetMode="External"/><Relationship Id="rId70" Type="http://schemas.openxmlformats.org/officeDocument/2006/relationships/hyperlink" Target="http://villemin.gerard.free.fr/Multimed/Urgence.htm" TargetMode="External"/><Relationship Id="rId75" Type="http://schemas.openxmlformats.org/officeDocument/2006/relationships/hyperlink" Target="http://villemin.gerard.free.fr/Humour/aaaCalem/CalemGeo.htm" TargetMode="External"/><Relationship Id="rId1" Type="http://schemas.openxmlformats.org/officeDocument/2006/relationships/hyperlink" Target="http://villemin.gerard.free.fr/GeomLAV/Cercle/Helice.htm" TargetMode="External"/><Relationship Id="rId6" Type="http://schemas.openxmlformats.org/officeDocument/2006/relationships/hyperlink" Target="http://villemin.gerard.free.fr/Langue/LettAlpha.htm" TargetMode="External"/><Relationship Id="rId15" Type="http://schemas.openxmlformats.org/officeDocument/2006/relationships/hyperlink" Target="http://villemin.gerard.free.fr/ThNbDemo/AlgParen.htm" TargetMode="External"/><Relationship Id="rId23" Type="http://schemas.openxmlformats.org/officeDocument/2006/relationships/hyperlink" Target="http://villemin.gerard.free.fr/Langue/ContrePe.htm" TargetMode="External"/><Relationship Id="rId28" Type="http://schemas.openxmlformats.org/officeDocument/2006/relationships/hyperlink" Target="http://villemin.gerard.free.fr/Referenc/Outils/AOUTILS/Definiti.htm" TargetMode="External"/><Relationship Id="rId36" Type="http://schemas.openxmlformats.org/officeDocument/2006/relationships/hyperlink" Target="http://villemin.gerard.free.fr/Puzzle/LewisCar.htm" TargetMode="External"/><Relationship Id="rId49" Type="http://schemas.openxmlformats.org/officeDocument/2006/relationships/hyperlink" Target="http://villemin.gerard.free.fr/Wwwgvmm/Numerati/Romain.htm" TargetMode="External"/><Relationship Id="rId57" Type="http://schemas.openxmlformats.org/officeDocument/2006/relationships/hyperlink" Target="http://villemin.gerard.free.fr/Esprit/Presiden.htm" TargetMode="External"/><Relationship Id="rId10" Type="http://schemas.openxmlformats.org/officeDocument/2006/relationships/hyperlink" Target="http://villemin.gerard.free.fr/Wwwgvmm/MnemoTe/USAWest.htm" TargetMode="External"/><Relationship Id="rId31" Type="http://schemas.openxmlformats.org/officeDocument/2006/relationships/hyperlink" Target="http://villemin.gerard.free.fr/Wwwgvmm/Nombre/ZerPhysq.htm" TargetMode="External"/><Relationship Id="rId44" Type="http://schemas.openxmlformats.org/officeDocument/2006/relationships/hyperlink" Target="http://villemin.gerard.free.fr/CultureG/MusNote.htm" TargetMode="External"/><Relationship Id="rId52" Type="http://schemas.openxmlformats.org/officeDocument/2006/relationships/hyperlink" Target="http://villemin.gerard.free.fr/Wwwgvmm/Suite/SuitHarm.htm" TargetMode="External"/><Relationship Id="rId60" Type="http://schemas.openxmlformats.org/officeDocument/2006/relationships/hyperlink" Target="http://villemin.gerard.free.fr/Humour/aaaCalem/CalembO.htm" TargetMode="External"/><Relationship Id="rId65" Type="http://schemas.openxmlformats.org/officeDocument/2006/relationships/hyperlink" Target="http://villemin.gerard.free.fr/Wwwgvmm/Geometri/Polygone.htm" TargetMode="External"/><Relationship Id="rId73" Type="http://schemas.openxmlformats.org/officeDocument/2006/relationships/hyperlink" Target="http://villemin.gerard.free.fr/Langue/Palindro.htm" TargetMode="External"/><Relationship Id="rId78" Type="http://schemas.openxmlformats.org/officeDocument/2006/relationships/hyperlink" Target="http://villemin.gerard.free.fr/Humour/aaaCalem/CalemGeo.htm" TargetMode="External"/><Relationship Id="rId4" Type="http://schemas.openxmlformats.org/officeDocument/2006/relationships/hyperlink" Target="http://diconombre.pagesperso-orange.fr/N1000/N300000.htm" TargetMode="External"/><Relationship Id="rId9" Type="http://schemas.openxmlformats.org/officeDocument/2006/relationships/hyperlink" Target="http://villemin.gerard.free.fr/Langue/Prenom.htm" TargetMode="External"/><Relationship Id="rId13" Type="http://schemas.openxmlformats.org/officeDocument/2006/relationships/hyperlink" Target="http://villemin.gerard.free.fr/Langue/Rebus.htm" TargetMode="External"/><Relationship Id="rId18" Type="http://schemas.openxmlformats.org/officeDocument/2006/relationships/hyperlink" Target="http://villemin.gerard.free.fr/Humour/aaaCalem/CalemGeo.htm" TargetMode="External"/><Relationship Id="rId39" Type="http://schemas.openxmlformats.org/officeDocument/2006/relationships/hyperlink" Target="http://villemin.gerard.free.fr/Humour/aaaCalem/CalemGeo.htm" TargetMode="External"/><Relationship Id="rId34" Type="http://schemas.openxmlformats.org/officeDocument/2006/relationships/hyperlink" Target="http://villemin.gerard.free.fr/Langue/ContrePe.htm" TargetMode="External"/><Relationship Id="rId50" Type="http://schemas.openxmlformats.org/officeDocument/2006/relationships/hyperlink" Target="http://villemin.gerard.free.fr/aHistoire/GdeRelig.htm" TargetMode="External"/><Relationship Id="rId55" Type="http://schemas.openxmlformats.org/officeDocument/2006/relationships/hyperlink" Target="http://villemin.gerard.free.fr/Wwwgvmm/MnemoTe/USAVille.htm" TargetMode="External"/><Relationship Id="rId76" Type="http://schemas.openxmlformats.org/officeDocument/2006/relationships/hyperlink" Target="http://villemin.gerard.free.fr/Langue/ContrePe.htm" TargetMode="External"/><Relationship Id="rId7" Type="http://schemas.openxmlformats.org/officeDocument/2006/relationships/hyperlink" Target="http://villemin.gerard.free.fr/aSocial/Alcool.htm" TargetMode="External"/><Relationship Id="rId71" Type="http://schemas.openxmlformats.org/officeDocument/2006/relationships/hyperlink" Target="http://villemin.gerard.free.fr/Langue/ContrePe.htm" TargetMode="External"/><Relationship Id="rId2" Type="http://schemas.openxmlformats.org/officeDocument/2006/relationships/hyperlink" Target="http://villemin.gerard.free.fr/Langue/AlphaPaP.htm" TargetMode="External"/><Relationship Id="rId29" Type="http://schemas.openxmlformats.org/officeDocument/2006/relationships/hyperlink" Target="http://villemin.gerard.free.fr/CultureG/Etatsuni.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5F224-D73D-415A-A87E-3DCEA6448D3B}">
  <sheetPr>
    <pageSetUpPr fitToPage="1"/>
  </sheetPr>
  <dimension ref="A2:L146"/>
  <sheetViews>
    <sheetView zoomScaleNormal="100" workbookViewId="0">
      <selection activeCell="D25" sqref="D25"/>
    </sheetView>
  </sheetViews>
  <sheetFormatPr baseColWidth="10" defaultColWidth="11.44140625" defaultRowHeight="15.05" outlineLevelCol="2" x14ac:dyDescent="0.3"/>
  <cols>
    <col min="1" max="1" width="11.44140625" style="1"/>
    <col min="2" max="2" width="16.88671875" style="1" hidden="1" customWidth="1" outlineLevel="2"/>
    <col min="3" max="3" width="11.44140625" style="1" hidden="1" customWidth="1" outlineLevel="2"/>
    <col min="4" max="4" width="18.5546875" style="1" customWidth="1" outlineLevel="1" collapsed="1"/>
    <col min="5" max="5" width="24.109375" style="1" customWidth="1"/>
    <col min="6" max="6" width="73.21875" style="1" customWidth="1"/>
    <col min="7" max="7" width="16.6640625" style="2" customWidth="1"/>
    <col min="8" max="8" width="6.109375" style="2" customWidth="1"/>
    <col min="9" max="9" width="24.5546875" style="2" customWidth="1"/>
    <col min="10" max="10" width="14.44140625" style="1" customWidth="1"/>
    <col min="11" max="11" width="48.6640625" style="1" customWidth="1" outlineLevel="1"/>
    <col min="12" max="12" width="11.44140625" style="1" customWidth="1" outlineLevel="1"/>
    <col min="13" max="16384" width="11.44140625" style="1"/>
  </cols>
  <sheetData>
    <row r="2" spans="2:11" ht="21.3" x14ac:dyDescent="0.3">
      <c r="B2" s="378" t="s">
        <v>238</v>
      </c>
      <c r="C2" s="378"/>
      <c r="D2" s="378"/>
      <c r="E2" s="378"/>
      <c r="F2" s="378"/>
      <c r="G2" s="378"/>
      <c r="H2" s="378"/>
      <c r="I2" s="378"/>
      <c r="J2" s="378"/>
      <c r="K2" s="378"/>
    </row>
    <row r="3" spans="2:11" ht="15.65" thickBot="1" x14ac:dyDescent="0.35"/>
    <row r="4" spans="2:11" ht="29.3" customHeight="1" thickBot="1" x14ac:dyDescent="0.35">
      <c r="B4" s="18" t="s">
        <v>10</v>
      </c>
      <c r="C4" s="19" t="s">
        <v>9</v>
      </c>
      <c r="D4" s="18" t="s">
        <v>194</v>
      </c>
      <c r="E4" s="20" t="s">
        <v>1</v>
      </c>
      <c r="F4" s="20" t="s">
        <v>0</v>
      </c>
      <c r="G4" s="20" t="s">
        <v>2</v>
      </c>
      <c r="H4" s="20" t="s">
        <v>58</v>
      </c>
      <c r="I4" s="20" t="s">
        <v>3</v>
      </c>
      <c r="J4" s="20" t="s">
        <v>4</v>
      </c>
      <c r="K4" s="21" t="s">
        <v>5</v>
      </c>
    </row>
    <row r="5" spans="2:11" ht="15.85" hidden="1" customHeight="1" thickBot="1" x14ac:dyDescent="0.35">
      <c r="B5" s="26"/>
      <c r="C5" s="27"/>
      <c r="D5" s="28"/>
      <c r="E5" s="28"/>
      <c r="F5" s="28"/>
      <c r="G5" s="28"/>
      <c r="H5" s="28"/>
      <c r="I5" s="28"/>
      <c r="J5" s="28"/>
      <c r="K5" s="29"/>
    </row>
    <row r="6" spans="2:11" ht="15.85" customHeight="1" x14ac:dyDescent="0.3">
      <c r="B6" s="30"/>
      <c r="C6" s="31"/>
      <c r="D6" s="32" t="s">
        <v>195</v>
      </c>
      <c r="E6" s="32" t="s">
        <v>196</v>
      </c>
      <c r="F6" s="32" t="s">
        <v>197</v>
      </c>
      <c r="G6" s="32" t="s">
        <v>33</v>
      </c>
      <c r="H6" s="32"/>
      <c r="I6" s="32" t="s">
        <v>6</v>
      </c>
      <c r="J6" s="32"/>
      <c r="K6" s="33"/>
    </row>
    <row r="7" spans="2:11" ht="15.85" customHeight="1" x14ac:dyDescent="0.3">
      <c r="B7" s="22"/>
      <c r="C7" s="15"/>
      <c r="D7" s="14"/>
      <c r="E7" s="14" t="s">
        <v>79</v>
      </c>
      <c r="F7" s="14" t="s">
        <v>198</v>
      </c>
      <c r="G7" s="14" t="s">
        <v>42</v>
      </c>
      <c r="H7" s="14">
        <v>50</v>
      </c>
      <c r="I7" s="14"/>
      <c r="J7" s="14"/>
      <c r="K7" s="23"/>
    </row>
    <row r="8" spans="2:11" ht="15.85" customHeight="1" thickBot="1" x14ac:dyDescent="0.35">
      <c r="B8" s="34"/>
      <c r="C8" s="35"/>
      <c r="D8" s="36"/>
      <c r="E8" s="36" t="s">
        <v>80</v>
      </c>
      <c r="F8" s="36" t="s">
        <v>199</v>
      </c>
      <c r="G8" s="36" t="s">
        <v>42</v>
      </c>
      <c r="H8" s="36" t="s">
        <v>60</v>
      </c>
      <c r="I8" s="36" t="s">
        <v>59</v>
      </c>
      <c r="J8" s="36"/>
      <c r="K8" s="37"/>
    </row>
    <row r="9" spans="2:11" ht="15.85" customHeight="1" x14ac:dyDescent="0.3">
      <c r="B9" s="38"/>
      <c r="C9" s="39"/>
      <c r="D9" s="40" t="s">
        <v>200</v>
      </c>
      <c r="E9" s="40" t="s">
        <v>201</v>
      </c>
      <c r="F9" s="40" t="s">
        <v>61</v>
      </c>
      <c r="G9" s="40" t="s">
        <v>33</v>
      </c>
      <c r="H9" s="40"/>
      <c r="I9" s="40" t="s">
        <v>6</v>
      </c>
      <c r="J9" s="40"/>
      <c r="K9" s="41"/>
    </row>
    <row r="10" spans="2:11" ht="15.85" customHeight="1" x14ac:dyDescent="0.3">
      <c r="B10" s="24"/>
      <c r="C10" s="17"/>
      <c r="D10" s="16"/>
      <c r="E10" s="16" t="s">
        <v>81</v>
      </c>
      <c r="F10" s="16" t="s">
        <v>70</v>
      </c>
      <c r="G10" s="16" t="s">
        <v>33</v>
      </c>
      <c r="H10" s="16"/>
      <c r="I10" s="16" t="s">
        <v>14</v>
      </c>
      <c r="J10" s="16"/>
      <c r="K10" s="25"/>
    </row>
    <row r="11" spans="2:11" ht="15.85" customHeight="1" x14ac:dyDescent="0.3">
      <c r="B11" s="24"/>
      <c r="C11" s="17"/>
      <c r="D11" s="16"/>
      <c r="E11" s="16" t="s">
        <v>82</v>
      </c>
      <c r="F11" s="16" t="s">
        <v>62</v>
      </c>
      <c r="G11" s="16" t="s">
        <v>42</v>
      </c>
      <c r="H11" s="16"/>
      <c r="I11" s="16"/>
      <c r="J11" s="16"/>
      <c r="K11" s="25"/>
    </row>
    <row r="12" spans="2:11" ht="15.85" customHeight="1" x14ac:dyDescent="0.3">
      <c r="B12" s="24"/>
      <c r="C12" s="17"/>
      <c r="D12" s="16"/>
      <c r="E12" s="16" t="s">
        <v>83</v>
      </c>
      <c r="F12" s="16" t="s">
        <v>63</v>
      </c>
      <c r="G12" s="16" t="s">
        <v>46</v>
      </c>
      <c r="H12" s="16"/>
      <c r="I12" s="16"/>
      <c r="J12" s="16"/>
      <c r="K12" s="25"/>
    </row>
    <row r="13" spans="2:11" ht="15.85" customHeight="1" x14ac:dyDescent="0.3">
      <c r="B13" s="24"/>
      <c r="C13" s="17"/>
      <c r="D13" s="16"/>
      <c r="E13" s="16" t="s">
        <v>84</v>
      </c>
      <c r="F13" s="16" t="s">
        <v>64</v>
      </c>
      <c r="G13" s="16" t="s">
        <v>66</v>
      </c>
      <c r="H13" s="16"/>
      <c r="I13" s="16" t="s">
        <v>67</v>
      </c>
      <c r="J13" s="16"/>
      <c r="K13" s="25"/>
    </row>
    <row r="14" spans="2:11" ht="15.85" customHeight="1" x14ac:dyDescent="0.3">
      <c r="B14" s="24"/>
      <c r="C14" s="17"/>
      <c r="D14" s="16"/>
      <c r="E14" s="16" t="s">
        <v>125</v>
      </c>
      <c r="F14" s="16" t="s">
        <v>65</v>
      </c>
      <c r="G14" s="16" t="s">
        <v>66</v>
      </c>
      <c r="H14" s="16"/>
      <c r="I14" s="16" t="s">
        <v>67</v>
      </c>
      <c r="J14" s="16"/>
      <c r="K14" s="25"/>
    </row>
    <row r="15" spans="2:11" ht="15.85" customHeight="1" x14ac:dyDescent="0.3">
      <c r="B15" s="24"/>
      <c r="C15" s="17"/>
      <c r="D15" s="16"/>
      <c r="E15" s="16" t="s">
        <v>126</v>
      </c>
      <c r="F15" s="16" t="s">
        <v>127</v>
      </c>
      <c r="G15" s="16" t="s">
        <v>66</v>
      </c>
      <c r="H15" s="16"/>
      <c r="I15" s="16" t="s">
        <v>67</v>
      </c>
      <c r="J15" s="16"/>
      <c r="K15" s="25"/>
    </row>
    <row r="16" spans="2:11" ht="15.85" customHeight="1" x14ac:dyDescent="0.3">
      <c r="B16" s="24"/>
      <c r="C16" s="17"/>
      <c r="D16" s="16"/>
      <c r="E16" s="16" t="s">
        <v>118</v>
      </c>
      <c r="F16" s="16" t="s">
        <v>86</v>
      </c>
      <c r="G16" s="16" t="s">
        <v>42</v>
      </c>
      <c r="H16" s="16">
        <v>255</v>
      </c>
      <c r="I16" s="16"/>
      <c r="J16" s="16"/>
      <c r="K16" s="25"/>
    </row>
    <row r="17" spans="2:11" ht="15.85" customHeight="1" thickBot="1" x14ac:dyDescent="0.35">
      <c r="B17" s="42"/>
      <c r="C17" s="43"/>
      <c r="D17" s="44"/>
      <c r="E17" s="44" t="s">
        <v>202</v>
      </c>
      <c r="F17" s="44" t="s">
        <v>68</v>
      </c>
      <c r="G17" s="44" t="s">
        <v>42</v>
      </c>
      <c r="H17" s="44"/>
      <c r="I17" s="44" t="s">
        <v>91</v>
      </c>
      <c r="J17" s="44"/>
      <c r="K17" s="45" t="s">
        <v>69</v>
      </c>
    </row>
    <row r="18" spans="2:11" ht="15.85" customHeight="1" x14ac:dyDescent="0.3">
      <c r="B18" s="51"/>
      <c r="C18" s="52"/>
      <c r="D18" s="53" t="s">
        <v>71</v>
      </c>
      <c r="E18" s="53" t="s">
        <v>72</v>
      </c>
      <c r="F18" s="53" t="s">
        <v>73</v>
      </c>
      <c r="G18" s="53" t="s">
        <v>33</v>
      </c>
      <c r="H18" s="53"/>
      <c r="I18" s="53" t="s">
        <v>6</v>
      </c>
      <c r="J18" s="53"/>
      <c r="K18" s="54"/>
    </row>
    <row r="19" spans="2:11" ht="15.85" customHeight="1" x14ac:dyDescent="0.3">
      <c r="B19" s="46"/>
      <c r="C19" s="47"/>
      <c r="D19" s="48"/>
      <c r="E19" s="48" t="s">
        <v>136</v>
      </c>
      <c r="F19" s="48" t="s">
        <v>137</v>
      </c>
      <c r="G19" s="48" t="s">
        <v>42</v>
      </c>
      <c r="H19" s="48"/>
      <c r="I19" s="48"/>
      <c r="J19" s="48"/>
      <c r="K19" s="49"/>
    </row>
    <row r="20" spans="2:11" ht="15.85" customHeight="1" x14ac:dyDescent="0.3">
      <c r="B20" s="46"/>
      <c r="C20" s="47"/>
      <c r="D20" s="48"/>
      <c r="E20" s="48" t="s">
        <v>83</v>
      </c>
      <c r="F20" s="48" t="s">
        <v>138</v>
      </c>
      <c r="G20" s="48" t="s">
        <v>46</v>
      </c>
      <c r="H20" s="48"/>
      <c r="I20" s="48"/>
      <c r="J20" s="48"/>
      <c r="K20" s="49"/>
    </row>
    <row r="21" spans="2:11" ht="15.85" customHeight="1" x14ac:dyDescent="0.25">
      <c r="B21" s="46"/>
      <c r="C21" s="47"/>
      <c r="D21" s="48"/>
      <c r="E21" s="48" t="s">
        <v>173</v>
      </c>
      <c r="F21" s="48" t="s">
        <v>174</v>
      </c>
      <c r="G21" s="48" t="s">
        <v>42</v>
      </c>
      <c r="H21" s="48"/>
      <c r="I21" s="48"/>
      <c r="J21" s="48"/>
      <c r="K21" s="50" t="s">
        <v>175</v>
      </c>
    </row>
    <row r="22" spans="2:11" ht="15.85" customHeight="1" x14ac:dyDescent="0.25">
      <c r="B22" s="46"/>
      <c r="C22" s="47"/>
      <c r="D22" s="48"/>
      <c r="E22" s="48" t="s">
        <v>203</v>
      </c>
      <c r="F22" s="48" t="s">
        <v>204</v>
      </c>
      <c r="G22" s="48" t="s">
        <v>66</v>
      </c>
      <c r="H22" s="48"/>
      <c r="I22" s="48" t="s">
        <v>67</v>
      </c>
      <c r="J22" s="48"/>
      <c r="K22" s="50"/>
    </row>
    <row r="23" spans="2:11" ht="15.85" customHeight="1" x14ac:dyDescent="0.25">
      <c r="B23" s="46"/>
      <c r="C23" s="47"/>
      <c r="D23" s="48"/>
      <c r="E23" s="48" t="s">
        <v>205</v>
      </c>
      <c r="F23" s="48" t="s">
        <v>206</v>
      </c>
      <c r="G23" s="48" t="s">
        <v>66</v>
      </c>
      <c r="H23" s="48"/>
      <c r="I23" s="48" t="s">
        <v>67</v>
      </c>
      <c r="J23" s="48"/>
      <c r="K23" s="50"/>
    </row>
    <row r="24" spans="2:11" ht="15.85" customHeight="1" x14ac:dyDescent="0.25">
      <c r="B24" s="46"/>
      <c r="C24" s="47"/>
      <c r="D24" s="48"/>
      <c r="E24" s="48" t="s">
        <v>207</v>
      </c>
      <c r="F24" s="48" t="s">
        <v>208</v>
      </c>
      <c r="G24" s="48" t="s">
        <v>66</v>
      </c>
      <c r="H24" s="48"/>
      <c r="I24" s="48" t="s">
        <v>67</v>
      </c>
      <c r="J24" s="48"/>
      <c r="K24" s="50"/>
    </row>
    <row r="25" spans="2:11" ht="15.85" customHeight="1" x14ac:dyDescent="0.25">
      <c r="B25" s="46"/>
      <c r="C25" s="47"/>
      <c r="D25" s="48"/>
      <c r="E25" s="48" t="s">
        <v>139</v>
      </c>
      <c r="F25" s="48" t="s">
        <v>140</v>
      </c>
      <c r="G25" s="48" t="s">
        <v>66</v>
      </c>
      <c r="H25" s="48"/>
      <c r="I25" s="48" t="s">
        <v>67</v>
      </c>
      <c r="J25" s="48"/>
      <c r="K25" s="50"/>
    </row>
    <row r="26" spans="2:11" ht="15.85" customHeight="1" x14ac:dyDescent="0.25">
      <c r="B26" s="46"/>
      <c r="C26" s="47"/>
      <c r="D26" s="48"/>
      <c r="E26" s="48" t="s">
        <v>209</v>
      </c>
      <c r="F26" s="48" t="s">
        <v>210</v>
      </c>
      <c r="G26" s="48" t="s">
        <v>66</v>
      </c>
      <c r="H26" s="48"/>
      <c r="I26" s="48" t="s">
        <v>67</v>
      </c>
      <c r="J26" s="48"/>
      <c r="K26" s="50"/>
    </row>
    <row r="27" spans="2:11" ht="15.85" customHeight="1" thickBot="1" x14ac:dyDescent="0.35">
      <c r="B27" s="55"/>
      <c r="C27" s="56"/>
      <c r="D27" s="57"/>
      <c r="E27" s="57" t="s">
        <v>78</v>
      </c>
      <c r="F27" s="57" t="s">
        <v>74</v>
      </c>
      <c r="G27" s="57" t="s">
        <v>42</v>
      </c>
      <c r="H27" s="57"/>
      <c r="I27" s="57" t="s">
        <v>92</v>
      </c>
      <c r="J27" s="57"/>
      <c r="K27" s="58"/>
    </row>
    <row r="28" spans="2:11" ht="15.85" customHeight="1" x14ac:dyDescent="0.3">
      <c r="B28" s="63"/>
      <c r="C28" s="64"/>
      <c r="D28" s="65" t="s">
        <v>8</v>
      </c>
      <c r="E28" s="65" t="s">
        <v>75</v>
      </c>
      <c r="F28" s="65" t="s">
        <v>76</v>
      </c>
      <c r="G28" s="65" t="s">
        <v>33</v>
      </c>
      <c r="H28" s="65"/>
      <c r="I28" s="65" t="s">
        <v>6</v>
      </c>
      <c r="J28" s="65"/>
      <c r="K28" s="66"/>
    </row>
    <row r="29" spans="2:11" ht="15.85" customHeight="1" x14ac:dyDescent="0.3">
      <c r="B29" s="59"/>
      <c r="C29" s="60"/>
      <c r="D29" s="61"/>
      <c r="E29" s="61" t="s">
        <v>77</v>
      </c>
      <c r="F29" s="61" t="s">
        <v>12</v>
      </c>
      <c r="G29" s="61" t="s">
        <v>42</v>
      </c>
      <c r="H29" s="61">
        <v>20</v>
      </c>
      <c r="I29" s="61"/>
      <c r="J29" s="61"/>
      <c r="K29" s="62"/>
    </row>
    <row r="30" spans="2:11" ht="15.85" customHeight="1" x14ac:dyDescent="0.3">
      <c r="B30" s="59"/>
      <c r="C30" s="60"/>
      <c r="D30" s="61"/>
      <c r="E30" s="61" t="s">
        <v>85</v>
      </c>
      <c r="F30" s="61" t="s">
        <v>13</v>
      </c>
      <c r="G30" s="61" t="s">
        <v>42</v>
      </c>
      <c r="H30" s="61">
        <v>20</v>
      </c>
      <c r="I30" s="61"/>
      <c r="J30" s="61"/>
      <c r="K30" s="62"/>
    </row>
    <row r="31" spans="2:11" ht="15.85" customHeight="1" x14ac:dyDescent="0.3">
      <c r="B31" s="59"/>
      <c r="C31" s="60"/>
      <c r="D31" s="61"/>
      <c r="E31" s="61" t="s">
        <v>119</v>
      </c>
      <c r="F31" s="61" t="s">
        <v>120</v>
      </c>
      <c r="G31" s="61" t="s">
        <v>42</v>
      </c>
      <c r="H31" s="61">
        <v>255</v>
      </c>
      <c r="I31" s="61"/>
      <c r="J31" s="61"/>
      <c r="K31" s="62"/>
    </row>
    <row r="32" spans="2:11" ht="15.85" customHeight="1" x14ac:dyDescent="0.3">
      <c r="B32" s="59"/>
      <c r="C32" s="60"/>
      <c r="D32" s="61"/>
      <c r="E32" s="61" t="s">
        <v>121</v>
      </c>
      <c r="F32" s="61" t="s">
        <v>123</v>
      </c>
      <c r="G32" s="61" t="s">
        <v>42</v>
      </c>
      <c r="H32" s="61">
        <v>20</v>
      </c>
      <c r="I32" s="61"/>
      <c r="J32" s="61"/>
      <c r="K32" s="62"/>
    </row>
    <row r="33" spans="2:11" ht="15.85" customHeight="1" thickBot="1" x14ac:dyDescent="0.35">
      <c r="B33" s="67"/>
      <c r="C33" s="68"/>
      <c r="D33" s="69"/>
      <c r="E33" s="69" t="s">
        <v>122</v>
      </c>
      <c r="F33" s="69" t="s">
        <v>124</v>
      </c>
      <c r="G33" s="69" t="s">
        <v>42</v>
      </c>
      <c r="H33" s="69">
        <v>100</v>
      </c>
      <c r="I33" s="69"/>
      <c r="J33" s="69"/>
      <c r="K33" s="70"/>
    </row>
    <row r="34" spans="2:11" ht="15.85" customHeight="1" x14ac:dyDescent="0.3">
      <c r="B34" s="71"/>
      <c r="C34" s="72"/>
      <c r="D34" s="73" t="s">
        <v>87</v>
      </c>
      <c r="E34" s="73" t="s">
        <v>88</v>
      </c>
      <c r="F34" s="73" t="s">
        <v>89</v>
      </c>
      <c r="G34" s="73" t="s">
        <v>33</v>
      </c>
      <c r="H34" s="73"/>
      <c r="I34" s="73" t="s">
        <v>6</v>
      </c>
      <c r="J34" s="73"/>
      <c r="K34" s="74"/>
    </row>
    <row r="35" spans="2:11" ht="15.85" customHeight="1" x14ac:dyDescent="0.3">
      <c r="B35" s="75"/>
      <c r="C35" s="76"/>
      <c r="D35" s="77"/>
      <c r="E35" s="77" t="s">
        <v>211</v>
      </c>
      <c r="F35" s="77" t="s">
        <v>212</v>
      </c>
      <c r="G35" s="77" t="s">
        <v>66</v>
      </c>
      <c r="H35" s="77"/>
      <c r="I35" s="77" t="s">
        <v>67</v>
      </c>
      <c r="J35" s="77"/>
      <c r="K35" s="78"/>
    </row>
    <row r="36" spans="2:11" ht="15.85" customHeight="1" x14ac:dyDescent="0.3">
      <c r="B36" s="75"/>
      <c r="C36" s="76"/>
      <c r="D36" s="77"/>
      <c r="E36" s="77" t="s">
        <v>168</v>
      </c>
      <c r="F36" s="77" t="s">
        <v>90</v>
      </c>
      <c r="G36" s="77" t="s">
        <v>42</v>
      </c>
      <c r="H36" s="77">
        <v>20</v>
      </c>
      <c r="I36" s="77" t="s">
        <v>93</v>
      </c>
      <c r="J36" s="77"/>
      <c r="K36" s="78" t="s">
        <v>94</v>
      </c>
    </row>
    <row r="37" spans="2:11" ht="15.85" customHeight="1" x14ac:dyDescent="0.3">
      <c r="B37" s="75"/>
      <c r="C37" s="76"/>
      <c r="D37" s="77"/>
      <c r="E37" s="77" t="s">
        <v>169</v>
      </c>
      <c r="F37" s="77" t="s">
        <v>172</v>
      </c>
      <c r="G37" s="77" t="s">
        <v>42</v>
      </c>
      <c r="H37" s="77">
        <v>50</v>
      </c>
      <c r="I37" s="77"/>
      <c r="J37" s="77"/>
      <c r="K37" s="78"/>
    </row>
    <row r="38" spans="2:11" ht="15.85" customHeight="1" x14ac:dyDescent="0.3">
      <c r="B38" s="75"/>
      <c r="C38" s="76"/>
      <c r="D38" s="77"/>
      <c r="E38" s="77" t="s">
        <v>170</v>
      </c>
      <c r="F38" s="77" t="s">
        <v>171</v>
      </c>
      <c r="G38" s="77" t="s">
        <v>42</v>
      </c>
      <c r="H38" s="77"/>
      <c r="I38" s="77"/>
      <c r="J38" s="77"/>
      <c r="K38" s="78"/>
    </row>
    <row r="39" spans="2:11" ht="15.85" customHeight="1" thickBot="1" x14ac:dyDescent="0.35">
      <c r="B39" s="79"/>
      <c r="C39" s="80"/>
      <c r="D39" s="81"/>
      <c r="E39" s="81" t="s">
        <v>213</v>
      </c>
      <c r="F39" s="81" t="s">
        <v>214</v>
      </c>
      <c r="G39" s="81" t="s">
        <v>46</v>
      </c>
      <c r="H39" s="81"/>
      <c r="I39" s="81"/>
      <c r="J39" s="81"/>
      <c r="K39" s="82"/>
    </row>
    <row r="40" spans="2:11" ht="15.85" customHeight="1" x14ac:dyDescent="0.3">
      <c r="B40" s="83"/>
      <c r="C40" s="84"/>
      <c r="D40" s="85" t="s">
        <v>104</v>
      </c>
      <c r="E40" s="85" t="s">
        <v>128</v>
      </c>
      <c r="F40" s="85" t="s">
        <v>129</v>
      </c>
      <c r="G40" s="85" t="s">
        <v>33</v>
      </c>
      <c r="H40" s="85"/>
      <c r="I40" s="85" t="s">
        <v>6</v>
      </c>
      <c r="J40" s="85"/>
      <c r="K40" s="86"/>
    </row>
    <row r="41" spans="2:11" ht="15.85" customHeight="1" x14ac:dyDescent="0.3">
      <c r="B41" s="87"/>
      <c r="C41" s="88"/>
      <c r="D41" s="89"/>
      <c r="E41" s="89" t="s">
        <v>215</v>
      </c>
      <c r="F41" s="89" t="s">
        <v>216</v>
      </c>
      <c r="G41" s="89" t="s">
        <v>42</v>
      </c>
      <c r="H41" s="89"/>
      <c r="I41" s="89"/>
      <c r="J41" s="89"/>
      <c r="K41" s="90"/>
    </row>
    <row r="42" spans="2:11" ht="15.85" customHeight="1" x14ac:dyDescent="0.3">
      <c r="B42" s="87"/>
      <c r="C42" s="88"/>
      <c r="D42" s="89"/>
      <c r="E42" s="89" t="s">
        <v>130</v>
      </c>
      <c r="F42" s="89" t="s">
        <v>131</v>
      </c>
      <c r="G42" s="89" t="s">
        <v>66</v>
      </c>
      <c r="H42" s="89"/>
      <c r="I42" s="89" t="s">
        <v>67</v>
      </c>
      <c r="J42" s="89"/>
      <c r="K42" s="90"/>
    </row>
    <row r="43" spans="2:11" ht="15.85" customHeight="1" x14ac:dyDescent="0.3">
      <c r="B43" s="87"/>
      <c r="C43" s="88"/>
      <c r="D43" s="89"/>
      <c r="E43" s="89" t="s">
        <v>141</v>
      </c>
      <c r="F43" s="89" t="s">
        <v>142</v>
      </c>
      <c r="G43" s="89" t="s">
        <v>66</v>
      </c>
      <c r="H43" s="89"/>
      <c r="I43" s="89" t="s">
        <v>67</v>
      </c>
      <c r="J43" s="89"/>
      <c r="K43" s="90"/>
    </row>
    <row r="44" spans="2:11" ht="15.85" customHeight="1" x14ac:dyDescent="0.3">
      <c r="B44" s="87"/>
      <c r="C44" s="88"/>
      <c r="D44" s="89"/>
      <c r="E44" s="89" t="s">
        <v>145</v>
      </c>
      <c r="F44" s="89" t="s">
        <v>146</v>
      </c>
      <c r="G44" s="89" t="s">
        <v>42</v>
      </c>
      <c r="H44" s="89"/>
      <c r="I44" s="89"/>
      <c r="J44" s="89"/>
      <c r="K44" s="90" t="s">
        <v>147</v>
      </c>
    </row>
    <row r="45" spans="2:11" ht="15.85" customHeight="1" thickBot="1" x14ac:dyDescent="0.35">
      <c r="B45" s="91"/>
      <c r="C45" s="92"/>
      <c r="D45" s="93"/>
      <c r="E45" s="93" t="s">
        <v>161</v>
      </c>
      <c r="F45" s="93" t="s">
        <v>162</v>
      </c>
      <c r="G45" s="93" t="s">
        <v>26</v>
      </c>
      <c r="H45" s="93"/>
      <c r="I45" s="93" t="s">
        <v>7</v>
      </c>
      <c r="J45" s="93"/>
      <c r="K45" s="94" t="s">
        <v>154</v>
      </c>
    </row>
    <row r="46" spans="2:11" ht="15.85" customHeight="1" x14ac:dyDescent="0.3">
      <c r="B46" s="99"/>
      <c r="C46" s="100"/>
      <c r="D46" s="101" t="s">
        <v>217</v>
      </c>
      <c r="E46" s="101" t="s">
        <v>218</v>
      </c>
      <c r="F46" s="101" t="s">
        <v>143</v>
      </c>
      <c r="G46" s="101" t="s">
        <v>33</v>
      </c>
      <c r="H46" s="101"/>
      <c r="I46" s="101" t="s">
        <v>6</v>
      </c>
      <c r="J46" s="101"/>
      <c r="K46" s="102"/>
    </row>
    <row r="47" spans="2:11" ht="15.85" customHeight="1" x14ac:dyDescent="0.3">
      <c r="B47" s="95"/>
      <c r="C47" s="96"/>
      <c r="D47" s="97"/>
      <c r="E47" s="97" t="s">
        <v>219</v>
      </c>
      <c r="F47" s="97" t="s">
        <v>144</v>
      </c>
      <c r="G47" s="97" t="s">
        <v>42</v>
      </c>
      <c r="H47" s="97"/>
      <c r="I47" s="97"/>
      <c r="J47" s="97"/>
      <c r="K47" s="98"/>
    </row>
    <row r="48" spans="2:11" ht="15.85" customHeight="1" thickBot="1" x14ac:dyDescent="0.35">
      <c r="B48" s="103"/>
      <c r="C48" s="104"/>
      <c r="D48" s="105"/>
      <c r="E48" s="105" t="s">
        <v>163</v>
      </c>
      <c r="F48" s="105" t="s">
        <v>164</v>
      </c>
      <c r="G48" s="105" t="s">
        <v>26</v>
      </c>
      <c r="H48" s="105"/>
      <c r="I48" s="105" t="s">
        <v>7</v>
      </c>
      <c r="J48" s="105"/>
      <c r="K48" s="106"/>
    </row>
    <row r="49" spans="2:11" ht="15.85" customHeight="1" x14ac:dyDescent="0.3">
      <c r="B49" s="107"/>
      <c r="C49" s="108"/>
      <c r="D49" s="109" t="s">
        <v>220</v>
      </c>
      <c r="E49" s="109" t="s">
        <v>221</v>
      </c>
      <c r="F49" s="109" t="s">
        <v>143</v>
      </c>
      <c r="G49" s="109" t="s">
        <v>33</v>
      </c>
      <c r="H49" s="109"/>
      <c r="I49" s="109" t="s">
        <v>6</v>
      </c>
      <c r="J49" s="109"/>
      <c r="K49" s="110"/>
    </row>
    <row r="50" spans="2:11" ht="15.85" customHeight="1" x14ac:dyDescent="0.3">
      <c r="B50" s="111"/>
      <c r="C50" s="112"/>
      <c r="D50" s="113"/>
      <c r="E50" s="113" t="s">
        <v>222</v>
      </c>
      <c r="F50" s="113" t="s">
        <v>144</v>
      </c>
      <c r="G50" s="113" t="s">
        <v>42</v>
      </c>
      <c r="H50" s="113"/>
      <c r="I50" s="113"/>
      <c r="J50" s="113"/>
      <c r="K50" s="114"/>
    </row>
    <row r="51" spans="2:11" ht="15.85" customHeight="1" x14ac:dyDescent="0.3">
      <c r="B51" s="111"/>
      <c r="C51" s="112"/>
      <c r="D51" s="113"/>
      <c r="E51" s="113" t="s">
        <v>223</v>
      </c>
      <c r="F51" s="113" t="s">
        <v>152</v>
      </c>
      <c r="G51" s="113" t="s">
        <v>33</v>
      </c>
      <c r="H51" s="113"/>
      <c r="I51" s="113"/>
      <c r="J51" s="113"/>
      <c r="K51" s="114"/>
    </row>
    <row r="52" spans="2:11" ht="15.85" customHeight="1" thickBot="1" x14ac:dyDescent="0.35">
      <c r="B52" s="115"/>
      <c r="C52" s="116"/>
      <c r="D52" s="117"/>
      <c r="E52" s="117" t="s">
        <v>224</v>
      </c>
      <c r="F52" s="117" t="s">
        <v>153</v>
      </c>
      <c r="G52" s="117" t="s">
        <v>26</v>
      </c>
      <c r="H52" s="117"/>
      <c r="I52" s="117" t="s">
        <v>7</v>
      </c>
      <c r="J52" s="117"/>
      <c r="K52" s="118" t="s">
        <v>154</v>
      </c>
    </row>
    <row r="53" spans="2:11" ht="15.85" customHeight="1" x14ac:dyDescent="0.3">
      <c r="B53" s="119"/>
      <c r="C53" s="120"/>
      <c r="D53" s="121" t="s">
        <v>105</v>
      </c>
      <c r="E53" s="121" t="s">
        <v>132</v>
      </c>
      <c r="F53" s="121" t="s">
        <v>134</v>
      </c>
      <c r="G53" s="121" t="s">
        <v>33</v>
      </c>
      <c r="H53" s="121"/>
      <c r="I53" s="121" t="s">
        <v>6</v>
      </c>
      <c r="J53" s="121"/>
      <c r="K53" s="122"/>
    </row>
    <row r="54" spans="2:11" ht="15.85" customHeight="1" x14ac:dyDescent="0.3">
      <c r="B54" s="123"/>
      <c r="C54" s="124"/>
      <c r="D54" s="125"/>
      <c r="E54" s="125" t="s">
        <v>192</v>
      </c>
      <c r="F54" s="125" t="s">
        <v>193</v>
      </c>
      <c r="G54" s="125" t="s">
        <v>33</v>
      </c>
      <c r="H54" s="125"/>
      <c r="I54" s="125"/>
      <c r="J54" s="125"/>
      <c r="K54" s="126"/>
    </row>
    <row r="55" spans="2:11" ht="15.85" customHeight="1" x14ac:dyDescent="0.3">
      <c r="B55" s="123"/>
      <c r="C55" s="124"/>
      <c r="D55" s="125"/>
      <c r="E55" s="125" t="s">
        <v>133</v>
      </c>
      <c r="F55" s="125" t="s">
        <v>135</v>
      </c>
      <c r="G55" s="125" t="s">
        <v>66</v>
      </c>
      <c r="H55" s="125"/>
      <c r="I55" s="125" t="s">
        <v>67</v>
      </c>
      <c r="J55" s="125"/>
      <c r="K55" s="126"/>
    </row>
    <row r="56" spans="2:11" ht="15.85" customHeight="1" thickBot="1" x14ac:dyDescent="0.35">
      <c r="B56" s="127"/>
      <c r="C56" s="128"/>
      <c r="D56" s="129"/>
      <c r="E56" s="129" t="s">
        <v>225</v>
      </c>
      <c r="F56" s="129" t="s">
        <v>226</v>
      </c>
      <c r="G56" s="129" t="s">
        <v>42</v>
      </c>
      <c r="H56" s="129"/>
      <c r="I56" s="129"/>
      <c r="J56" s="129"/>
      <c r="K56" s="130"/>
    </row>
    <row r="57" spans="2:11" ht="15.85" customHeight="1" x14ac:dyDescent="0.3">
      <c r="B57" s="131"/>
      <c r="C57" s="132"/>
      <c r="D57" s="133" t="s">
        <v>231</v>
      </c>
      <c r="E57" s="133" t="s">
        <v>228</v>
      </c>
      <c r="F57" s="133" t="s">
        <v>165</v>
      </c>
      <c r="G57" s="133" t="s">
        <v>33</v>
      </c>
      <c r="H57" s="133"/>
      <c r="I57" s="133" t="s">
        <v>6</v>
      </c>
      <c r="J57" s="133"/>
      <c r="K57" s="134"/>
    </row>
    <row r="58" spans="2:11" ht="15.85" customHeight="1" x14ac:dyDescent="0.3">
      <c r="B58" s="131"/>
      <c r="C58" s="132"/>
      <c r="D58" s="133"/>
      <c r="E58" s="133" t="s">
        <v>229</v>
      </c>
      <c r="F58" s="133" t="s">
        <v>166</v>
      </c>
      <c r="G58" s="133" t="s">
        <v>33</v>
      </c>
      <c r="H58" s="133"/>
      <c r="I58" s="133"/>
      <c r="J58" s="133"/>
      <c r="K58" s="134"/>
    </row>
    <row r="59" spans="2:11" ht="15.85" customHeight="1" x14ac:dyDescent="0.3">
      <c r="B59" s="131"/>
      <c r="C59" s="132"/>
      <c r="D59" s="133"/>
      <c r="E59" s="133" t="s">
        <v>227</v>
      </c>
      <c r="F59" s="133" t="s">
        <v>158</v>
      </c>
      <c r="G59" s="133" t="s">
        <v>42</v>
      </c>
      <c r="H59" s="133"/>
      <c r="I59" s="133"/>
      <c r="J59" s="133"/>
      <c r="K59" s="134"/>
    </row>
    <row r="60" spans="2:11" ht="15.85" customHeight="1" x14ac:dyDescent="0.3">
      <c r="B60" s="131"/>
      <c r="C60" s="132"/>
      <c r="D60" s="133"/>
      <c r="E60" s="133" t="s">
        <v>230</v>
      </c>
      <c r="F60" s="133" t="s">
        <v>167</v>
      </c>
      <c r="G60" s="133" t="s">
        <v>26</v>
      </c>
      <c r="H60" s="133"/>
      <c r="I60" s="133" t="s">
        <v>7</v>
      </c>
      <c r="J60" s="133"/>
      <c r="K60" s="134"/>
    </row>
    <row r="61" spans="2:11" ht="15.85" customHeight="1" x14ac:dyDescent="0.3">
      <c r="B61" s="135"/>
      <c r="C61" s="136"/>
      <c r="D61" s="137" t="s">
        <v>232</v>
      </c>
      <c r="E61" s="137" t="s">
        <v>233</v>
      </c>
      <c r="F61" s="137" t="s">
        <v>156</v>
      </c>
      <c r="G61" s="137" t="s">
        <v>33</v>
      </c>
      <c r="H61" s="137"/>
      <c r="I61" s="137" t="s">
        <v>6</v>
      </c>
      <c r="J61" s="137"/>
      <c r="K61" s="138"/>
    </row>
    <row r="62" spans="2:11" ht="15.85" customHeight="1" x14ac:dyDescent="0.3">
      <c r="B62" s="135"/>
      <c r="C62" s="136"/>
      <c r="D62" s="137"/>
      <c r="E62" s="137" t="s">
        <v>155</v>
      </c>
      <c r="F62" s="137" t="s">
        <v>157</v>
      </c>
      <c r="G62" s="137" t="s">
        <v>33</v>
      </c>
      <c r="H62" s="137"/>
      <c r="I62" s="137"/>
      <c r="J62" s="137"/>
      <c r="K62" s="138"/>
    </row>
    <row r="63" spans="2:11" ht="15.85" customHeight="1" x14ac:dyDescent="0.3">
      <c r="B63" s="135"/>
      <c r="C63" s="136"/>
      <c r="D63" s="137"/>
      <c r="E63" s="137" t="s">
        <v>234</v>
      </c>
      <c r="F63" s="137" t="s">
        <v>158</v>
      </c>
      <c r="G63" s="137" t="s">
        <v>42</v>
      </c>
      <c r="H63" s="137"/>
      <c r="I63" s="137"/>
      <c r="J63" s="137"/>
      <c r="K63" s="138"/>
    </row>
    <row r="64" spans="2:11" ht="15.85" customHeight="1" x14ac:dyDescent="0.3">
      <c r="B64" s="135"/>
      <c r="C64" s="136"/>
      <c r="D64" s="137"/>
      <c r="E64" s="137" t="s">
        <v>235</v>
      </c>
      <c r="F64" s="137" t="s">
        <v>159</v>
      </c>
      <c r="G64" s="137" t="s">
        <v>33</v>
      </c>
      <c r="H64" s="137"/>
      <c r="I64" s="137"/>
      <c r="J64" s="137"/>
      <c r="K64" s="138"/>
    </row>
    <row r="65" spans="2:11" ht="15.85" customHeight="1" thickBot="1" x14ac:dyDescent="0.35">
      <c r="B65" s="135"/>
      <c r="C65" s="136"/>
      <c r="D65" s="137"/>
      <c r="E65" s="137" t="s">
        <v>236</v>
      </c>
      <c r="F65" s="137" t="s">
        <v>160</v>
      </c>
      <c r="G65" s="137" t="s">
        <v>26</v>
      </c>
      <c r="H65" s="137"/>
      <c r="I65" s="137" t="s">
        <v>7</v>
      </c>
      <c r="J65" s="137"/>
      <c r="K65" s="138" t="s">
        <v>154</v>
      </c>
    </row>
    <row r="66" spans="2:11" ht="15.85" customHeight="1" x14ac:dyDescent="0.3">
      <c r="B66" s="139"/>
      <c r="C66" s="140"/>
      <c r="D66" s="141" t="s">
        <v>148</v>
      </c>
      <c r="E66" s="141" t="s">
        <v>11</v>
      </c>
      <c r="F66" s="141" t="s">
        <v>149</v>
      </c>
      <c r="G66" s="141" t="s">
        <v>33</v>
      </c>
      <c r="H66" s="141"/>
      <c r="I66" s="141" t="s">
        <v>6</v>
      </c>
      <c r="J66" s="141"/>
      <c r="K66" s="142"/>
    </row>
    <row r="67" spans="2:11" ht="15.85" customHeight="1" thickBot="1" x14ac:dyDescent="0.35">
      <c r="B67" s="143"/>
      <c r="C67" s="144"/>
      <c r="D67" s="145"/>
      <c r="E67" s="145" t="s">
        <v>237</v>
      </c>
      <c r="F67" s="145" t="s">
        <v>150</v>
      </c>
      <c r="G67" s="145" t="s">
        <v>26</v>
      </c>
      <c r="H67" s="145"/>
      <c r="I67" s="145" t="s">
        <v>151</v>
      </c>
      <c r="J67" s="145"/>
      <c r="K67" s="146"/>
    </row>
    <row r="68" spans="2:11" ht="15.85" customHeight="1" x14ac:dyDescent="0.3">
      <c r="B68" s="147"/>
      <c r="C68" s="148"/>
      <c r="D68" s="149" t="s">
        <v>176</v>
      </c>
      <c r="E68" s="149" t="s">
        <v>177</v>
      </c>
      <c r="F68" s="149" t="s">
        <v>179</v>
      </c>
      <c r="G68" s="149" t="s">
        <v>33</v>
      </c>
      <c r="H68" s="149"/>
      <c r="I68" s="149" t="s">
        <v>6</v>
      </c>
      <c r="J68" s="149"/>
      <c r="K68" s="150"/>
    </row>
    <row r="69" spans="2:11" ht="15.85" customHeight="1" x14ac:dyDescent="0.3">
      <c r="B69" s="151"/>
      <c r="C69" s="152"/>
      <c r="D69" s="153"/>
      <c r="E69" s="153" t="s">
        <v>178</v>
      </c>
      <c r="F69" s="153" t="s">
        <v>180</v>
      </c>
      <c r="G69" s="153" t="s">
        <v>42</v>
      </c>
      <c r="H69" s="153"/>
      <c r="I69" s="153" t="s">
        <v>181</v>
      </c>
      <c r="J69" s="153"/>
      <c r="K69" s="154" t="s">
        <v>187</v>
      </c>
    </row>
    <row r="70" spans="2:11" ht="15.85" customHeight="1" x14ac:dyDescent="0.3">
      <c r="B70" s="151"/>
      <c r="C70" s="152"/>
      <c r="D70" s="153"/>
      <c r="E70" s="153" t="s">
        <v>188</v>
      </c>
      <c r="F70" s="153" t="s">
        <v>189</v>
      </c>
      <c r="G70" s="153" t="s">
        <v>66</v>
      </c>
      <c r="H70" s="153"/>
      <c r="I70" s="153"/>
      <c r="J70" s="153"/>
      <c r="K70" s="154"/>
    </row>
    <row r="71" spans="2:11" ht="15.85" customHeight="1" thickBot="1" x14ac:dyDescent="0.35">
      <c r="B71" s="155"/>
      <c r="C71" s="156"/>
      <c r="D71" s="157"/>
      <c r="E71" s="157" t="s">
        <v>190</v>
      </c>
      <c r="F71" s="157" t="s">
        <v>191</v>
      </c>
      <c r="G71" s="157" t="s">
        <v>26</v>
      </c>
      <c r="H71" s="157"/>
      <c r="I71" s="157" t="s">
        <v>7</v>
      </c>
      <c r="J71" s="157"/>
      <c r="K71" s="158"/>
    </row>
    <row r="141" ht="58.7" customHeight="1" x14ac:dyDescent="0.3"/>
    <row r="142" ht="58.7" customHeight="1" x14ac:dyDescent="0.3"/>
    <row r="143" ht="58.7" customHeight="1" x14ac:dyDescent="0.3"/>
    <row r="144" ht="58.7" customHeight="1" x14ac:dyDescent="0.3"/>
    <row r="145" spans="1:1" ht="58.7" customHeight="1" x14ac:dyDescent="0.3"/>
    <row r="146" spans="1:1" ht="58.7" customHeight="1" x14ac:dyDescent="0.3">
      <c r="A146" s="1" t="s">
        <v>15</v>
      </c>
    </row>
  </sheetData>
  <mergeCells count="1">
    <mergeCell ref="B2:K2"/>
  </mergeCells>
  <dataValidations count="3">
    <dataValidation type="list" allowBlank="1" showInputMessage="1" showErrorMessage="1" sqref="G5:G71" xr:uid="{C42AE1BA-79F2-4A38-9C26-159643690B89}">
      <formula1>Types</formula1>
    </dataValidation>
    <dataValidation type="list" allowBlank="1" showInputMessage="1" showErrorMessage="1" sqref="I5:I71" xr:uid="{B1E573DC-84A3-4603-B14E-1DB1AAF4ECC1}">
      <formula1>Contraintes</formula1>
    </dataValidation>
    <dataValidation type="list" allowBlank="1" showInputMessage="1" showErrorMessage="1" sqref="J5:J71" xr:uid="{20735534-FB62-4EA6-A6BC-41C3782104FD}">
      <formula1>Calculs</formula1>
    </dataValidation>
  </dataValidations>
  <printOptions horizontalCentered="1" verticalCentered="1"/>
  <pageMargins left="0" right="0" top="0" bottom="0" header="0.31496062992125984" footer="0.31496062992125984"/>
  <pageSetup paperSize="9" scale="55" orientation="landscape" horizontalDpi="360" verticalDpi="36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0B086-A72E-469A-94EA-2771A17045E8}">
  <sheetPr>
    <pageSetUpPr fitToPage="1"/>
  </sheetPr>
  <dimension ref="A1:K212"/>
  <sheetViews>
    <sheetView topLeftCell="C24" zoomScale="50" zoomScaleNormal="50" workbookViewId="0">
      <selection activeCell="C32" sqref="A32:XFD32"/>
    </sheetView>
  </sheetViews>
  <sheetFormatPr baseColWidth="10" defaultColWidth="11.44140625" defaultRowHeight="14.4" outlineLevelCol="2" x14ac:dyDescent="0.3"/>
  <cols>
    <col min="1" max="1" width="16.88671875" style="159" hidden="1" customWidth="1" outlineLevel="2"/>
    <col min="2" max="2" width="11.44140625" style="159" hidden="1" customWidth="1" outlineLevel="2"/>
    <col min="3" max="3" width="17.109375" style="159" customWidth="1" outlineLevel="1" collapsed="1"/>
    <col min="4" max="4" width="32.109375" style="159" customWidth="1"/>
    <col min="5" max="5" width="58.21875" style="159" customWidth="1"/>
    <col min="6" max="6" width="23.5546875" style="160" customWidth="1"/>
    <col min="7" max="7" width="6.109375" style="160" customWidth="1"/>
    <col min="8" max="8" width="25.77734375" style="160" customWidth="1"/>
    <col min="9" max="9" width="20.6640625" style="159" hidden="1" customWidth="1"/>
    <col min="10" max="10" width="25.6640625" style="161" customWidth="1" outlineLevel="1"/>
    <col min="11" max="11" width="11.44140625" style="159" customWidth="1" outlineLevel="1"/>
    <col min="12" max="16384" width="11.44140625" style="159"/>
  </cols>
  <sheetData>
    <row r="1" spans="1:10" ht="20.7" thickBot="1" x14ac:dyDescent="0.35">
      <c r="A1" s="382" t="s">
        <v>238</v>
      </c>
      <c r="B1" s="382"/>
      <c r="C1" s="382"/>
      <c r="D1" s="382"/>
      <c r="E1" s="382"/>
      <c r="F1" s="382"/>
      <c r="G1" s="382"/>
      <c r="H1" s="382"/>
      <c r="I1" s="382"/>
      <c r="J1" s="382"/>
    </row>
    <row r="2" spans="1:10" ht="28.05" customHeight="1" thickBot="1" x14ac:dyDescent="0.35">
      <c r="A2" s="379" t="str">
        <f>"Entité ''"&amp;C5&amp;"''"</f>
        <v>Entité ''Personnes''</v>
      </c>
      <c r="B2" s="380"/>
      <c r="C2" s="380"/>
      <c r="D2" s="380"/>
      <c r="E2" s="380"/>
      <c r="F2" s="380"/>
      <c r="G2" s="380"/>
      <c r="H2" s="380"/>
      <c r="I2" s="380"/>
      <c r="J2" s="381"/>
    </row>
    <row r="3" spans="1:10" ht="30.05" customHeight="1" thickBot="1" x14ac:dyDescent="0.35">
      <c r="A3" s="162" t="s">
        <v>10</v>
      </c>
      <c r="B3" s="163" t="s">
        <v>9</v>
      </c>
      <c r="C3" s="164" t="s">
        <v>194</v>
      </c>
      <c r="D3" s="165" t="s">
        <v>1</v>
      </c>
      <c r="E3" s="165" t="s">
        <v>0</v>
      </c>
      <c r="F3" s="165" t="s">
        <v>2</v>
      </c>
      <c r="G3" s="165" t="s">
        <v>58</v>
      </c>
      <c r="H3" s="165" t="s">
        <v>3</v>
      </c>
      <c r="I3" s="165" t="s">
        <v>4</v>
      </c>
      <c r="J3" s="166" t="s">
        <v>5</v>
      </c>
    </row>
    <row r="4" spans="1:10" ht="15.85" hidden="1" customHeight="1" thickBot="1" x14ac:dyDescent="0.35">
      <c r="A4" s="26"/>
      <c r="B4" s="27"/>
      <c r="C4" s="167"/>
      <c r="D4" s="167"/>
      <c r="E4" s="167"/>
      <c r="F4" s="167"/>
      <c r="G4" s="167"/>
      <c r="H4" s="167"/>
      <c r="I4" s="167"/>
      <c r="J4" s="168"/>
    </row>
    <row r="5" spans="1:10" ht="20.05" customHeight="1" x14ac:dyDescent="0.3">
      <c r="A5" s="257"/>
      <c r="B5" s="258"/>
      <c r="C5" s="259" t="s">
        <v>268</v>
      </c>
      <c r="D5" s="271" t="s">
        <v>269</v>
      </c>
      <c r="E5" s="259" t="s">
        <v>270</v>
      </c>
      <c r="F5" s="259" t="s">
        <v>33</v>
      </c>
      <c r="G5" s="259"/>
      <c r="H5" s="259" t="s">
        <v>6</v>
      </c>
      <c r="I5" s="259"/>
      <c r="J5" s="260"/>
    </row>
    <row r="6" spans="1:10" ht="20.05" customHeight="1" x14ac:dyDescent="0.3">
      <c r="A6" s="261"/>
      <c r="B6" s="262"/>
      <c r="C6" s="263"/>
      <c r="D6" s="263" t="s">
        <v>271</v>
      </c>
      <c r="E6" s="263" t="s">
        <v>275</v>
      </c>
      <c r="F6" s="263" t="s">
        <v>42</v>
      </c>
      <c r="G6" s="263">
        <v>20</v>
      </c>
      <c r="H6" s="263"/>
      <c r="I6" s="263"/>
      <c r="J6" s="264"/>
    </row>
    <row r="7" spans="1:10" ht="20.05" customHeight="1" x14ac:dyDescent="0.3">
      <c r="A7" s="261"/>
      <c r="B7" s="262"/>
      <c r="C7" s="263"/>
      <c r="D7" s="263" t="s">
        <v>272</v>
      </c>
      <c r="E7" s="263" t="s">
        <v>276</v>
      </c>
      <c r="F7" s="263" t="s">
        <v>42</v>
      </c>
      <c r="G7" s="263">
        <v>20</v>
      </c>
      <c r="H7" s="263"/>
      <c r="I7" s="263"/>
      <c r="J7" s="264"/>
    </row>
    <row r="8" spans="1:10" ht="20.05" customHeight="1" x14ac:dyDescent="0.3">
      <c r="A8" s="261"/>
      <c r="B8" s="262"/>
      <c r="C8" s="263"/>
      <c r="D8" s="263" t="s">
        <v>273</v>
      </c>
      <c r="E8" s="263" t="s">
        <v>277</v>
      </c>
      <c r="F8" s="263" t="s">
        <v>42</v>
      </c>
      <c r="G8" s="263">
        <v>30</v>
      </c>
      <c r="H8" s="263"/>
      <c r="I8" s="263"/>
      <c r="J8" s="264"/>
    </row>
    <row r="9" spans="1:10" ht="20.05" customHeight="1" x14ac:dyDescent="0.3">
      <c r="A9" s="261"/>
      <c r="B9" s="262"/>
      <c r="C9" s="263"/>
      <c r="D9" s="263" t="s">
        <v>283</v>
      </c>
      <c r="E9" s="263" t="s">
        <v>278</v>
      </c>
      <c r="F9" s="263" t="s">
        <v>42</v>
      </c>
      <c r="G9" s="263">
        <v>255</v>
      </c>
      <c r="H9" s="263"/>
      <c r="I9" s="263"/>
      <c r="J9" s="264"/>
    </row>
    <row r="10" spans="1:10" ht="20.05" customHeight="1" x14ac:dyDescent="0.3">
      <c r="A10" s="261"/>
      <c r="B10" s="262"/>
      <c r="C10" s="263"/>
      <c r="D10" s="263" t="s">
        <v>240</v>
      </c>
      <c r="E10" s="263" t="s">
        <v>279</v>
      </c>
      <c r="F10" s="263" t="s">
        <v>42</v>
      </c>
      <c r="G10" s="263">
        <v>20</v>
      </c>
      <c r="H10" s="263"/>
      <c r="I10" s="263"/>
      <c r="J10" s="264"/>
    </row>
    <row r="11" spans="1:10" ht="20.05" customHeight="1" x14ac:dyDescent="0.3">
      <c r="A11" s="261"/>
      <c r="B11" s="262"/>
      <c r="C11" s="263"/>
      <c r="D11" s="263" t="s">
        <v>274</v>
      </c>
      <c r="E11" s="263" t="s">
        <v>280</v>
      </c>
      <c r="F11" s="263" t="s">
        <v>42</v>
      </c>
      <c r="G11" s="263">
        <v>100</v>
      </c>
      <c r="H11" s="263"/>
      <c r="I11" s="263"/>
      <c r="J11" s="264"/>
    </row>
    <row r="12" spans="1:10" ht="36.950000000000003" customHeight="1" x14ac:dyDescent="0.3">
      <c r="A12" s="261"/>
      <c r="B12" s="262"/>
      <c r="C12" s="263"/>
      <c r="D12" s="263" t="s">
        <v>284</v>
      </c>
      <c r="E12" s="263" t="s">
        <v>265</v>
      </c>
      <c r="F12" s="263" t="s">
        <v>248</v>
      </c>
      <c r="G12" s="263"/>
      <c r="H12" s="263"/>
      <c r="I12" s="263"/>
      <c r="J12" s="264" t="s">
        <v>285</v>
      </c>
    </row>
    <row r="13" spans="1:10" ht="66.400000000000006" customHeight="1" thickBot="1" x14ac:dyDescent="0.35">
      <c r="A13" s="265"/>
      <c r="B13" s="266"/>
      <c r="C13" s="267"/>
      <c r="D13" s="267" t="s">
        <v>286</v>
      </c>
      <c r="E13" s="267" t="s">
        <v>281</v>
      </c>
      <c r="F13" s="267" t="s">
        <v>42</v>
      </c>
      <c r="G13" s="267">
        <v>20</v>
      </c>
      <c r="H13" s="267" t="s">
        <v>243</v>
      </c>
      <c r="I13" s="267"/>
      <c r="J13" s="268" t="s">
        <v>365</v>
      </c>
    </row>
    <row r="14" spans="1:10" ht="15.05" thickBot="1" x14ac:dyDescent="0.35"/>
    <row r="15" spans="1:10" ht="28.05" customHeight="1" thickBot="1" x14ac:dyDescent="0.35">
      <c r="A15" s="379" t="str">
        <f>"Entité ''"&amp;C18&amp;"''"</f>
        <v>Entité ''Utilisateurs''</v>
      </c>
      <c r="B15" s="380"/>
      <c r="C15" s="380"/>
      <c r="D15" s="380"/>
      <c r="E15" s="380"/>
      <c r="F15" s="380"/>
      <c r="G15" s="380"/>
      <c r="H15" s="380"/>
      <c r="I15" s="380"/>
      <c r="J15" s="381"/>
    </row>
    <row r="16" spans="1:10" ht="30.05" customHeight="1" thickBot="1" x14ac:dyDescent="0.35">
      <c r="A16" s="162" t="s">
        <v>10</v>
      </c>
      <c r="B16" s="163" t="s">
        <v>9</v>
      </c>
      <c r="C16" s="164" t="s">
        <v>194</v>
      </c>
      <c r="D16" s="165" t="s">
        <v>1</v>
      </c>
      <c r="E16" s="165" t="s">
        <v>0</v>
      </c>
      <c r="F16" s="165" t="s">
        <v>2</v>
      </c>
      <c r="G16" s="165" t="s">
        <v>58</v>
      </c>
      <c r="H16" s="165" t="s">
        <v>3</v>
      </c>
      <c r="I16" s="165" t="s">
        <v>4</v>
      </c>
      <c r="J16" s="166" t="s">
        <v>5</v>
      </c>
    </row>
    <row r="17" spans="1:10" ht="15.85" hidden="1" customHeight="1" x14ac:dyDescent="0.3">
      <c r="A17" s="26"/>
      <c r="B17" s="27"/>
      <c r="C17" s="167"/>
      <c r="D17" s="167"/>
      <c r="E17" s="167"/>
      <c r="F17" s="167"/>
      <c r="G17" s="167"/>
      <c r="H17" s="167"/>
      <c r="I17" s="167"/>
      <c r="J17" s="168"/>
    </row>
    <row r="18" spans="1:10" ht="20.05" customHeight="1" x14ac:dyDescent="0.3">
      <c r="A18" s="30"/>
      <c r="B18" s="31"/>
      <c r="C18" s="169" t="s">
        <v>239</v>
      </c>
      <c r="D18" s="252" t="s">
        <v>282</v>
      </c>
      <c r="E18" s="253" t="s">
        <v>282</v>
      </c>
      <c r="F18" s="169"/>
      <c r="G18" s="169"/>
      <c r="H18" s="169"/>
      <c r="I18" s="169"/>
      <c r="J18" s="170"/>
    </row>
    <row r="19" spans="1:10" ht="20.05" customHeight="1" x14ac:dyDescent="0.3">
      <c r="A19" s="22"/>
      <c r="B19" s="15"/>
      <c r="C19" s="171"/>
      <c r="D19" s="171" t="s">
        <v>79</v>
      </c>
      <c r="E19" s="171" t="s">
        <v>198</v>
      </c>
      <c r="F19" s="171" t="s">
        <v>42</v>
      </c>
      <c r="G19" s="171">
        <v>20</v>
      </c>
      <c r="H19" s="171"/>
      <c r="I19" s="171"/>
      <c r="J19" s="172"/>
    </row>
    <row r="20" spans="1:10" ht="20.05" customHeight="1" thickBot="1" x14ac:dyDescent="0.35">
      <c r="A20" s="34"/>
      <c r="B20" s="35"/>
      <c r="C20" s="254"/>
      <c r="D20" s="254" t="s">
        <v>80</v>
      </c>
      <c r="E20" s="254" t="s">
        <v>199</v>
      </c>
      <c r="F20" s="254" t="s">
        <v>42</v>
      </c>
      <c r="G20" s="254" t="s">
        <v>60</v>
      </c>
      <c r="H20" s="254" t="s">
        <v>59</v>
      </c>
      <c r="I20" s="254"/>
      <c r="J20" s="255"/>
    </row>
    <row r="21" spans="1:10" ht="15.05" thickBot="1" x14ac:dyDescent="0.35"/>
    <row r="22" spans="1:10" ht="28.05" customHeight="1" thickBot="1" x14ac:dyDescent="0.35">
      <c r="A22" s="379" t="str">
        <f>"Entité ''"&amp;C24&amp;"''"</f>
        <v>Entité ''Projets''</v>
      </c>
      <c r="B22" s="380"/>
      <c r="C22" s="380"/>
      <c r="D22" s="380"/>
      <c r="E22" s="380"/>
      <c r="F22" s="380"/>
      <c r="G22" s="380"/>
      <c r="H22" s="380"/>
      <c r="I22" s="380"/>
      <c r="J22" s="381"/>
    </row>
    <row r="23" spans="1:10" s="174" customFormat="1" ht="30.05" customHeight="1" thickBot="1" x14ac:dyDescent="0.35">
      <c r="A23" s="164" t="s">
        <v>10</v>
      </c>
      <c r="B23" s="173" t="s">
        <v>9</v>
      </c>
      <c r="C23" s="164" t="s">
        <v>194</v>
      </c>
      <c r="D23" s="165" t="s">
        <v>1</v>
      </c>
      <c r="E23" s="165" t="s">
        <v>0</v>
      </c>
      <c r="F23" s="165" t="s">
        <v>2</v>
      </c>
      <c r="G23" s="165" t="s">
        <v>58</v>
      </c>
      <c r="H23" s="165" t="s">
        <v>3</v>
      </c>
      <c r="I23" s="165" t="s">
        <v>4</v>
      </c>
      <c r="J23" s="166" t="s">
        <v>5</v>
      </c>
    </row>
    <row r="24" spans="1:10" s="174" customFormat="1" ht="20.05" customHeight="1" x14ac:dyDescent="0.3">
      <c r="A24" s="175"/>
      <c r="B24" s="176"/>
      <c r="C24" s="177" t="s">
        <v>200</v>
      </c>
      <c r="D24" s="272" t="s">
        <v>287</v>
      </c>
      <c r="E24" s="177" t="s">
        <v>61</v>
      </c>
      <c r="F24" s="177" t="s">
        <v>33</v>
      </c>
      <c r="G24" s="177"/>
      <c r="H24" s="177" t="s">
        <v>6</v>
      </c>
      <c r="I24" s="177"/>
      <c r="J24" s="178"/>
    </row>
    <row r="25" spans="1:10" s="174" customFormat="1" ht="20.05" customHeight="1" x14ac:dyDescent="0.3">
      <c r="A25" s="179"/>
      <c r="B25" s="180"/>
      <c r="C25" s="181"/>
      <c r="D25" s="181" t="s">
        <v>81</v>
      </c>
      <c r="E25" s="181" t="s">
        <v>70</v>
      </c>
      <c r="F25" s="181" t="s">
        <v>42</v>
      </c>
      <c r="G25" s="181">
        <v>50</v>
      </c>
      <c r="H25" s="181" t="s">
        <v>14</v>
      </c>
      <c r="I25" s="181"/>
      <c r="J25" s="182"/>
    </row>
    <row r="26" spans="1:10" s="174" customFormat="1" ht="20.05" customHeight="1" x14ac:dyDescent="0.3">
      <c r="A26" s="179"/>
      <c r="B26" s="180"/>
      <c r="C26" s="181"/>
      <c r="D26" s="181" t="s">
        <v>288</v>
      </c>
      <c r="E26" s="181" t="s">
        <v>62</v>
      </c>
      <c r="F26" s="181" t="s">
        <v>42</v>
      </c>
      <c r="G26" s="181">
        <v>255</v>
      </c>
      <c r="H26" s="181"/>
      <c r="I26" s="181"/>
      <c r="J26" s="182"/>
    </row>
    <row r="27" spans="1:10" s="174" customFormat="1" ht="20.05" customHeight="1" x14ac:dyDescent="0.3">
      <c r="A27" s="179"/>
      <c r="B27" s="180"/>
      <c r="C27" s="181"/>
      <c r="D27" s="181" t="s">
        <v>341</v>
      </c>
      <c r="E27" s="181" t="s">
        <v>63</v>
      </c>
      <c r="F27" s="181" t="s">
        <v>46</v>
      </c>
      <c r="G27" s="181"/>
      <c r="H27" s="181"/>
      <c r="I27" s="181"/>
      <c r="J27" s="182"/>
    </row>
    <row r="28" spans="1:10" s="174" customFormat="1" ht="20.05" customHeight="1" x14ac:dyDescent="0.3">
      <c r="A28" s="179"/>
      <c r="B28" s="180"/>
      <c r="C28" s="181"/>
      <c r="D28" s="181" t="s">
        <v>289</v>
      </c>
      <c r="E28" s="181" t="s">
        <v>64</v>
      </c>
      <c r="F28" s="181" t="s">
        <v>66</v>
      </c>
      <c r="G28" s="181"/>
      <c r="H28" s="181" t="s">
        <v>67</v>
      </c>
      <c r="I28" s="181"/>
      <c r="J28" s="182"/>
    </row>
    <row r="29" spans="1:10" s="174" customFormat="1" ht="20.05" customHeight="1" x14ac:dyDescent="0.3">
      <c r="A29" s="179"/>
      <c r="B29" s="180"/>
      <c r="C29" s="181"/>
      <c r="D29" s="181" t="s">
        <v>290</v>
      </c>
      <c r="E29" s="181" t="s">
        <v>65</v>
      </c>
      <c r="F29" s="181" t="s">
        <v>66</v>
      </c>
      <c r="G29" s="181"/>
      <c r="H29" s="181" t="s">
        <v>67</v>
      </c>
      <c r="I29" s="181"/>
      <c r="J29" s="182"/>
    </row>
    <row r="30" spans="1:10" s="174" customFormat="1" ht="20.05" customHeight="1" x14ac:dyDescent="0.3">
      <c r="A30" s="179"/>
      <c r="B30" s="180"/>
      <c r="C30" s="181"/>
      <c r="D30" s="181" t="s">
        <v>291</v>
      </c>
      <c r="E30" s="181" t="s">
        <v>127</v>
      </c>
      <c r="F30" s="181" t="s">
        <v>66</v>
      </c>
      <c r="G30" s="181"/>
      <c r="H30" s="181" t="s">
        <v>67</v>
      </c>
      <c r="I30" s="181"/>
      <c r="J30" s="182"/>
    </row>
    <row r="31" spans="1:10" s="174" customFormat="1" ht="20.05" customHeight="1" x14ac:dyDescent="0.3">
      <c r="A31" s="179"/>
      <c r="B31" s="180"/>
      <c r="C31" s="181"/>
      <c r="D31" s="181" t="s">
        <v>292</v>
      </c>
      <c r="E31" s="181" t="s">
        <v>86</v>
      </c>
      <c r="F31" s="181" t="s">
        <v>42</v>
      </c>
      <c r="G31" s="181">
        <v>255</v>
      </c>
      <c r="H31" s="181"/>
      <c r="I31" s="181"/>
      <c r="J31" s="182"/>
    </row>
    <row r="32" spans="1:10" s="174" customFormat="1" ht="167.8" customHeight="1" thickBot="1" x14ac:dyDescent="0.35">
      <c r="A32" s="183"/>
      <c r="B32" s="184"/>
      <c r="C32" s="185"/>
      <c r="D32" s="185" t="s">
        <v>293</v>
      </c>
      <c r="E32" s="185" t="s">
        <v>294</v>
      </c>
      <c r="F32" s="185" t="s">
        <v>42</v>
      </c>
      <c r="G32" s="185">
        <v>50</v>
      </c>
      <c r="H32" s="185" t="s">
        <v>243</v>
      </c>
      <c r="I32" s="185"/>
      <c r="J32" s="186" t="s">
        <v>2087</v>
      </c>
    </row>
    <row r="33" spans="1:10" ht="15.05" thickBot="1" x14ac:dyDescent="0.35"/>
    <row r="34" spans="1:10" ht="28.05" customHeight="1" thickBot="1" x14ac:dyDescent="0.35">
      <c r="A34" s="379" t="str">
        <f>"Entité ''"&amp;C36&amp;"''"</f>
        <v>Entité ''Taches''</v>
      </c>
      <c r="B34" s="380"/>
      <c r="C34" s="380"/>
      <c r="D34" s="380"/>
      <c r="E34" s="380"/>
      <c r="F34" s="380"/>
      <c r="G34" s="380"/>
      <c r="H34" s="380"/>
      <c r="I34" s="380"/>
      <c r="J34" s="381"/>
    </row>
    <row r="35" spans="1:10" s="174" customFormat="1" ht="30.05" customHeight="1" thickBot="1" x14ac:dyDescent="0.35">
      <c r="A35" s="164" t="s">
        <v>10</v>
      </c>
      <c r="B35" s="173" t="s">
        <v>9</v>
      </c>
      <c r="C35" s="164" t="s">
        <v>194</v>
      </c>
      <c r="D35" s="165" t="s">
        <v>1</v>
      </c>
      <c r="E35" s="165" t="s">
        <v>0</v>
      </c>
      <c r="F35" s="165" t="s">
        <v>2</v>
      </c>
      <c r="G35" s="165" t="s">
        <v>58</v>
      </c>
      <c r="H35" s="165" t="s">
        <v>3</v>
      </c>
      <c r="I35" s="165" t="s">
        <v>4</v>
      </c>
      <c r="J35" s="166" t="s">
        <v>5</v>
      </c>
    </row>
    <row r="36" spans="1:10" ht="20.05" customHeight="1" x14ac:dyDescent="0.3">
      <c r="A36" s="51"/>
      <c r="B36" s="52"/>
      <c r="C36" s="187" t="s">
        <v>353</v>
      </c>
      <c r="D36" s="273" t="s">
        <v>72</v>
      </c>
      <c r="E36" s="187" t="s">
        <v>73</v>
      </c>
      <c r="F36" s="187" t="s">
        <v>33</v>
      </c>
      <c r="G36" s="187"/>
      <c r="H36" s="187" t="s">
        <v>6</v>
      </c>
      <c r="I36" s="187"/>
      <c r="J36" s="188"/>
    </row>
    <row r="37" spans="1:10" ht="20.05" customHeight="1" x14ac:dyDescent="0.3">
      <c r="A37" s="46"/>
      <c r="B37" s="47"/>
      <c r="C37" s="189"/>
      <c r="D37" s="189" t="s">
        <v>355</v>
      </c>
      <c r="E37" s="189" t="s">
        <v>339</v>
      </c>
      <c r="F37" s="189" t="s">
        <v>33</v>
      </c>
      <c r="G37" s="189"/>
      <c r="H37" s="189" t="s">
        <v>336</v>
      </c>
      <c r="I37" s="189"/>
      <c r="J37" s="190" t="s">
        <v>354</v>
      </c>
    </row>
    <row r="38" spans="1:10" ht="20.05" customHeight="1" x14ac:dyDescent="0.3">
      <c r="A38" s="46"/>
      <c r="B38" s="47"/>
      <c r="C38" s="189"/>
      <c r="D38" s="189" t="s">
        <v>337</v>
      </c>
      <c r="E38" s="189" t="s">
        <v>137</v>
      </c>
      <c r="F38" s="189" t="s">
        <v>42</v>
      </c>
      <c r="G38" s="189">
        <v>255</v>
      </c>
      <c r="H38" s="189"/>
      <c r="I38" s="189"/>
      <c r="J38" s="190"/>
    </row>
    <row r="39" spans="1:10" ht="20.05" customHeight="1" x14ac:dyDescent="0.3">
      <c r="A39" s="46"/>
      <c r="B39" s="47"/>
      <c r="C39" s="189"/>
      <c r="D39" s="189" t="s">
        <v>340</v>
      </c>
      <c r="E39" s="189" t="s">
        <v>138</v>
      </c>
      <c r="F39" s="189" t="s">
        <v>46</v>
      </c>
      <c r="G39" s="189">
        <v>1500</v>
      </c>
      <c r="H39" s="189"/>
      <c r="I39" s="189"/>
      <c r="J39" s="190"/>
    </row>
    <row r="40" spans="1:10" ht="78.3" customHeight="1" x14ac:dyDescent="0.3">
      <c r="A40" s="46"/>
      <c r="B40" s="47"/>
      <c r="C40" s="189"/>
      <c r="D40" s="189" t="s">
        <v>266</v>
      </c>
      <c r="E40" s="189" t="s">
        <v>267</v>
      </c>
      <c r="F40" s="189" t="s">
        <v>42</v>
      </c>
      <c r="G40" s="189">
        <v>20</v>
      </c>
      <c r="H40" s="189" t="s">
        <v>243</v>
      </c>
      <c r="I40" s="189"/>
      <c r="J40" s="190" t="s">
        <v>362</v>
      </c>
    </row>
    <row r="41" spans="1:10" ht="90.35" customHeight="1" x14ac:dyDescent="0.3">
      <c r="A41" s="46"/>
      <c r="B41" s="47"/>
      <c r="C41" s="189"/>
      <c r="D41" s="189" t="s">
        <v>244</v>
      </c>
      <c r="E41" s="189" t="s">
        <v>295</v>
      </c>
      <c r="F41" s="189" t="s">
        <v>42</v>
      </c>
      <c r="G41" s="189">
        <v>20</v>
      </c>
      <c r="H41" s="189" t="s">
        <v>243</v>
      </c>
      <c r="I41" s="189"/>
      <c r="J41" s="190" t="s">
        <v>363</v>
      </c>
    </row>
    <row r="42" spans="1:10" ht="90.35" customHeight="1" x14ac:dyDescent="0.3">
      <c r="A42" s="46"/>
      <c r="B42" s="47"/>
      <c r="C42" s="189"/>
      <c r="D42" s="189" t="s">
        <v>296</v>
      </c>
      <c r="E42" s="189" t="s">
        <v>297</v>
      </c>
      <c r="F42" s="189" t="s">
        <v>42</v>
      </c>
      <c r="G42" s="189">
        <v>20</v>
      </c>
      <c r="H42" s="189" t="s">
        <v>243</v>
      </c>
      <c r="I42" s="189"/>
      <c r="J42" s="190" t="s">
        <v>364</v>
      </c>
    </row>
    <row r="43" spans="1:10" ht="20.05" customHeight="1" x14ac:dyDescent="0.25">
      <c r="A43" s="46"/>
      <c r="B43" s="47"/>
      <c r="C43" s="189"/>
      <c r="D43" s="189" t="s">
        <v>298</v>
      </c>
      <c r="E43" s="189" t="s">
        <v>204</v>
      </c>
      <c r="F43" s="189" t="s">
        <v>66</v>
      </c>
      <c r="G43" s="189"/>
      <c r="H43" s="189" t="s">
        <v>67</v>
      </c>
      <c r="I43" s="189"/>
      <c r="J43" s="191"/>
    </row>
    <row r="44" spans="1:10" ht="20.05" customHeight="1" x14ac:dyDescent="0.25">
      <c r="A44" s="46"/>
      <c r="B44" s="47"/>
      <c r="C44" s="189"/>
      <c r="D44" s="189" t="s">
        <v>299</v>
      </c>
      <c r="E44" s="189" t="s">
        <v>206</v>
      </c>
      <c r="F44" s="189" t="s">
        <v>66</v>
      </c>
      <c r="G44" s="189"/>
      <c r="H44" s="189" t="s">
        <v>67</v>
      </c>
      <c r="I44" s="189"/>
      <c r="J44" s="191"/>
    </row>
    <row r="45" spans="1:10" ht="20.05" customHeight="1" x14ac:dyDescent="0.25">
      <c r="A45" s="46"/>
      <c r="B45" s="47"/>
      <c r="C45" s="189"/>
      <c r="D45" s="189" t="s">
        <v>300</v>
      </c>
      <c r="E45" s="189" t="s">
        <v>208</v>
      </c>
      <c r="F45" s="189" t="s">
        <v>66</v>
      </c>
      <c r="G45" s="189"/>
      <c r="H45" s="189" t="s">
        <v>67</v>
      </c>
      <c r="I45" s="189"/>
      <c r="J45" s="191"/>
    </row>
    <row r="46" spans="1:10" ht="20.05" customHeight="1" x14ac:dyDescent="0.25">
      <c r="A46" s="46"/>
      <c r="B46" s="47"/>
      <c r="C46" s="189"/>
      <c r="D46" s="189" t="s">
        <v>301</v>
      </c>
      <c r="E46" s="189" t="s">
        <v>140</v>
      </c>
      <c r="F46" s="189" t="s">
        <v>66</v>
      </c>
      <c r="G46" s="189"/>
      <c r="H46" s="189" t="s">
        <v>67</v>
      </c>
      <c r="I46" s="189"/>
      <c r="J46" s="191"/>
    </row>
    <row r="47" spans="1:10" ht="20.05" customHeight="1" thickBot="1" x14ac:dyDescent="0.3">
      <c r="A47" s="55"/>
      <c r="B47" s="56"/>
      <c r="C47" s="192"/>
      <c r="D47" s="192" t="s">
        <v>302</v>
      </c>
      <c r="E47" s="192" t="s">
        <v>245</v>
      </c>
      <c r="F47" s="192" t="s">
        <v>66</v>
      </c>
      <c r="G47" s="192"/>
      <c r="H47" s="192" t="s">
        <v>67</v>
      </c>
      <c r="I47" s="192"/>
      <c r="J47" s="238"/>
    </row>
    <row r="48" spans="1:10" ht="15.05" thickBot="1" x14ac:dyDescent="0.35"/>
    <row r="49" spans="1:10" ht="28.05" customHeight="1" thickBot="1" x14ac:dyDescent="0.35">
      <c r="A49" s="379" t="str">
        <f>"Entité ''"&amp;C51&amp;"''"</f>
        <v>Entité ''CarnetClients''</v>
      </c>
      <c r="B49" s="380"/>
      <c r="C49" s="380"/>
      <c r="D49" s="380"/>
      <c r="E49" s="380"/>
      <c r="F49" s="380"/>
      <c r="G49" s="380"/>
      <c r="H49" s="380"/>
      <c r="I49" s="380"/>
      <c r="J49" s="381"/>
    </row>
    <row r="50" spans="1:10" ht="30.05" customHeight="1" thickBot="1" x14ac:dyDescent="0.35">
      <c r="A50" s="162" t="s">
        <v>10</v>
      </c>
      <c r="B50" s="163" t="s">
        <v>9</v>
      </c>
      <c r="C50" s="164" t="s">
        <v>194</v>
      </c>
      <c r="D50" s="165" t="s">
        <v>1</v>
      </c>
      <c r="E50" s="165" t="s">
        <v>0</v>
      </c>
      <c r="F50" s="165" t="s">
        <v>2</v>
      </c>
      <c r="G50" s="165" t="s">
        <v>58</v>
      </c>
      <c r="H50" s="165" t="s">
        <v>3</v>
      </c>
      <c r="I50" s="165" t="s">
        <v>4</v>
      </c>
      <c r="J50" s="166" t="s">
        <v>5</v>
      </c>
    </row>
    <row r="51" spans="1:10" ht="20.05" customHeight="1" x14ac:dyDescent="0.3">
      <c r="A51" s="63"/>
      <c r="B51" s="64"/>
      <c r="C51" s="193" t="s">
        <v>1916</v>
      </c>
      <c r="D51" s="256" t="s">
        <v>282</v>
      </c>
      <c r="E51" s="256" t="s">
        <v>282</v>
      </c>
      <c r="F51" s="193"/>
      <c r="G51" s="193"/>
      <c r="H51" s="193"/>
      <c r="I51" s="193"/>
      <c r="J51" s="194"/>
    </row>
    <row r="52" spans="1:10" ht="20.05" customHeight="1" x14ac:dyDescent="0.3">
      <c r="A52" s="59"/>
      <c r="B52" s="60"/>
      <c r="C52" s="195"/>
      <c r="D52" s="195" t="s">
        <v>246</v>
      </c>
      <c r="E52" s="195" t="s">
        <v>247</v>
      </c>
      <c r="F52" s="195" t="s">
        <v>248</v>
      </c>
      <c r="G52" s="195"/>
      <c r="H52" s="195"/>
      <c r="I52" s="195"/>
      <c r="J52" s="196" t="s">
        <v>249</v>
      </c>
    </row>
    <row r="53" spans="1:10" ht="28.2" customHeight="1" x14ac:dyDescent="0.3">
      <c r="A53" s="59"/>
      <c r="B53" s="60"/>
      <c r="C53" s="195"/>
      <c r="D53" s="195" t="s">
        <v>250</v>
      </c>
      <c r="E53" s="195" t="s">
        <v>251</v>
      </c>
      <c r="F53" s="195" t="s">
        <v>42</v>
      </c>
      <c r="G53" s="195">
        <v>20</v>
      </c>
      <c r="H53" s="195" t="s">
        <v>14</v>
      </c>
      <c r="I53" s="195"/>
      <c r="J53" s="243"/>
    </row>
    <row r="54" spans="1:10" ht="20.05" customHeight="1" x14ac:dyDescent="0.3">
      <c r="A54" s="59"/>
      <c r="B54" s="60"/>
      <c r="C54" s="195"/>
      <c r="D54" s="195" t="s">
        <v>252</v>
      </c>
      <c r="E54" s="195" t="s">
        <v>253</v>
      </c>
      <c r="F54" s="195" t="s">
        <v>42</v>
      </c>
      <c r="G54" s="195">
        <v>20</v>
      </c>
      <c r="H54" s="195"/>
      <c r="I54" s="195"/>
      <c r="J54" s="196"/>
    </row>
    <row r="55" spans="1:10" ht="20.05" customHeight="1" x14ac:dyDescent="0.3">
      <c r="A55" s="59"/>
      <c r="B55" s="60"/>
      <c r="C55" s="195"/>
      <c r="D55" s="195" t="s">
        <v>356</v>
      </c>
      <c r="E55" s="195" t="s">
        <v>254</v>
      </c>
      <c r="F55" s="195" t="s">
        <v>42</v>
      </c>
      <c r="G55" s="195">
        <v>10</v>
      </c>
      <c r="H55" s="195"/>
      <c r="I55" s="195"/>
      <c r="J55" s="196"/>
    </row>
    <row r="56" spans="1:10" ht="20.05" customHeight="1" x14ac:dyDescent="0.3">
      <c r="A56" s="59"/>
      <c r="B56" s="60"/>
      <c r="C56" s="195"/>
      <c r="D56" s="195" t="s">
        <v>1915</v>
      </c>
      <c r="E56" s="195" t="s">
        <v>255</v>
      </c>
      <c r="F56" s="195" t="s">
        <v>42</v>
      </c>
      <c r="G56" s="195">
        <v>30</v>
      </c>
      <c r="H56" s="195"/>
      <c r="I56" s="195"/>
      <c r="J56" s="196"/>
    </row>
    <row r="57" spans="1:10" ht="20.05" customHeight="1" thickBot="1" x14ac:dyDescent="0.35">
      <c r="A57" s="239"/>
      <c r="B57" s="240"/>
      <c r="C57" s="241"/>
      <c r="D57" s="241" t="s">
        <v>1917</v>
      </c>
      <c r="E57" s="241" t="s">
        <v>256</v>
      </c>
      <c r="F57" s="195" t="s">
        <v>42</v>
      </c>
      <c r="G57" s="241">
        <v>255</v>
      </c>
      <c r="H57" s="241"/>
      <c r="I57" s="241"/>
      <c r="J57" s="242"/>
    </row>
    <row r="58" spans="1:10" ht="15.05" thickBot="1" x14ac:dyDescent="0.35"/>
    <row r="59" spans="1:10" ht="28.05" customHeight="1" thickBot="1" x14ac:dyDescent="0.35">
      <c r="A59" s="379" t="str">
        <f>"Entité ''"&amp;C61&amp;"''"</f>
        <v>Entité ''Documents''</v>
      </c>
      <c r="B59" s="380"/>
      <c r="C59" s="380"/>
      <c r="D59" s="380"/>
      <c r="E59" s="380"/>
      <c r="F59" s="380"/>
      <c r="G59" s="380"/>
      <c r="H59" s="380"/>
      <c r="I59" s="380"/>
      <c r="J59" s="381"/>
    </row>
    <row r="60" spans="1:10" ht="30.05" customHeight="1" x14ac:dyDescent="0.3">
      <c r="A60" s="162" t="s">
        <v>10</v>
      </c>
      <c r="B60" s="163" t="s">
        <v>9</v>
      </c>
      <c r="C60" s="164" t="s">
        <v>194</v>
      </c>
      <c r="D60" s="165" t="s">
        <v>1</v>
      </c>
      <c r="E60" s="165" t="s">
        <v>0</v>
      </c>
      <c r="F60" s="165" t="s">
        <v>2</v>
      </c>
      <c r="G60" s="165" t="s">
        <v>58</v>
      </c>
      <c r="H60" s="165" t="s">
        <v>3</v>
      </c>
      <c r="I60" s="165" t="s">
        <v>4</v>
      </c>
      <c r="J60" s="166" t="s">
        <v>5</v>
      </c>
    </row>
    <row r="61" spans="1:10" ht="20.05" customHeight="1" x14ac:dyDescent="0.3">
      <c r="A61" s="75"/>
      <c r="B61" s="76"/>
      <c r="C61" s="197" t="s">
        <v>87</v>
      </c>
      <c r="D61" s="274" t="s">
        <v>346</v>
      </c>
      <c r="E61" s="197" t="s">
        <v>89</v>
      </c>
      <c r="F61" s="197" t="s">
        <v>33</v>
      </c>
      <c r="G61" s="197"/>
      <c r="H61" s="197" t="s">
        <v>6</v>
      </c>
      <c r="I61" s="197"/>
      <c r="J61" s="198"/>
    </row>
    <row r="62" spans="1:10" ht="20.05" customHeight="1" x14ac:dyDescent="0.3">
      <c r="A62" s="75"/>
      <c r="B62" s="76"/>
      <c r="C62" s="197"/>
      <c r="D62" s="197" t="s">
        <v>211</v>
      </c>
      <c r="E62" s="197" t="s">
        <v>257</v>
      </c>
      <c r="F62" s="197" t="s">
        <v>38</v>
      </c>
      <c r="G62" s="197"/>
      <c r="H62" s="197" t="s">
        <v>117</v>
      </c>
      <c r="I62" s="197"/>
      <c r="J62" s="198"/>
    </row>
    <row r="63" spans="1:10" ht="135.25" customHeight="1" x14ac:dyDescent="0.3">
      <c r="A63" s="75"/>
      <c r="B63" s="76"/>
      <c r="C63" s="197"/>
      <c r="D63" s="197" t="s">
        <v>168</v>
      </c>
      <c r="E63" s="197" t="s">
        <v>90</v>
      </c>
      <c r="F63" s="197" t="s">
        <v>42</v>
      </c>
      <c r="G63" s="197">
        <v>20</v>
      </c>
      <c r="H63" s="197" t="s">
        <v>243</v>
      </c>
      <c r="I63" s="197"/>
      <c r="J63" s="198" t="s">
        <v>366</v>
      </c>
    </row>
    <row r="64" spans="1:10" ht="20.05" customHeight="1" x14ac:dyDescent="0.3">
      <c r="A64" s="75"/>
      <c r="B64" s="76"/>
      <c r="C64" s="197"/>
      <c r="D64" s="197" t="s">
        <v>303</v>
      </c>
      <c r="E64" s="197" t="s">
        <v>172</v>
      </c>
      <c r="F64" s="197" t="s">
        <v>42</v>
      </c>
      <c r="G64" s="197">
        <v>50</v>
      </c>
      <c r="H64" s="197"/>
      <c r="I64" s="197"/>
      <c r="J64" s="198"/>
    </row>
    <row r="65" spans="1:10" ht="20.05" customHeight="1" x14ac:dyDescent="0.3">
      <c r="A65" s="75"/>
      <c r="B65" s="76"/>
      <c r="C65" s="197"/>
      <c r="D65" s="197" t="s">
        <v>304</v>
      </c>
      <c r="E65" s="197" t="s">
        <v>305</v>
      </c>
      <c r="F65" s="197" t="s">
        <v>42</v>
      </c>
      <c r="G65" s="197">
        <v>255</v>
      </c>
      <c r="H65" s="197"/>
      <c r="I65" s="197"/>
      <c r="J65" s="198"/>
    </row>
    <row r="66" spans="1:10" ht="20.05" customHeight="1" thickBot="1" x14ac:dyDescent="0.35">
      <c r="A66" s="79"/>
      <c r="B66" s="80"/>
      <c r="C66" s="199"/>
      <c r="D66" s="199" t="s">
        <v>213</v>
      </c>
      <c r="E66" s="199" t="s">
        <v>214</v>
      </c>
      <c r="F66" s="199" t="s">
        <v>46</v>
      </c>
      <c r="G66" s="199"/>
      <c r="H66" s="199"/>
      <c r="I66" s="199"/>
      <c r="J66" s="200"/>
    </row>
    <row r="67" spans="1:10" ht="15.05" thickBot="1" x14ac:dyDescent="0.35"/>
    <row r="68" spans="1:10" ht="28.05" customHeight="1" thickBot="1" x14ac:dyDescent="0.35">
      <c r="A68" s="379" t="str">
        <f>"Entité ''"&amp;C70&amp;"''"</f>
        <v>Entité ''Generateur''</v>
      </c>
      <c r="B68" s="380"/>
      <c r="C68" s="380"/>
      <c r="D68" s="380"/>
      <c r="E68" s="380"/>
      <c r="F68" s="380"/>
      <c r="G68" s="380"/>
      <c r="H68" s="380"/>
      <c r="I68" s="380"/>
      <c r="J68" s="381"/>
    </row>
    <row r="69" spans="1:10" ht="30.05" customHeight="1" thickBot="1" x14ac:dyDescent="0.35">
      <c r="A69" s="162" t="s">
        <v>10</v>
      </c>
      <c r="B69" s="163" t="s">
        <v>9</v>
      </c>
      <c r="C69" s="164" t="s">
        <v>194</v>
      </c>
      <c r="D69" s="165" t="s">
        <v>1</v>
      </c>
      <c r="E69" s="165" t="s">
        <v>0</v>
      </c>
      <c r="F69" s="165" t="s">
        <v>2</v>
      </c>
      <c r="G69" s="165" t="s">
        <v>58</v>
      </c>
      <c r="H69" s="165" t="s">
        <v>3</v>
      </c>
      <c r="I69" s="165" t="s">
        <v>4</v>
      </c>
      <c r="J69" s="166" t="s">
        <v>5</v>
      </c>
    </row>
    <row r="70" spans="1:10" ht="20.05" customHeight="1" x14ac:dyDescent="0.3">
      <c r="A70" s="83"/>
      <c r="B70" s="285"/>
      <c r="C70" s="287" t="s">
        <v>347</v>
      </c>
      <c r="D70" s="288" t="s">
        <v>349</v>
      </c>
      <c r="E70" s="289" t="s">
        <v>350</v>
      </c>
      <c r="F70" s="289" t="s">
        <v>33</v>
      </c>
      <c r="G70" s="289"/>
      <c r="H70" s="289" t="s">
        <v>6</v>
      </c>
      <c r="I70" s="289"/>
      <c r="J70" s="290"/>
    </row>
    <row r="71" spans="1:10" ht="20.05" customHeight="1" thickBot="1" x14ac:dyDescent="0.35">
      <c r="A71" s="330"/>
      <c r="B71" s="331"/>
      <c r="C71" s="332"/>
      <c r="D71" s="292" t="s">
        <v>351</v>
      </c>
      <c r="E71" s="292" t="s">
        <v>352</v>
      </c>
      <c r="F71" s="292" t="s">
        <v>66</v>
      </c>
      <c r="G71" s="292"/>
      <c r="H71" s="292" t="s">
        <v>67</v>
      </c>
      <c r="I71" s="292"/>
      <c r="J71" s="293"/>
    </row>
    <row r="72" spans="1:10" ht="154.05000000000001" customHeight="1" thickBot="1" x14ac:dyDescent="0.35">
      <c r="A72" s="87"/>
      <c r="B72" s="286"/>
      <c r="C72" s="291"/>
      <c r="D72" s="292" t="s">
        <v>168</v>
      </c>
      <c r="E72" s="292" t="s">
        <v>1806</v>
      </c>
      <c r="F72" s="292" t="s">
        <v>42</v>
      </c>
      <c r="G72" s="292">
        <v>20</v>
      </c>
      <c r="H72" s="292"/>
      <c r="I72" s="292"/>
      <c r="J72" s="293" t="s">
        <v>1807</v>
      </c>
    </row>
    <row r="73" spans="1:10" ht="15.05" thickBot="1" x14ac:dyDescent="0.35"/>
    <row r="74" spans="1:10" ht="28.05" customHeight="1" thickBot="1" x14ac:dyDescent="0.35">
      <c r="A74" s="379" t="str">
        <f>"Entité ''"&amp;C76&amp;"''"</f>
        <v>Entité ''Devis''</v>
      </c>
      <c r="B74" s="380"/>
      <c r="C74" s="380"/>
      <c r="D74" s="380"/>
      <c r="E74" s="380"/>
      <c r="F74" s="380"/>
      <c r="G74" s="380"/>
      <c r="H74" s="380"/>
      <c r="I74" s="380"/>
      <c r="J74" s="381"/>
    </row>
    <row r="75" spans="1:10" ht="30.05" customHeight="1" thickBot="1" x14ac:dyDescent="0.35">
      <c r="A75" s="162" t="s">
        <v>10</v>
      </c>
      <c r="B75" s="163" t="s">
        <v>9</v>
      </c>
      <c r="C75" s="164" t="s">
        <v>194</v>
      </c>
      <c r="D75" s="165" t="s">
        <v>1</v>
      </c>
      <c r="E75" s="165" t="s">
        <v>0</v>
      </c>
      <c r="F75" s="165" t="s">
        <v>2</v>
      </c>
      <c r="G75" s="165" t="s">
        <v>58</v>
      </c>
      <c r="H75" s="165" t="s">
        <v>3</v>
      </c>
      <c r="I75" s="165" t="s">
        <v>4</v>
      </c>
      <c r="J75" s="166" t="s">
        <v>5</v>
      </c>
    </row>
    <row r="76" spans="1:10" ht="20.05" customHeight="1" x14ac:dyDescent="0.3">
      <c r="A76" s="83"/>
      <c r="B76" s="84"/>
      <c r="C76" s="201" t="s">
        <v>104</v>
      </c>
      <c r="D76" s="275" t="s">
        <v>128</v>
      </c>
      <c r="E76" s="201" t="s">
        <v>129</v>
      </c>
      <c r="F76" s="201" t="s">
        <v>33</v>
      </c>
      <c r="G76" s="201"/>
      <c r="H76" s="201" t="s">
        <v>6</v>
      </c>
      <c r="I76" s="201"/>
      <c r="J76" s="202"/>
    </row>
    <row r="77" spans="1:10" ht="20.05" customHeight="1" x14ac:dyDescent="0.3">
      <c r="A77" s="87"/>
      <c r="B77" s="88"/>
      <c r="C77" s="203"/>
      <c r="D77" s="203" t="s">
        <v>215</v>
      </c>
      <c r="E77" s="203" t="s">
        <v>216</v>
      </c>
      <c r="F77" s="203" t="s">
        <v>42</v>
      </c>
      <c r="G77" s="203">
        <v>50</v>
      </c>
      <c r="H77" s="203"/>
      <c r="I77" s="203"/>
      <c r="J77" s="204"/>
    </row>
    <row r="78" spans="1:10" ht="20.05" customHeight="1" x14ac:dyDescent="0.3">
      <c r="A78" s="87"/>
      <c r="B78" s="88"/>
      <c r="C78" s="203"/>
      <c r="D78" s="203" t="s">
        <v>1913</v>
      </c>
      <c r="E78" s="203" t="s">
        <v>1918</v>
      </c>
      <c r="F78" s="203" t="s">
        <v>33</v>
      </c>
      <c r="G78" s="203"/>
      <c r="H78" s="203"/>
      <c r="I78" s="203"/>
      <c r="J78" s="204"/>
    </row>
    <row r="79" spans="1:10" ht="20.05" customHeight="1" x14ac:dyDescent="0.3">
      <c r="A79" s="87"/>
      <c r="B79" s="88"/>
      <c r="C79" s="203"/>
      <c r="D79" s="203" t="s">
        <v>258</v>
      </c>
      <c r="E79" s="203" t="s">
        <v>259</v>
      </c>
      <c r="F79" s="203" t="s">
        <v>42</v>
      </c>
      <c r="G79" s="203">
        <v>255</v>
      </c>
      <c r="H79" s="203"/>
      <c r="I79" s="203"/>
      <c r="J79" s="204"/>
    </row>
    <row r="80" spans="1:10" ht="20.05" customHeight="1" x14ac:dyDescent="0.3">
      <c r="A80" s="87"/>
      <c r="B80" s="88"/>
      <c r="C80" s="203"/>
      <c r="D80" s="203" t="s">
        <v>306</v>
      </c>
      <c r="E80" s="203" t="s">
        <v>142</v>
      </c>
      <c r="F80" s="203" t="s">
        <v>66</v>
      </c>
      <c r="G80" s="203"/>
      <c r="H80" s="203" t="s">
        <v>67</v>
      </c>
      <c r="I80" s="203"/>
      <c r="J80" s="204"/>
    </row>
    <row r="81" spans="1:10" ht="66.400000000000006" customHeight="1" thickBot="1" x14ac:dyDescent="0.35">
      <c r="A81" s="91"/>
      <c r="B81" s="92"/>
      <c r="C81" s="205"/>
      <c r="D81" s="203" t="s">
        <v>145</v>
      </c>
      <c r="E81" s="203" t="s">
        <v>260</v>
      </c>
      <c r="F81" s="203" t="s">
        <v>42</v>
      </c>
      <c r="G81" s="203">
        <v>20</v>
      </c>
      <c r="H81" s="203" t="s">
        <v>243</v>
      </c>
      <c r="I81" s="203"/>
      <c r="J81" s="204" t="s">
        <v>368</v>
      </c>
    </row>
    <row r="82" spans="1:10" ht="25.85" customHeight="1" thickBot="1" x14ac:dyDescent="0.35">
      <c r="A82" s="91"/>
      <c r="B82" s="92"/>
      <c r="C82" s="205"/>
      <c r="D82" s="283" t="s">
        <v>307</v>
      </c>
      <c r="E82" s="283" t="s">
        <v>308</v>
      </c>
      <c r="F82" s="283" t="s">
        <v>26</v>
      </c>
      <c r="G82" s="283" t="s">
        <v>309</v>
      </c>
      <c r="H82" s="283" t="s">
        <v>7</v>
      </c>
      <c r="I82" s="283"/>
      <c r="J82" s="284"/>
    </row>
    <row r="83" spans="1:10" ht="15.05" thickBot="1" x14ac:dyDescent="0.35"/>
    <row r="84" spans="1:10" ht="28.05" customHeight="1" thickBot="1" x14ac:dyDescent="0.35">
      <c r="A84" s="379" t="str">
        <f>"Entité ''"&amp;C86&amp;"''"</f>
        <v>Entité ''LigDevForfait''</v>
      </c>
      <c r="B84" s="380"/>
      <c r="C84" s="380"/>
      <c r="D84" s="380"/>
      <c r="E84" s="380"/>
      <c r="F84" s="380"/>
      <c r="G84" s="380"/>
      <c r="H84" s="380"/>
      <c r="I84" s="380"/>
      <c r="J84" s="381"/>
    </row>
    <row r="85" spans="1:10" ht="30.05" customHeight="1" thickBot="1" x14ac:dyDescent="0.35">
      <c r="A85" s="162" t="s">
        <v>10</v>
      </c>
      <c r="B85" s="163" t="s">
        <v>9</v>
      </c>
      <c r="C85" s="164" t="s">
        <v>194</v>
      </c>
      <c r="D85" s="165" t="s">
        <v>1</v>
      </c>
      <c r="E85" s="165" t="s">
        <v>0</v>
      </c>
      <c r="F85" s="165" t="s">
        <v>2</v>
      </c>
      <c r="G85" s="165" t="s">
        <v>58</v>
      </c>
      <c r="H85" s="165" t="s">
        <v>3</v>
      </c>
      <c r="I85" s="165" t="s">
        <v>4</v>
      </c>
      <c r="J85" s="166" t="s">
        <v>5</v>
      </c>
    </row>
    <row r="86" spans="1:10" ht="20.05" customHeight="1" x14ac:dyDescent="0.3">
      <c r="A86" s="99"/>
      <c r="B86" s="100"/>
      <c r="C86" s="206" t="s">
        <v>217</v>
      </c>
      <c r="D86" s="276" t="s">
        <v>310</v>
      </c>
      <c r="E86" s="206" t="s">
        <v>143</v>
      </c>
      <c r="F86" s="206" t="s">
        <v>33</v>
      </c>
      <c r="G86" s="206"/>
      <c r="H86" s="206" t="s">
        <v>6</v>
      </c>
      <c r="I86" s="206"/>
      <c r="J86" s="207"/>
    </row>
    <row r="87" spans="1:10" ht="20.05" customHeight="1" x14ac:dyDescent="0.3">
      <c r="A87" s="244"/>
      <c r="B87" s="245"/>
      <c r="C87" s="246"/>
      <c r="D87" s="246" t="s">
        <v>311</v>
      </c>
      <c r="E87" s="246" t="s">
        <v>312</v>
      </c>
      <c r="F87" s="246" t="s">
        <v>33</v>
      </c>
      <c r="G87" s="246"/>
      <c r="H87" s="246" t="s">
        <v>336</v>
      </c>
      <c r="I87" s="246"/>
      <c r="J87" s="247"/>
    </row>
    <row r="88" spans="1:10" ht="20.05" customHeight="1" x14ac:dyDescent="0.3">
      <c r="A88" s="95"/>
      <c r="B88" s="96"/>
      <c r="C88" s="208"/>
      <c r="D88" s="208" t="s">
        <v>315</v>
      </c>
      <c r="E88" s="208" t="s">
        <v>144</v>
      </c>
      <c r="F88" s="208" t="s">
        <v>42</v>
      </c>
      <c r="G88" s="208">
        <v>255</v>
      </c>
      <c r="H88" s="208"/>
      <c r="I88" s="208"/>
      <c r="J88" s="209"/>
    </row>
    <row r="89" spans="1:10" ht="20.05" customHeight="1" thickBot="1" x14ac:dyDescent="0.35">
      <c r="A89" s="103"/>
      <c r="B89" s="104"/>
      <c r="C89" s="210"/>
      <c r="D89" s="210" t="s">
        <v>338</v>
      </c>
      <c r="E89" s="210" t="s">
        <v>164</v>
      </c>
      <c r="F89" s="210" t="s">
        <v>26</v>
      </c>
      <c r="G89" s="210" t="s">
        <v>309</v>
      </c>
      <c r="H89" s="210" t="s">
        <v>7</v>
      </c>
      <c r="I89" s="210"/>
      <c r="J89" s="211"/>
    </row>
    <row r="90" spans="1:10" ht="15.05" thickBot="1" x14ac:dyDescent="0.35"/>
    <row r="91" spans="1:10" ht="28.05" customHeight="1" thickBot="1" x14ac:dyDescent="0.35">
      <c r="A91" s="379" t="str">
        <f>"Entité ''"&amp;C93&amp;"''"</f>
        <v>Entité ''LigDevQPU''</v>
      </c>
      <c r="B91" s="380"/>
      <c r="C91" s="380"/>
      <c r="D91" s="380"/>
      <c r="E91" s="380"/>
      <c r="F91" s="380"/>
      <c r="G91" s="380"/>
      <c r="H91" s="380"/>
      <c r="I91" s="380"/>
      <c r="J91" s="381"/>
    </row>
    <row r="92" spans="1:10" ht="30.05" customHeight="1" thickBot="1" x14ac:dyDescent="0.35">
      <c r="A92" s="162" t="s">
        <v>10</v>
      </c>
      <c r="B92" s="163" t="s">
        <v>9</v>
      </c>
      <c r="C92" s="164" t="s">
        <v>194</v>
      </c>
      <c r="D92" s="165" t="s">
        <v>1</v>
      </c>
      <c r="E92" s="165" t="s">
        <v>0</v>
      </c>
      <c r="F92" s="165" t="s">
        <v>2</v>
      </c>
      <c r="G92" s="165" t="s">
        <v>58</v>
      </c>
      <c r="H92" s="165" t="s">
        <v>3</v>
      </c>
      <c r="I92" s="165" t="s">
        <v>4</v>
      </c>
      <c r="J92" s="166" t="s">
        <v>5</v>
      </c>
    </row>
    <row r="93" spans="1:10" ht="20.05" customHeight="1" x14ac:dyDescent="0.3">
      <c r="A93" s="107"/>
      <c r="B93" s="108"/>
      <c r="C93" s="212" t="s">
        <v>316</v>
      </c>
      <c r="D93" s="277" t="s">
        <v>221</v>
      </c>
      <c r="E93" s="212" t="s">
        <v>143</v>
      </c>
      <c r="F93" s="212" t="s">
        <v>33</v>
      </c>
      <c r="G93" s="212"/>
      <c r="H93" s="212" t="s">
        <v>6</v>
      </c>
      <c r="I93" s="212"/>
      <c r="J93" s="213"/>
    </row>
    <row r="94" spans="1:10" ht="20.05" customHeight="1" x14ac:dyDescent="0.3">
      <c r="A94" s="248"/>
      <c r="B94" s="249"/>
      <c r="C94" s="250"/>
      <c r="D94" s="250" t="s">
        <v>313</v>
      </c>
      <c r="E94" s="250" t="s">
        <v>314</v>
      </c>
      <c r="F94" s="250" t="s">
        <v>33</v>
      </c>
      <c r="G94" s="250"/>
      <c r="H94" s="250" t="s">
        <v>336</v>
      </c>
      <c r="I94" s="250"/>
      <c r="J94" s="251"/>
    </row>
    <row r="95" spans="1:10" ht="20.05" customHeight="1" x14ac:dyDescent="0.3">
      <c r="A95" s="111"/>
      <c r="B95" s="112"/>
      <c r="C95" s="214"/>
      <c r="D95" s="214" t="s">
        <v>222</v>
      </c>
      <c r="E95" s="214" t="s">
        <v>144</v>
      </c>
      <c r="F95" s="214" t="s">
        <v>42</v>
      </c>
      <c r="G95" s="214">
        <v>255</v>
      </c>
      <c r="H95" s="214"/>
      <c r="I95" s="214"/>
      <c r="J95" s="215"/>
    </row>
    <row r="96" spans="1:10" ht="20.05" customHeight="1" x14ac:dyDescent="0.3">
      <c r="A96" s="111"/>
      <c r="B96" s="112"/>
      <c r="C96" s="214"/>
      <c r="D96" s="214" t="s">
        <v>342</v>
      </c>
      <c r="E96" s="214" t="s">
        <v>152</v>
      </c>
      <c r="F96" s="214" t="s">
        <v>33</v>
      </c>
      <c r="G96" s="214"/>
      <c r="H96" s="214"/>
      <c r="I96" s="214"/>
      <c r="J96" s="215"/>
    </row>
    <row r="97" spans="1:10" ht="20.05" customHeight="1" thickBot="1" x14ac:dyDescent="0.35">
      <c r="A97" s="115"/>
      <c r="B97" s="116"/>
      <c r="C97" s="216"/>
      <c r="D97" s="216" t="s">
        <v>357</v>
      </c>
      <c r="E97" s="216" t="s">
        <v>153</v>
      </c>
      <c r="F97" s="216" t="s">
        <v>26</v>
      </c>
      <c r="G97" s="216" t="s">
        <v>309</v>
      </c>
      <c r="H97" s="216" t="s">
        <v>7</v>
      </c>
      <c r="I97" s="216"/>
      <c r="J97" s="217" t="s">
        <v>154</v>
      </c>
    </row>
    <row r="98" spans="1:10" ht="15.05" thickBot="1" x14ac:dyDescent="0.35"/>
    <row r="99" spans="1:10" s="218" customFormat="1" ht="28.05" customHeight="1" thickBot="1" x14ac:dyDescent="0.35">
      <c r="A99" s="379" t="str">
        <f>"Entité ''"&amp;C101&amp;"''"</f>
        <v>Entité ''Factures''</v>
      </c>
      <c r="B99" s="380"/>
      <c r="C99" s="380"/>
      <c r="D99" s="380"/>
      <c r="E99" s="380"/>
      <c r="F99" s="380"/>
      <c r="G99" s="380"/>
      <c r="H99" s="380"/>
      <c r="I99" s="380"/>
      <c r="J99" s="381"/>
    </row>
    <row r="100" spans="1:10" s="174" customFormat="1" ht="30.05" customHeight="1" thickBot="1" x14ac:dyDescent="0.35">
      <c r="A100" s="164" t="s">
        <v>10</v>
      </c>
      <c r="B100" s="173" t="s">
        <v>9</v>
      </c>
      <c r="C100" s="164" t="s">
        <v>194</v>
      </c>
      <c r="D100" s="165" t="s">
        <v>1</v>
      </c>
      <c r="E100" s="165" t="s">
        <v>0</v>
      </c>
      <c r="F100" s="165" t="s">
        <v>2</v>
      </c>
      <c r="G100" s="165" t="s">
        <v>58</v>
      </c>
      <c r="H100" s="165" t="s">
        <v>3</v>
      </c>
      <c r="I100" s="165" t="s">
        <v>4</v>
      </c>
      <c r="J100" s="166" t="s">
        <v>5</v>
      </c>
    </row>
    <row r="101" spans="1:10" ht="20.05" customHeight="1" x14ac:dyDescent="0.3">
      <c r="A101" s="119"/>
      <c r="B101" s="120"/>
      <c r="C101" s="219" t="s">
        <v>348</v>
      </c>
      <c r="D101" s="278" t="s">
        <v>358</v>
      </c>
      <c r="E101" s="219" t="s">
        <v>134</v>
      </c>
      <c r="F101" s="219" t="s">
        <v>33</v>
      </c>
      <c r="G101" s="219"/>
      <c r="H101" s="219" t="s">
        <v>6</v>
      </c>
      <c r="I101" s="219"/>
      <c r="J101" s="220"/>
    </row>
    <row r="102" spans="1:10" ht="20.05" customHeight="1" x14ac:dyDescent="0.3">
      <c r="A102" s="123"/>
      <c r="B102" s="124"/>
      <c r="C102" s="221"/>
      <c r="D102" s="221" t="s">
        <v>192</v>
      </c>
      <c r="E102" s="221" t="s">
        <v>193</v>
      </c>
      <c r="F102" s="221" t="s">
        <v>42</v>
      </c>
      <c r="G102" s="221">
        <v>50</v>
      </c>
      <c r="H102" s="221"/>
      <c r="I102" s="221"/>
      <c r="J102" s="222"/>
    </row>
    <row r="103" spans="1:10" ht="20.05" customHeight="1" x14ac:dyDescent="0.3">
      <c r="A103" s="123"/>
      <c r="B103" s="124"/>
      <c r="C103" s="221"/>
      <c r="D103" s="221" t="s">
        <v>317</v>
      </c>
      <c r="E103" s="221" t="s">
        <v>318</v>
      </c>
      <c r="F103" s="221" t="s">
        <v>42</v>
      </c>
      <c r="G103" s="221">
        <v>255</v>
      </c>
      <c r="H103" s="221"/>
      <c r="I103" s="221"/>
      <c r="J103" s="222"/>
    </row>
    <row r="104" spans="1:10" ht="20.05" customHeight="1" x14ac:dyDescent="0.3">
      <c r="A104" s="123"/>
      <c r="B104" s="124"/>
      <c r="C104" s="221"/>
      <c r="D104" s="221" t="s">
        <v>319</v>
      </c>
      <c r="E104" s="221" t="s">
        <v>261</v>
      </c>
      <c r="F104" s="221" t="s">
        <v>66</v>
      </c>
      <c r="G104" s="221"/>
      <c r="H104" s="221" t="s">
        <v>67</v>
      </c>
      <c r="I104" s="221"/>
      <c r="J104" s="222"/>
    </row>
    <row r="105" spans="1:10" ht="37.6" customHeight="1" x14ac:dyDescent="0.3">
      <c r="A105" s="355"/>
      <c r="B105" s="356"/>
      <c r="C105" s="357"/>
      <c r="D105" s="221" t="s">
        <v>1888</v>
      </c>
      <c r="E105" s="358" t="s">
        <v>1921</v>
      </c>
      <c r="F105" s="221" t="s">
        <v>1919</v>
      </c>
      <c r="G105" s="221"/>
      <c r="H105" s="221"/>
      <c r="I105" s="221"/>
      <c r="J105" s="222" t="s">
        <v>1920</v>
      </c>
    </row>
    <row r="106" spans="1:10" ht="80.150000000000006" customHeight="1" thickBot="1" x14ac:dyDescent="0.35">
      <c r="A106" s="127"/>
      <c r="B106" s="128"/>
      <c r="C106" s="223"/>
      <c r="D106" s="221" t="s">
        <v>225</v>
      </c>
      <c r="E106" s="221" t="s">
        <v>262</v>
      </c>
      <c r="F106" s="221" t="s">
        <v>42</v>
      </c>
      <c r="G106" s="221">
        <v>20</v>
      </c>
      <c r="H106" s="221" t="s">
        <v>243</v>
      </c>
      <c r="I106" s="221"/>
      <c r="J106" s="222" t="s">
        <v>369</v>
      </c>
    </row>
    <row r="107" spans="1:10" ht="101.45" customHeight="1" thickBot="1" x14ac:dyDescent="0.35">
      <c r="A107" s="127"/>
      <c r="B107" s="128"/>
      <c r="C107" s="223"/>
      <c r="D107" s="269" t="s">
        <v>359</v>
      </c>
      <c r="E107" s="269" t="s">
        <v>320</v>
      </c>
      <c r="F107" s="269" t="s">
        <v>26</v>
      </c>
      <c r="G107" s="269" t="s">
        <v>309</v>
      </c>
      <c r="H107" s="269" t="s">
        <v>7</v>
      </c>
      <c r="I107" s="269"/>
      <c r="J107" s="270"/>
    </row>
    <row r="108" spans="1:10" ht="16.3" customHeight="1" thickBot="1" x14ac:dyDescent="0.35"/>
    <row r="109" spans="1:10" s="218" customFormat="1" ht="28.05" customHeight="1" thickBot="1" x14ac:dyDescent="0.35">
      <c r="A109" s="379" t="str">
        <f>"Entité ''"&amp;C111&amp;"''"</f>
        <v>Entité ''LigFactForfait''</v>
      </c>
      <c r="B109" s="380"/>
      <c r="C109" s="380"/>
      <c r="D109" s="380"/>
      <c r="E109" s="380"/>
      <c r="F109" s="380"/>
      <c r="G109" s="380"/>
      <c r="H109" s="380"/>
      <c r="I109" s="380"/>
      <c r="J109" s="381"/>
    </row>
    <row r="110" spans="1:10" s="174" customFormat="1" ht="30.05" customHeight="1" x14ac:dyDescent="0.3">
      <c r="A110" s="164" t="s">
        <v>10</v>
      </c>
      <c r="B110" s="173" t="s">
        <v>9</v>
      </c>
      <c r="C110" s="164" t="s">
        <v>194</v>
      </c>
      <c r="D110" s="165" t="s">
        <v>1</v>
      </c>
      <c r="E110" s="165" t="s">
        <v>0</v>
      </c>
      <c r="F110" s="165" t="s">
        <v>2</v>
      </c>
      <c r="G110" s="165" t="s">
        <v>58</v>
      </c>
      <c r="H110" s="165" t="s">
        <v>3</v>
      </c>
      <c r="I110" s="165" t="s">
        <v>4</v>
      </c>
      <c r="J110" s="166" t="s">
        <v>5</v>
      </c>
    </row>
    <row r="111" spans="1:10" ht="20.05" customHeight="1" x14ac:dyDescent="0.3">
      <c r="A111" s="131"/>
      <c r="B111" s="132"/>
      <c r="C111" s="224" t="s">
        <v>321</v>
      </c>
      <c r="D111" s="279" t="s">
        <v>323</v>
      </c>
      <c r="E111" s="224" t="s">
        <v>165</v>
      </c>
      <c r="F111" s="224" t="s">
        <v>33</v>
      </c>
      <c r="G111" s="224"/>
      <c r="H111" s="224" t="s">
        <v>6</v>
      </c>
      <c r="I111" s="224"/>
      <c r="J111" s="225"/>
    </row>
    <row r="112" spans="1:10" ht="20.05" customHeight="1" x14ac:dyDescent="0.3">
      <c r="A112" s="131"/>
      <c r="B112" s="132"/>
      <c r="C112" s="224"/>
      <c r="D112" s="224" t="s">
        <v>345</v>
      </c>
      <c r="E112" s="224" t="s">
        <v>324</v>
      </c>
      <c r="F112" s="224" t="s">
        <v>38</v>
      </c>
      <c r="G112" s="224"/>
      <c r="H112" s="224" t="s">
        <v>117</v>
      </c>
      <c r="I112" s="224"/>
      <c r="J112" s="225"/>
    </row>
    <row r="113" spans="1:10" ht="20.05" customHeight="1" x14ac:dyDescent="0.3">
      <c r="A113" s="131"/>
      <c r="B113" s="132"/>
      <c r="C113" s="224"/>
      <c r="D113" s="224" t="s">
        <v>325</v>
      </c>
      <c r="E113" s="224" t="s">
        <v>331</v>
      </c>
      <c r="F113" s="224" t="s">
        <v>33</v>
      </c>
      <c r="G113" s="224"/>
      <c r="H113" s="224" t="s">
        <v>336</v>
      </c>
      <c r="I113" s="224"/>
      <c r="J113" s="225"/>
    </row>
    <row r="114" spans="1:10" ht="20.05" customHeight="1" x14ac:dyDescent="0.3">
      <c r="A114" s="131"/>
      <c r="B114" s="132"/>
      <c r="C114" s="224"/>
      <c r="D114" s="224" t="s">
        <v>326</v>
      </c>
      <c r="E114" s="224" t="s">
        <v>158</v>
      </c>
      <c r="F114" s="224" t="s">
        <v>42</v>
      </c>
      <c r="G114" s="224">
        <v>255</v>
      </c>
      <c r="H114" s="224"/>
      <c r="I114" s="224"/>
      <c r="J114" s="225"/>
    </row>
    <row r="115" spans="1:10" ht="20.05" customHeight="1" x14ac:dyDescent="0.3">
      <c r="A115" s="131"/>
      <c r="B115" s="132"/>
      <c r="C115" s="224"/>
      <c r="D115" s="224" t="s">
        <v>327</v>
      </c>
      <c r="E115" s="224" t="s">
        <v>328</v>
      </c>
      <c r="F115" s="224" t="s">
        <v>26</v>
      </c>
      <c r="G115" s="224" t="s">
        <v>309</v>
      </c>
      <c r="H115" s="224" t="s">
        <v>7</v>
      </c>
      <c r="I115" s="224"/>
      <c r="J115" s="225"/>
    </row>
    <row r="116" spans="1:10" ht="15.05" thickBot="1" x14ac:dyDescent="0.35"/>
    <row r="117" spans="1:10" s="218" customFormat="1" ht="28.05" customHeight="1" thickBot="1" x14ac:dyDescent="0.35">
      <c r="A117" s="379" t="str">
        <f>"Entité ''"&amp;C119&amp;"''"</f>
        <v>Entité ''LigFactQPU''</v>
      </c>
      <c r="B117" s="380"/>
      <c r="C117" s="380"/>
      <c r="D117" s="380"/>
      <c r="E117" s="380"/>
      <c r="F117" s="380"/>
      <c r="G117" s="380"/>
      <c r="H117" s="380"/>
      <c r="I117" s="380"/>
      <c r="J117" s="381"/>
    </row>
    <row r="118" spans="1:10" s="174" customFormat="1" ht="30.05" customHeight="1" x14ac:dyDescent="0.3">
      <c r="A118" s="164" t="s">
        <v>10</v>
      </c>
      <c r="B118" s="173" t="s">
        <v>9</v>
      </c>
      <c r="C118" s="164" t="s">
        <v>194</v>
      </c>
      <c r="D118" s="165" t="s">
        <v>1</v>
      </c>
      <c r="E118" s="165" t="s">
        <v>0</v>
      </c>
      <c r="F118" s="165" t="s">
        <v>2</v>
      </c>
      <c r="G118" s="165" t="s">
        <v>58</v>
      </c>
      <c r="H118" s="165" t="s">
        <v>3</v>
      </c>
      <c r="I118" s="165" t="s">
        <v>4</v>
      </c>
      <c r="J118" s="166" t="s">
        <v>5</v>
      </c>
    </row>
    <row r="119" spans="1:10" ht="20.05" customHeight="1" x14ac:dyDescent="0.3">
      <c r="A119" s="135"/>
      <c r="B119" s="136"/>
      <c r="C119" s="226" t="s">
        <v>322</v>
      </c>
      <c r="D119" s="280" t="s">
        <v>233</v>
      </c>
      <c r="E119" s="226" t="s">
        <v>156</v>
      </c>
      <c r="F119" s="226" t="s">
        <v>33</v>
      </c>
      <c r="G119" s="226"/>
      <c r="H119" s="226" t="s">
        <v>6</v>
      </c>
      <c r="I119" s="226"/>
      <c r="J119" s="227"/>
    </row>
    <row r="120" spans="1:10" ht="20.05" customHeight="1" x14ac:dyDescent="0.3">
      <c r="A120" s="135"/>
      <c r="B120" s="136"/>
      <c r="C120" s="226"/>
      <c r="D120" s="226" t="s">
        <v>343</v>
      </c>
      <c r="E120" s="226" t="s">
        <v>329</v>
      </c>
      <c r="F120" s="226" t="s">
        <v>38</v>
      </c>
      <c r="G120" s="226"/>
      <c r="H120" s="226" t="s">
        <v>117</v>
      </c>
      <c r="I120" s="226"/>
      <c r="J120" s="227"/>
    </row>
    <row r="121" spans="1:10" ht="20.05" customHeight="1" x14ac:dyDescent="0.3">
      <c r="A121" s="135"/>
      <c r="B121" s="136"/>
      <c r="C121" s="226"/>
      <c r="D121" s="226" t="s">
        <v>330</v>
      </c>
      <c r="E121" s="226" t="s">
        <v>332</v>
      </c>
      <c r="F121" s="226" t="s">
        <v>33</v>
      </c>
      <c r="G121" s="226"/>
      <c r="H121" s="226" t="s">
        <v>336</v>
      </c>
      <c r="I121" s="226"/>
      <c r="J121" s="227"/>
    </row>
    <row r="122" spans="1:10" ht="20.05" customHeight="1" x14ac:dyDescent="0.3">
      <c r="A122" s="135"/>
      <c r="B122" s="136"/>
      <c r="C122" s="226"/>
      <c r="D122" s="226" t="s">
        <v>333</v>
      </c>
      <c r="E122" s="226" t="s">
        <v>158</v>
      </c>
      <c r="F122" s="226" t="s">
        <v>42</v>
      </c>
      <c r="G122" s="226"/>
      <c r="H122" s="226"/>
      <c r="I122" s="226"/>
      <c r="J122" s="227"/>
    </row>
    <row r="123" spans="1:10" ht="20.05" customHeight="1" x14ac:dyDescent="0.3">
      <c r="A123" s="135"/>
      <c r="B123" s="136"/>
      <c r="C123" s="226"/>
      <c r="D123" s="226" t="s">
        <v>344</v>
      </c>
      <c r="E123" s="226" t="s">
        <v>159</v>
      </c>
      <c r="F123" s="226" t="s">
        <v>33</v>
      </c>
      <c r="G123" s="226"/>
      <c r="H123" s="226"/>
      <c r="I123" s="226"/>
      <c r="J123" s="227"/>
    </row>
    <row r="124" spans="1:10" ht="20.05" customHeight="1" x14ac:dyDescent="0.3">
      <c r="A124" s="135"/>
      <c r="B124" s="136"/>
      <c r="C124" s="226"/>
      <c r="D124" s="226" t="s">
        <v>334</v>
      </c>
      <c r="E124" s="226" t="s">
        <v>335</v>
      </c>
      <c r="F124" s="226" t="s">
        <v>26</v>
      </c>
      <c r="G124" s="226" t="s">
        <v>309</v>
      </c>
      <c r="H124" s="226" t="s">
        <v>7</v>
      </c>
      <c r="I124" s="226"/>
      <c r="J124" s="227"/>
    </row>
    <row r="125" spans="1:10" ht="15.05" thickBot="1" x14ac:dyDescent="0.35"/>
    <row r="126" spans="1:10" s="218" customFormat="1" ht="28.05" customHeight="1" thickBot="1" x14ac:dyDescent="0.35">
      <c r="A126" s="379" t="str">
        <f>"Entité ''"&amp;C128&amp;"''"</f>
        <v>Entité ''TVA''</v>
      </c>
      <c r="B126" s="380"/>
      <c r="C126" s="380"/>
      <c r="D126" s="380"/>
      <c r="E126" s="380"/>
      <c r="F126" s="380"/>
      <c r="G126" s="380"/>
      <c r="H126" s="380"/>
      <c r="I126" s="380"/>
      <c r="J126" s="381"/>
    </row>
    <row r="127" spans="1:10" s="174" customFormat="1" ht="30.05" customHeight="1" thickBot="1" x14ac:dyDescent="0.35">
      <c r="A127" s="164" t="s">
        <v>10</v>
      </c>
      <c r="B127" s="173" t="s">
        <v>9</v>
      </c>
      <c r="C127" s="164" t="s">
        <v>194</v>
      </c>
      <c r="D127" s="165" t="s">
        <v>1</v>
      </c>
      <c r="E127" s="165" t="s">
        <v>0</v>
      </c>
      <c r="F127" s="165" t="s">
        <v>2</v>
      </c>
      <c r="G127" s="165" t="s">
        <v>58</v>
      </c>
      <c r="H127" s="165" t="s">
        <v>3</v>
      </c>
      <c r="I127" s="165" t="s">
        <v>4</v>
      </c>
      <c r="J127" s="166" t="s">
        <v>5</v>
      </c>
    </row>
    <row r="128" spans="1:10" ht="20.05" customHeight="1" x14ac:dyDescent="0.3">
      <c r="A128" s="139"/>
      <c r="B128" s="140"/>
      <c r="C128" s="228" t="s">
        <v>148</v>
      </c>
      <c r="D128" s="281" t="s">
        <v>11</v>
      </c>
      <c r="E128" s="228" t="s">
        <v>149</v>
      </c>
      <c r="F128" s="228" t="s">
        <v>33</v>
      </c>
      <c r="G128" s="228"/>
      <c r="H128" s="228" t="s">
        <v>6</v>
      </c>
      <c r="I128" s="228"/>
      <c r="J128" s="229"/>
    </row>
    <row r="129" spans="1:10" ht="20.05" customHeight="1" thickBot="1" x14ac:dyDescent="0.35">
      <c r="A129" s="143"/>
      <c r="B129" s="144"/>
      <c r="C129" s="230"/>
      <c r="D129" s="230" t="s">
        <v>360</v>
      </c>
      <c r="E129" s="230" t="s">
        <v>150</v>
      </c>
      <c r="F129" s="230" t="s">
        <v>26</v>
      </c>
      <c r="G129" s="230"/>
      <c r="H129" s="230" t="s">
        <v>151</v>
      </c>
      <c r="I129" s="230"/>
      <c r="J129" s="231"/>
    </row>
    <row r="130" spans="1:10" ht="15.05" thickBot="1" x14ac:dyDescent="0.35"/>
    <row r="131" spans="1:10" s="218" customFormat="1" ht="28.05" customHeight="1" thickBot="1" x14ac:dyDescent="0.35">
      <c r="A131" s="379" t="str">
        <f>"Entité ''"&amp;C133&amp;"''"</f>
        <v>Entité ''Couts''</v>
      </c>
      <c r="B131" s="380"/>
      <c r="C131" s="380"/>
      <c r="D131" s="380"/>
      <c r="E131" s="380"/>
      <c r="F131" s="380"/>
      <c r="G131" s="380"/>
      <c r="H131" s="380"/>
      <c r="I131" s="380"/>
      <c r="J131" s="381"/>
    </row>
    <row r="132" spans="1:10" s="174" customFormat="1" ht="30.05" customHeight="1" thickBot="1" x14ac:dyDescent="0.35">
      <c r="A132" s="164" t="s">
        <v>10</v>
      </c>
      <c r="B132" s="173" t="s">
        <v>9</v>
      </c>
      <c r="C132" s="164" t="s">
        <v>194</v>
      </c>
      <c r="D132" s="165" t="s">
        <v>1</v>
      </c>
      <c r="E132" s="165" t="s">
        <v>0</v>
      </c>
      <c r="F132" s="165" t="s">
        <v>2</v>
      </c>
      <c r="G132" s="165" t="s">
        <v>58</v>
      </c>
      <c r="H132" s="165" t="s">
        <v>3</v>
      </c>
      <c r="I132" s="165" t="s">
        <v>4</v>
      </c>
      <c r="J132" s="166" t="s">
        <v>5</v>
      </c>
    </row>
    <row r="133" spans="1:10" ht="20.05" customHeight="1" x14ac:dyDescent="0.3">
      <c r="A133" s="147"/>
      <c r="B133" s="148"/>
      <c r="C133" s="232" t="s">
        <v>176</v>
      </c>
      <c r="D133" s="282" t="s">
        <v>177</v>
      </c>
      <c r="E133" s="232" t="s">
        <v>179</v>
      </c>
      <c r="F133" s="232" t="s">
        <v>33</v>
      </c>
      <c r="G133" s="232"/>
      <c r="H133" s="232" t="s">
        <v>6</v>
      </c>
      <c r="I133" s="232"/>
      <c r="J133" s="233"/>
    </row>
    <row r="134" spans="1:10" ht="88.3" customHeight="1" x14ac:dyDescent="0.3">
      <c r="A134" s="151"/>
      <c r="B134" s="152"/>
      <c r="C134" s="234"/>
      <c r="D134" s="234" t="s">
        <v>178</v>
      </c>
      <c r="E134" s="234" t="s">
        <v>180</v>
      </c>
      <c r="F134" s="234" t="s">
        <v>42</v>
      </c>
      <c r="G134" s="234">
        <v>50</v>
      </c>
      <c r="H134" s="234" t="s">
        <v>243</v>
      </c>
      <c r="I134" s="234"/>
      <c r="J134" s="235" t="s">
        <v>367</v>
      </c>
    </row>
    <row r="135" spans="1:10" ht="20.05" customHeight="1" x14ac:dyDescent="0.3">
      <c r="A135" s="151"/>
      <c r="B135" s="152"/>
      <c r="C135" s="234"/>
      <c r="D135" s="234" t="s">
        <v>188</v>
      </c>
      <c r="E135" s="234" t="s">
        <v>189</v>
      </c>
      <c r="F135" s="234" t="s">
        <v>66</v>
      </c>
      <c r="G135" s="234"/>
      <c r="H135" s="234"/>
      <c r="I135" s="234"/>
      <c r="J135" s="235"/>
    </row>
    <row r="136" spans="1:10" ht="20.05" customHeight="1" thickBot="1" x14ac:dyDescent="0.35">
      <c r="A136" s="155"/>
      <c r="B136" s="156"/>
      <c r="C136" s="236"/>
      <c r="D136" s="236" t="s">
        <v>263</v>
      </c>
      <c r="E136" s="236" t="s">
        <v>264</v>
      </c>
      <c r="F136" s="234" t="s">
        <v>42</v>
      </c>
      <c r="G136" s="236">
        <v>255</v>
      </c>
      <c r="H136" s="236"/>
      <c r="I136" s="236"/>
      <c r="J136" s="237"/>
    </row>
    <row r="137" spans="1:10" ht="20.05" customHeight="1" thickBot="1" x14ac:dyDescent="0.35">
      <c r="A137" s="155"/>
      <c r="B137" s="156"/>
      <c r="C137" s="236"/>
      <c r="D137" s="236" t="s">
        <v>361</v>
      </c>
      <c r="E137" s="236" t="s">
        <v>191</v>
      </c>
      <c r="F137" s="236" t="s">
        <v>26</v>
      </c>
      <c r="G137" s="236"/>
      <c r="H137" s="236" t="s">
        <v>7</v>
      </c>
      <c r="I137" s="236"/>
      <c r="J137" s="237"/>
    </row>
    <row r="207" ht="58.7" customHeight="1" x14ac:dyDescent="0.3"/>
    <row r="208" ht="58.7" customHeight="1" x14ac:dyDescent="0.3"/>
    <row r="209" ht="58.7" customHeight="1" x14ac:dyDescent="0.3"/>
    <row r="210" ht="58.7" customHeight="1" x14ac:dyDescent="0.3"/>
    <row r="211" ht="58.7" customHeight="1" x14ac:dyDescent="0.3"/>
    <row r="212" ht="58.7" customHeight="1" x14ac:dyDescent="0.3"/>
  </sheetData>
  <mergeCells count="16">
    <mergeCell ref="A59:J59"/>
    <mergeCell ref="A1:J1"/>
    <mergeCell ref="A2:J2"/>
    <mergeCell ref="A22:J22"/>
    <mergeCell ref="A34:J34"/>
    <mergeCell ref="A49:J49"/>
    <mergeCell ref="A15:J15"/>
    <mergeCell ref="A126:J126"/>
    <mergeCell ref="A131:J131"/>
    <mergeCell ref="A68:J68"/>
    <mergeCell ref="A84:J84"/>
    <mergeCell ref="A91:J91"/>
    <mergeCell ref="A99:J99"/>
    <mergeCell ref="A109:J109"/>
    <mergeCell ref="A117:J117"/>
    <mergeCell ref="A74:J74"/>
  </mergeCells>
  <dataValidations count="3">
    <dataValidation type="list" allowBlank="1" showInputMessage="1" showErrorMessage="1" sqref="I24:I32 I133:I137 I61:I66 I86:I89 I93:I97 I51:I57 I111:I115 I119:I124 I128:I129 I17:I20 I4:I13 I36:I47 I101:I107 I76:I82 I70:I72" xr:uid="{9A5466E0-0A23-4DC7-B2A1-60A1F2253791}">
      <formula1>Calculs</formula1>
    </dataValidation>
    <dataValidation type="list" allowBlank="1" showInputMessage="1" showErrorMessage="1" sqref="H24:H32 H133:H137 H61:H66 H86:H89 H93:H97 H51:H57 H111:H115 H119:H124 H128:H129 H17:H20 H4:H13 H36:H47 H101:H107 H76:H82 H70:H72" xr:uid="{D0B5B17A-1ED7-4323-81C7-7C61D1103F75}">
      <formula1>Contraintes</formula1>
    </dataValidation>
    <dataValidation type="list" allowBlank="1" showInputMessage="1" showErrorMessage="1" sqref="F133:F137 F61:F66 F86:F89 F93:F97 F51:F57 F111:F115 F119:F124 F128:F129 F24:F32 F17:F20 F4:F13 F36:F47 F101:F107 F76:F82 F70:F72" xr:uid="{E0B25092-BCD4-4DF0-AF34-81DCD74C533D}">
      <formula1>Types</formula1>
    </dataValidation>
  </dataValidations>
  <printOptions horizontalCentered="1"/>
  <pageMargins left="0" right="0" top="0.59055118110236227" bottom="0" header="0.31496062992125984" footer="0.31496062992125984"/>
  <pageSetup paperSize="9" scale="60" orientation="portrait" horizontalDpi="360" verticalDpi="360" r:id="rId1"/>
  <rowBreaks count="1" manualBreakCount="1">
    <brk id="66" max="1638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5348-F9BA-4E6B-9F3E-81F00219D785}">
  <sheetPr>
    <pageSetUpPr fitToPage="1"/>
  </sheetPr>
  <dimension ref="D2:CC502"/>
  <sheetViews>
    <sheetView topLeftCell="AE1" zoomScale="50" zoomScaleNormal="50" workbookViewId="0">
      <selection activeCell="BB3" sqref="BB3:BB14"/>
    </sheetView>
  </sheetViews>
  <sheetFormatPr baseColWidth="10" defaultColWidth="11.44140625" defaultRowHeight="14.4" outlineLevelRow="1" x14ac:dyDescent="0.3"/>
  <cols>
    <col min="1" max="4" width="3" style="160" customWidth="1"/>
    <col min="5" max="5" width="24.33203125" style="160" customWidth="1"/>
    <col min="6" max="6" width="20.5546875" style="160" customWidth="1"/>
    <col min="7" max="7" width="50.109375" style="160" customWidth="1"/>
    <col min="8" max="8" width="75.44140625" style="160" customWidth="1"/>
    <col min="9" max="9" width="91.33203125" style="160" customWidth="1"/>
    <col min="10" max="10" width="53.6640625" style="160" customWidth="1"/>
    <col min="11" max="11" width="49.44140625" style="160" customWidth="1"/>
    <col min="12" max="12" width="142.109375" style="160" customWidth="1"/>
    <col min="13" max="13" width="29" style="160" customWidth="1"/>
    <col min="14" max="14" width="40.5546875" style="160" customWidth="1"/>
    <col min="15" max="17" width="28.33203125" style="160" customWidth="1"/>
    <col min="18" max="18" width="24.109375" style="160" customWidth="1"/>
    <col min="19" max="19" width="27" style="160" customWidth="1"/>
    <col min="20" max="20" width="21.6640625" style="160" customWidth="1"/>
    <col min="21" max="21" width="18.77734375" style="160" customWidth="1"/>
    <col min="22" max="30" width="11.44140625" style="160"/>
    <col min="31" max="31" width="14.5546875" style="160" bestFit="1" customWidth="1"/>
    <col min="32" max="38" width="11.44140625" style="160"/>
    <col min="39" max="39" width="18.88671875" style="160" bestFit="1" customWidth="1"/>
    <col min="40" max="52" width="11.44140625" style="160"/>
    <col min="53" max="53" width="11.6640625" style="160" bestFit="1" customWidth="1"/>
    <col min="54" max="54" width="11.44140625" style="160"/>
    <col min="55" max="55" width="11.6640625" style="160" bestFit="1" customWidth="1"/>
    <col min="56" max="56" width="11.44140625" style="160"/>
    <col min="57" max="57" width="13" style="160" bestFit="1" customWidth="1"/>
    <col min="58" max="58" width="11.44140625" style="160"/>
    <col min="59" max="59" width="15.88671875" style="160" customWidth="1"/>
    <col min="60" max="60" width="11.44140625" style="160"/>
    <col min="61" max="61" width="14.5546875" style="160" customWidth="1"/>
    <col min="62" max="72" width="11.44140625" style="160"/>
    <col min="73" max="73" width="20.5546875" style="160" bestFit="1" customWidth="1"/>
    <col min="74" max="74" width="11.44140625" style="160"/>
    <col min="75" max="75" width="11.6640625" style="160" bestFit="1" customWidth="1"/>
    <col min="76" max="16384" width="11.44140625" style="160"/>
  </cols>
  <sheetData>
    <row r="2" spans="5:60" ht="28.05" customHeight="1" thickBot="1" x14ac:dyDescent="0.35"/>
    <row r="3" spans="5:60" ht="30.05" customHeight="1" thickBot="1" x14ac:dyDescent="0.35">
      <c r="E3" s="160" t="s">
        <v>370</v>
      </c>
      <c r="F3" s="271" t="s">
        <v>269</v>
      </c>
      <c r="G3" s="263" t="s">
        <v>271</v>
      </c>
      <c r="H3" s="263" t="s">
        <v>272</v>
      </c>
      <c r="I3" s="263" t="s">
        <v>273</v>
      </c>
      <c r="J3" s="263" t="s">
        <v>283</v>
      </c>
      <c r="K3" s="263" t="s">
        <v>240</v>
      </c>
      <c r="L3" s="263" t="s">
        <v>274</v>
      </c>
      <c r="M3" s="263" t="s">
        <v>284</v>
      </c>
      <c r="N3" s="267" t="s">
        <v>286</v>
      </c>
      <c r="T3" s="160" t="s">
        <v>1922</v>
      </c>
      <c r="U3" s="160" t="s">
        <v>370</v>
      </c>
      <c r="V3" s="160" t="s">
        <v>2088</v>
      </c>
      <c r="W3" s="263" t="s">
        <v>271</v>
      </c>
      <c r="X3" s="360" t="s">
        <v>2020</v>
      </c>
      <c r="Y3" s="263" t="s">
        <v>272</v>
      </c>
      <c r="Z3" s="360" t="s">
        <v>2020</v>
      </c>
      <c r="AA3" s="263" t="s">
        <v>273</v>
      </c>
      <c r="AB3" s="360" t="s">
        <v>2020</v>
      </c>
      <c r="AC3" s="263" t="s">
        <v>283</v>
      </c>
      <c r="AD3" s="360" t="s">
        <v>2020</v>
      </c>
      <c r="AE3" s="263" t="s">
        <v>240</v>
      </c>
      <c r="AF3" s="360" t="s">
        <v>2020</v>
      </c>
      <c r="AG3" s="263" t="s">
        <v>274</v>
      </c>
      <c r="AH3" s="360" t="s">
        <v>2020</v>
      </c>
      <c r="AI3" s="263" t="s">
        <v>284</v>
      </c>
      <c r="AJ3" s="360" t="s">
        <v>2020</v>
      </c>
      <c r="AK3" s="267" t="s">
        <v>286</v>
      </c>
      <c r="AL3" s="360" t="s">
        <v>2092</v>
      </c>
      <c r="AM3" s="160" t="str">
        <f>G4</f>
        <v>Edgar</v>
      </c>
      <c r="AN3" s="360" t="s">
        <v>2091</v>
      </c>
      <c r="AO3" s="160" t="str">
        <f>H4</f>
        <v>ATOI</v>
      </c>
      <c r="AP3" s="360" t="s">
        <v>2091</v>
      </c>
      <c r="AQ3" s="160" t="str">
        <f>I4</f>
        <v>architecte</v>
      </c>
      <c r="AR3" s="360" t="s">
        <v>2091</v>
      </c>
      <c r="AS3" s="160" t="str">
        <f>J4</f>
        <v>14, chemin de Lebrun 59000 LILLE</v>
      </c>
      <c r="AT3" s="360" t="s">
        <v>2091</v>
      </c>
      <c r="AU3" s="160" t="str">
        <f>K4</f>
        <v>06.55.44.33.22</v>
      </c>
      <c r="AV3" s="360" t="s">
        <v>2091</v>
      </c>
      <c r="AW3" s="160" t="str">
        <f>L4</f>
        <v>Edgar.ATOI@gmal.com</v>
      </c>
      <c r="AX3" s="360" t="s">
        <v>2093</v>
      </c>
      <c r="AY3" s="160">
        <f>M4</f>
        <v>1</v>
      </c>
      <c r="AZ3" s="360" t="s">
        <v>2090</v>
      </c>
      <c r="BA3" s="160" t="str">
        <f>N4</f>
        <v>utilisateur</v>
      </c>
      <c r="BB3" s="360" t="s">
        <v>2094</v>
      </c>
      <c r="BC3" s="353" t="str">
        <f>T3&amp;U3&amp;V3&amp;W3&amp;X3&amp;Y3&amp;Z3&amp;AA3&amp;AB3&amp;AC3&amp;AD3&amp;AE3&amp;AF3&amp;AG3&amp;AH3&amp;AI3&amp;AJ3&amp;AK3&amp;AL3&amp;AM3&amp;AN3&amp;AO3&amp;AP3&amp;AQ3&amp;AR3&amp;AS3&amp;AT3&amp;AU3&amp;AV3&amp;AW3&amp;AX3&amp;AY3&amp;AZ3&amp;BA3&amp;BB3</f>
        <v>INSERT INTO PERSONNES(firstname,name,fonction,adress,tel,mail,isActivate,catPerson') VALUES ('Edgar','ATOI','architecte','14, chemin de Lebrun 59000 LILLE','06.55.44.33.22','Edgar.ATOI@gmal.com',1,'utilisateur');</v>
      </c>
      <c r="BD3" s="160" t="s">
        <v>1942</v>
      </c>
      <c r="BH3" s="353" t="s">
        <v>1940</v>
      </c>
    </row>
    <row r="4" spans="5:60" ht="20.05" customHeight="1" thickBot="1" x14ac:dyDescent="0.35">
      <c r="F4" s="160">
        <v>1</v>
      </c>
      <c r="G4" s="160" t="s">
        <v>385</v>
      </c>
      <c r="H4" s="160" t="s">
        <v>387</v>
      </c>
      <c r="I4" s="160" t="s">
        <v>405</v>
      </c>
      <c r="J4" s="160" t="s">
        <v>415</v>
      </c>
      <c r="K4" s="160" t="s">
        <v>425</v>
      </c>
      <c r="L4" s="160" t="str">
        <f>G4&amp;"."&amp;H4&amp;"@"&amp;"gmal.com"</f>
        <v>Edgar.ATOI@gmal.com</v>
      </c>
      <c r="M4" s="160">
        <v>1</v>
      </c>
      <c r="N4" s="160" t="s">
        <v>1769</v>
      </c>
      <c r="O4" s="160">
        <f>MAX(H$20:H$22)</f>
        <v>3</v>
      </c>
      <c r="P4" s="353"/>
      <c r="Q4" s="160" t="s">
        <v>1960</v>
      </c>
      <c r="T4" s="160" t="s">
        <v>1922</v>
      </c>
      <c r="U4" s="160" t="s">
        <v>370</v>
      </c>
      <c r="V4" s="160" t="s">
        <v>2088</v>
      </c>
      <c r="W4" s="263" t="s">
        <v>271</v>
      </c>
      <c r="X4" s="360" t="s">
        <v>2020</v>
      </c>
      <c r="Y4" s="263" t="s">
        <v>272</v>
      </c>
      <c r="Z4" s="360" t="s">
        <v>2020</v>
      </c>
      <c r="AA4" s="263" t="s">
        <v>273</v>
      </c>
      <c r="AB4" s="360" t="s">
        <v>2020</v>
      </c>
      <c r="AC4" s="263" t="s">
        <v>283</v>
      </c>
      <c r="AD4" s="360" t="s">
        <v>2020</v>
      </c>
      <c r="AE4" s="263" t="s">
        <v>240</v>
      </c>
      <c r="AF4" s="360" t="s">
        <v>2020</v>
      </c>
      <c r="AG4" s="263" t="s">
        <v>274</v>
      </c>
      <c r="AH4" s="360" t="s">
        <v>2020</v>
      </c>
      <c r="AI4" s="263" t="s">
        <v>284</v>
      </c>
      <c r="AJ4" s="360" t="s">
        <v>2020</v>
      </c>
      <c r="AK4" s="267" t="s">
        <v>286</v>
      </c>
      <c r="AL4" s="360" t="s">
        <v>2092</v>
      </c>
      <c r="AM4" s="160" t="str">
        <f t="shared" ref="AM4:AM14" si="0">G5</f>
        <v>Edith</v>
      </c>
      <c r="AN4" s="360" t="s">
        <v>2091</v>
      </c>
      <c r="AO4" s="160" t="str">
        <f t="shared" ref="AO4:AO14" si="1">H5</f>
        <v>KELHEURETIL</v>
      </c>
      <c r="AP4" s="360" t="s">
        <v>2091</v>
      </c>
      <c r="AQ4" s="160" t="str">
        <f t="shared" ref="AQ4:AQ14" si="2">I5</f>
        <v>Assistante</v>
      </c>
      <c r="AR4" s="360" t="s">
        <v>2091</v>
      </c>
      <c r="AS4" s="160" t="str">
        <f t="shared" ref="AS4:AS14" si="3">J5</f>
        <v>145 rue La Fayette 59000 LILLE</v>
      </c>
      <c r="AT4" s="360" t="s">
        <v>2091</v>
      </c>
      <c r="AU4" s="160" t="str">
        <f t="shared" ref="AU4:AU14" si="4">K5</f>
        <v>07.06.05.04.03</v>
      </c>
      <c r="AV4" s="360" t="s">
        <v>2091</v>
      </c>
      <c r="AW4" s="160" t="str">
        <f t="shared" ref="AW4:AW14" si="5">L5</f>
        <v>Edith.KELHEURETIL@gmal.com</v>
      </c>
      <c r="AX4" s="360" t="s">
        <v>2093</v>
      </c>
      <c r="AY4" s="160">
        <f t="shared" ref="AY4:AY14" si="6">M5</f>
        <v>1</v>
      </c>
      <c r="AZ4" s="360" t="s">
        <v>2090</v>
      </c>
      <c r="BA4" s="160" t="str">
        <f t="shared" ref="BA4:BA14" si="7">N5</f>
        <v>utilisateur</v>
      </c>
      <c r="BB4" s="360" t="s">
        <v>2094</v>
      </c>
      <c r="BC4" s="353" t="str">
        <f t="shared" ref="BC4:BC14" si="8">T4&amp;U4&amp;V4&amp;W4&amp;X4&amp;Y4&amp;Z4&amp;AA4&amp;AB4&amp;AC4&amp;AD4&amp;AE4&amp;AF4&amp;AG4&amp;AH4&amp;AI4&amp;AJ4&amp;AK4&amp;AL4&amp;AM4&amp;AN4&amp;AO4&amp;AP4&amp;AQ4&amp;AR4&amp;AS4&amp;AT4&amp;AU4&amp;AV4&amp;AW4&amp;AX4&amp;AY4&amp;AZ4&amp;BA4&amp;BB4</f>
        <v>INSERT INTO PERSONNES(firstname,name,fonction,adress,tel,mail,isActivate,catPerson') VALUES ('Edith','KELHEURETIL','Assistante','145 rue La Fayette 59000 LILLE','07.06.05.04.03','Edith.KELHEURETIL@gmal.com',1,'utilisateur');</v>
      </c>
      <c r="BD4" s="160" t="s">
        <v>1943</v>
      </c>
      <c r="BH4" s="160" t="s">
        <v>1923</v>
      </c>
    </row>
    <row r="5" spans="5:60" ht="20.05" customHeight="1" thickBot="1" x14ac:dyDescent="0.35">
      <c r="F5" s="160">
        <f>F4+1</f>
        <v>2</v>
      </c>
      <c r="G5" s="160" t="s">
        <v>386</v>
      </c>
      <c r="H5" s="160" t="s">
        <v>388</v>
      </c>
      <c r="I5" s="160" t="s">
        <v>1770</v>
      </c>
      <c r="J5" s="160" t="s">
        <v>416</v>
      </c>
      <c r="K5" s="160" t="s">
        <v>426</v>
      </c>
      <c r="L5" s="160" t="str">
        <f t="shared" ref="L5:L15" si="9">G5&amp;"."&amp;H5&amp;"@"&amp;"gmal.com"</f>
        <v>Edith.KELHEURETIL@gmal.com</v>
      </c>
      <c r="M5" s="160">
        <v>1</v>
      </c>
      <c r="N5" s="160" t="s">
        <v>1769</v>
      </c>
      <c r="P5" s="353"/>
      <c r="T5" s="160" t="s">
        <v>1922</v>
      </c>
      <c r="U5" s="160" t="s">
        <v>370</v>
      </c>
      <c r="V5" s="160" t="s">
        <v>2088</v>
      </c>
      <c r="W5" s="263" t="s">
        <v>271</v>
      </c>
      <c r="X5" s="360" t="s">
        <v>2020</v>
      </c>
      <c r="Y5" s="263" t="s">
        <v>272</v>
      </c>
      <c r="Z5" s="360" t="s">
        <v>2020</v>
      </c>
      <c r="AA5" s="263" t="s">
        <v>273</v>
      </c>
      <c r="AB5" s="360" t="s">
        <v>2020</v>
      </c>
      <c r="AC5" s="263" t="s">
        <v>283</v>
      </c>
      <c r="AD5" s="360" t="s">
        <v>2020</v>
      </c>
      <c r="AE5" s="263" t="s">
        <v>240</v>
      </c>
      <c r="AF5" s="360" t="s">
        <v>2020</v>
      </c>
      <c r="AG5" s="263" t="s">
        <v>274</v>
      </c>
      <c r="AH5" s="360" t="s">
        <v>2020</v>
      </c>
      <c r="AI5" s="263" t="s">
        <v>284</v>
      </c>
      <c r="AJ5" s="360" t="s">
        <v>2020</v>
      </c>
      <c r="AK5" s="267" t="s">
        <v>286</v>
      </c>
      <c r="AL5" s="360" t="s">
        <v>2092</v>
      </c>
      <c r="AM5" s="160" t="str">
        <f t="shared" si="0"/>
        <v>Elise</v>
      </c>
      <c r="AN5" s="360" t="s">
        <v>2091</v>
      </c>
      <c r="AO5" s="160" t="str">
        <f t="shared" si="1"/>
        <v>ETMOI</v>
      </c>
      <c r="AP5" s="360" t="s">
        <v>2091</v>
      </c>
      <c r="AQ5" s="160" t="str">
        <f t="shared" si="2"/>
        <v>Maire</v>
      </c>
      <c r="AR5" s="360" t="s">
        <v>2091</v>
      </c>
      <c r="AS5" s="160" t="str">
        <f t="shared" si="3"/>
        <v>174 rue du Faubourg Saint-Denis 59599 TOURQUOINT</v>
      </c>
      <c r="AT5" s="360" t="s">
        <v>2091</v>
      </c>
      <c r="AU5" s="160" t="str">
        <f t="shared" si="4"/>
        <v>09.01.02.03.04</v>
      </c>
      <c r="AV5" s="360" t="s">
        <v>2091</v>
      </c>
      <c r="AW5" s="160" t="str">
        <f t="shared" si="5"/>
        <v>Elise.ETMOI@gmal.com</v>
      </c>
      <c r="AX5" s="360" t="s">
        <v>2093</v>
      </c>
      <c r="AY5" s="160">
        <f t="shared" si="6"/>
        <v>1</v>
      </c>
      <c r="AZ5" s="360" t="s">
        <v>2090</v>
      </c>
      <c r="BA5" s="160" t="str">
        <f t="shared" si="7"/>
        <v>client</v>
      </c>
      <c r="BB5" s="360" t="s">
        <v>2094</v>
      </c>
      <c r="BC5" s="353" t="str">
        <f t="shared" si="8"/>
        <v>INSERT INTO PERSONNES(firstname,name,fonction,adress,tel,mail,isActivate,catPerson') VALUES ('Elise','ETMOI','Maire','174 rue du Faubourg Saint-Denis 59599 TOURQUOINT','09.01.02.03.04','Elise.ETMOI@gmal.com',1,'client');</v>
      </c>
      <c r="BD5" s="160" t="s">
        <v>1944</v>
      </c>
      <c r="BH5" s="160" t="s">
        <v>1924</v>
      </c>
    </row>
    <row r="6" spans="5:60" ht="20.05" customHeight="1" thickBot="1" x14ac:dyDescent="0.35">
      <c r="F6" s="160">
        <f t="shared" ref="F6:F15" si="10">F5+1</f>
        <v>3</v>
      </c>
      <c r="G6" s="160" t="s">
        <v>389</v>
      </c>
      <c r="H6" s="160" t="s">
        <v>390</v>
      </c>
      <c r="I6" s="160" t="s">
        <v>410</v>
      </c>
      <c r="J6" s="160" t="s">
        <v>419</v>
      </c>
      <c r="K6" s="160" t="s">
        <v>427</v>
      </c>
      <c r="L6" s="160" t="str">
        <f t="shared" si="9"/>
        <v>Elise.ETMOI@gmal.com</v>
      </c>
      <c r="M6" s="160">
        <v>1</v>
      </c>
      <c r="N6" s="160" t="s">
        <v>1768</v>
      </c>
      <c r="P6" s="353"/>
      <c r="T6" s="160" t="s">
        <v>1922</v>
      </c>
      <c r="U6" s="160" t="s">
        <v>370</v>
      </c>
      <c r="V6" s="160" t="s">
        <v>2088</v>
      </c>
      <c r="W6" s="263" t="s">
        <v>271</v>
      </c>
      <c r="X6" s="360" t="s">
        <v>2020</v>
      </c>
      <c r="Y6" s="263" t="s">
        <v>272</v>
      </c>
      <c r="Z6" s="360" t="s">
        <v>2020</v>
      </c>
      <c r="AA6" s="263" t="s">
        <v>273</v>
      </c>
      <c r="AB6" s="360" t="s">
        <v>2020</v>
      </c>
      <c r="AC6" s="263" t="s">
        <v>283</v>
      </c>
      <c r="AD6" s="360" t="s">
        <v>2020</v>
      </c>
      <c r="AE6" s="263" t="s">
        <v>240</v>
      </c>
      <c r="AF6" s="360" t="s">
        <v>2020</v>
      </c>
      <c r="AG6" s="263" t="s">
        <v>274</v>
      </c>
      <c r="AH6" s="360" t="s">
        <v>2020</v>
      </c>
      <c r="AI6" s="263" t="s">
        <v>284</v>
      </c>
      <c r="AJ6" s="360" t="s">
        <v>2020</v>
      </c>
      <c r="AK6" s="267" t="s">
        <v>286</v>
      </c>
      <c r="AL6" s="360" t="s">
        <v>2092</v>
      </c>
      <c r="AM6" s="160" t="str">
        <f t="shared" si="0"/>
        <v>Frank</v>
      </c>
      <c r="AN6" s="360" t="s">
        <v>2091</v>
      </c>
      <c r="AO6" s="160" t="str">
        <f t="shared" si="1"/>
        <v>NSTEIN</v>
      </c>
      <c r="AP6" s="360" t="s">
        <v>2091</v>
      </c>
      <c r="AQ6" s="160" t="str">
        <f t="shared" si="2"/>
        <v>menuisier</v>
      </c>
      <c r="AR6" s="360" t="s">
        <v>2091</v>
      </c>
      <c r="AS6" s="160" t="str">
        <f t="shared" si="3"/>
        <v>44 rue d'Aboukir 59512 ROUBAIX</v>
      </c>
      <c r="AT6" s="360" t="s">
        <v>2091</v>
      </c>
      <c r="AU6" s="160" t="str">
        <f t="shared" si="4"/>
        <v>06.05.06.07.08</v>
      </c>
      <c r="AV6" s="360" t="s">
        <v>2091</v>
      </c>
      <c r="AW6" s="160" t="str">
        <f t="shared" si="5"/>
        <v>Frank.NSTEIN@gmal.com</v>
      </c>
      <c r="AX6" s="360" t="s">
        <v>2093</v>
      </c>
      <c r="AY6" s="160">
        <f t="shared" si="6"/>
        <v>1</v>
      </c>
      <c r="AZ6" s="360" t="s">
        <v>2090</v>
      </c>
      <c r="BA6" s="160" t="str">
        <f t="shared" si="7"/>
        <v>client</v>
      </c>
      <c r="BB6" s="360" t="s">
        <v>2094</v>
      </c>
      <c r="BC6" s="353" t="str">
        <f t="shared" si="8"/>
        <v>INSERT INTO PERSONNES(firstname,name,fonction,adress,tel,mail,isActivate,catPerson') VALUES ('Frank','NSTEIN','menuisier','44 rue d'Aboukir 59512 ROUBAIX','06.05.06.07.08','Frank.NSTEIN@gmal.com',1,'client');</v>
      </c>
      <c r="BD6" s="160" t="s">
        <v>1945</v>
      </c>
      <c r="BH6" s="160" t="s">
        <v>1925</v>
      </c>
    </row>
    <row r="7" spans="5:60" ht="20.05" customHeight="1" thickBot="1" x14ac:dyDescent="0.35">
      <c r="F7" s="160">
        <f t="shared" si="10"/>
        <v>4</v>
      </c>
      <c r="G7" s="160" t="s">
        <v>391</v>
      </c>
      <c r="H7" s="160" t="s">
        <v>392</v>
      </c>
      <c r="I7" s="160" t="s">
        <v>409</v>
      </c>
      <c r="J7" s="160" t="s">
        <v>418</v>
      </c>
      <c r="K7" s="160" t="s">
        <v>428</v>
      </c>
      <c r="L7" s="160" t="str">
        <f t="shared" si="9"/>
        <v>Frank.NSTEIN@gmal.com</v>
      </c>
      <c r="M7" s="160">
        <v>1</v>
      </c>
      <c r="N7" s="160" t="s">
        <v>1768</v>
      </c>
      <c r="P7" s="353"/>
      <c r="T7" s="160" t="s">
        <v>1922</v>
      </c>
      <c r="U7" s="160" t="s">
        <v>370</v>
      </c>
      <c r="V7" s="160" t="s">
        <v>2088</v>
      </c>
      <c r="W7" s="263" t="s">
        <v>271</v>
      </c>
      <c r="X7" s="360" t="s">
        <v>2020</v>
      </c>
      <c r="Y7" s="263" t="s">
        <v>272</v>
      </c>
      <c r="Z7" s="360" t="s">
        <v>2020</v>
      </c>
      <c r="AA7" s="263" t="s">
        <v>273</v>
      </c>
      <c r="AB7" s="360" t="s">
        <v>2020</v>
      </c>
      <c r="AC7" s="263" t="s">
        <v>283</v>
      </c>
      <c r="AD7" s="360" t="s">
        <v>2020</v>
      </c>
      <c r="AE7" s="263" t="s">
        <v>240</v>
      </c>
      <c r="AF7" s="360" t="s">
        <v>2020</v>
      </c>
      <c r="AG7" s="263" t="s">
        <v>274</v>
      </c>
      <c r="AH7" s="360" t="s">
        <v>2020</v>
      </c>
      <c r="AI7" s="263" t="s">
        <v>284</v>
      </c>
      <c r="AJ7" s="360" t="s">
        <v>2020</v>
      </c>
      <c r="AK7" s="267" t="s">
        <v>286</v>
      </c>
      <c r="AL7" s="360" t="s">
        <v>2092</v>
      </c>
      <c r="AM7" s="160" t="str">
        <f t="shared" si="0"/>
        <v>Flo</v>
      </c>
      <c r="AN7" s="360" t="s">
        <v>2091</v>
      </c>
      <c r="AO7" s="160" t="str">
        <f t="shared" si="1"/>
        <v>RISTE</v>
      </c>
      <c r="AP7" s="360" t="s">
        <v>2091</v>
      </c>
      <c r="AQ7" s="160" t="str">
        <f t="shared" si="2"/>
        <v>jardinnière</v>
      </c>
      <c r="AR7" s="360" t="s">
        <v>2091</v>
      </c>
      <c r="AS7" s="160" t="str">
        <f t="shared" si="3"/>
        <v xml:space="preserve">29 rue Quincampoix 59434 </v>
      </c>
      <c r="AT7" s="360" t="s">
        <v>2091</v>
      </c>
      <c r="AU7" s="160" t="str">
        <f t="shared" si="4"/>
        <v>07.12.34.56.78</v>
      </c>
      <c r="AV7" s="360" t="s">
        <v>2091</v>
      </c>
      <c r="AW7" s="160" t="str">
        <f t="shared" si="5"/>
        <v>Flo.RISTE@gmal.com</v>
      </c>
      <c r="AX7" s="360" t="s">
        <v>2093</v>
      </c>
      <c r="AY7" s="160">
        <f t="shared" si="6"/>
        <v>1</v>
      </c>
      <c r="AZ7" s="360" t="s">
        <v>2090</v>
      </c>
      <c r="BA7" s="160" t="str">
        <f t="shared" si="7"/>
        <v>client</v>
      </c>
      <c r="BB7" s="360" t="s">
        <v>2094</v>
      </c>
      <c r="BC7" s="353" t="str">
        <f t="shared" si="8"/>
        <v>INSERT INTO PERSONNES(firstname,name,fonction,adress,tel,mail,isActivate,catPerson') VALUES ('Flo','RISTE','jardinnière','29 rue Quincampoix 59434 ','07.12.34.56.78','Flo.RISTE@gmal.com',1,'client');</v>
      </c>
      <c r="BD7" s="160" t="s">
        <v>1946</v>
      </c>
      <c r="BH7" s="160" t="s">
        <v>1926</v>
      </c>
    </row>
    <row r="8" spans="5:60" ht="20.05" customHeight="1" thickBot="1" x14ac:dyDescent="0.35">
      <c r="F8" s="160">
        <f t="shared" si="10"/>
        <v>5</v>
      </c>
      <c r="G8" s="160" t="s">
        <v>393</v>
      </c>
      <c r="H8" s="160" t="s">
        <v>394</v>
      </c>
      <c r="I8" s="160" t="s">
        <v>412</v>
      </c>
      <c r="J8" s="160" t="s">
        <v>417</v>
      </c>
      <c r="K8" s="160" t="s">
        <v>429</v>
      </c>
      <c r="L8" s="160" t="str">
        <f t="shared" si="9"/>
        <v>Flo.RISTE@gmal.com</v>
      </c>
      <c r="M8" s="160">
        <v>1</v>
      </c>
      <c r="N8" s="160" t="s">
        <v>1768</v>
      </c>
      <c r="P8" s="353"/>
      <c r="T8" s="160" t="s">
        <v>1922</v>
      </c>
      <c r="U8" s="160" t="s">
        <v>370</v>
      </c>
      <c r="V8" s="160" t="s">
        <v>2088</v>
      </c>
      <c r="W8" s="263" t="s">
        <v>271</v>
      </c>
      <c r="X8" s="360" t="s">
        <v>2020</v>
      </c>
      <c r="Y8" s="263" t="s">
        <v>272</v>
      </c>
      <c r="Z8" s="360" t="s">
        <v>2020</v>
      </c>
      <c r="AA8" s="263" t="s">
        <v>273</v>
      </c>
      <c r="AB8" s="360" t="s">
        <v>2020</v>
      </c>
      <c r="AC8" s="263" t="s">
        <v>283</v>
      </c>
      <c r="AD8" s="360" t="s">
        <v>2020</v>
      </c>
      <c r="AE8" s="263" t="s">
        <v>240</v>
      </c>
      <c r="AF8" s="360" t="s">
        <v>2020</v>
      </c>
      <c r="AG8" s="263" t="s">
        <v>274</v>
      </c>
      <c r="AH8" s="360" t="s">
        <v>2020</v>
      </c>
      <c r="AI8" s="263" t="s">
        <v>284</v>
      </c>
      <c r="AJ8" s="360" t="s">
        <v>2020</v>
      </c>
      <c r="AK8" s="267" t="s">
        <v>286</v>
      </c>
      <c r="AL8" s="360" t="s">
        <v>2092</v>
      </c>
      <c r="AM8" s="160" t="str">
        <f t="shared" si="0"/>
        <v>Gerard</v>
      </c>
      <c r="AN8" s="360" t="s">
        <v>2091</v>
      </c>
      <c r="AO8" s="160" t="str">
        <f t="shared" si="1"/>
        <v>MENVUSSA</v>
      </c>
      <c r="AP8" s="360" t="s">
        <v>2091</v>
      </c>
      <c r="AQ8" s="160" t="str">
        <f t="shared" si="2"/>
        <v>dirigeant</v>
      </c>
      <c r="AR8" s="360" t="s">
        <v>2091</v>
      </c>
      <c r="AS8" s="160" t="str">
        <f t="shared" si="3"/>
        <v>3 rue de l'aqueduc 59270 BAILLEUL</v>
      </c>
      <c r="AT8" s="360" t="s">
        <v>2091</v>
      </c>
      <c r="AU8" s="160" t="str">
        <f t="shared" si="4"/>
        <v>06.98.76.54.32</v>
      </c>
      <c r="AV8" s="360" t="s">
        <v>2091</v>
      </c>
      <c r="AW8" s="160" t="str">
        <f t="shared" si="5"/>
        <v>Gerard.MENVUSSA@gmal.com</v>
      </c>
      <c r="AX8" s="360" t="s">
        <v>2093</v>
      </c>
      <c r="AY8" s="160">
        <f t="shared" si="6"/>
        <v>1</v>
      </c>
      <c r="AZ8" s="360" t="s">
        <v>2090</v>
      </c>
      <c r="BA8" s="160" t="str">
        <f t="shared" si="7"/>
        <v>utilisateur</v>
      </c>
      <c r="BB8" s="360" t="s">
        <v>2094</v>
      </c>
      <c r="BC8" s="353" t="str">
        <f t="shared" si="8"/>
        <v>INSERT INTO PERSONNES(firstname,name,fonction,adress,tel,mail,isActivate,catPerson') VALUES ('Gerard','MENVUSSA','dirigeant','3 rue de l'aqueduc 59270 BAILLEUL','06.98.76.54.32','Gerard.MENVUSSA@gmal.com',1,'utilisateur');</v>
      </c>
      <c r="BD8" s="160" t="s">
        <v>1947</v>
      </c>
      <c r="BH8" s="160" t="s">
        <v>1927</v>
      </c>
    </row>
    <row r="9" spans="5:60" ht="20.05" customHeight="1" thickBot="1" x14ac:dyDescent="0.35">
      <c r="F9" s="160">
        <f t="shared" si="10"/>
        <v>6</v>
      </c>
      <c r="G9" s="160" t="s">
        <v>395</v>
      </c>
      <c r="H9" s="160" t="s">
        <v>396</v>
      </c>
      <c r="I9" s="160" t="s">
        <v>406</v>
      </c>
      <c r="J9" s="349" t="s">
        <v>420</v>
      </c>
      <c r="K9" s="160" t="s">
        <v>430</v>
      </c>
      <c r="L9" s="160" t="str">
        <f t="shared" si="9"/>
        <v>Gerard.MENVUSSA@gmal.com</v>
      </c>
      <c r="M9" s="160">
        <v>1</v>
      </c>
      <c r="N9" s="160" t="s">
        <v>1769</v>
      </c>
      <c r="P9" s="353"/>
      <c r="T9" s="160" t="s">
        <v>1922</v>
      </c>
      <c r="U9" s="160" t="s">
        <v>370</v>
      </c>
      <c r="V9" s="160" t="s">
        <v>2088</v>
      </c>
      <c r="W9" s="263" t="s">
        <v>271</v>
      </c>
      <c r="X9" s="360" t="s">
        <v>2020</v>
      </c>
      <c r="Y9" s="263" t="s">
        <v>272</v>
      </c>
      <c r="Z9" s="360" t="s">
        <v>2020</v>
      </c>
      <c r="AA9" s="263" t="s">
        <v>273</v>
      </c>
      <c r="AB9" s="360" t="s">
        <v>2020</v>
      </c>
      <c r="AC9" s="263" t="s">
        <v>283</v>
      </c>
      <c r="AD9" s="360" t="s">
        <v>2020</v>
      </c>
      <c r="AE9" s="263" t="s">
        <v>240</v>
      </c>
      <c r="AF9" s="360" t="s">
        <v>2020</v>
      </c>
      <c r="AG9" s="263" t="s">
        <v>274</v>
      </c>
      <c r="AH9" s="360" t="s">
        <v>2020</v>
      </c>
      <c r="AI9" s="263" t="s">
        <v>284</v>
      </c>
      <c r="AJ9" s="360" t="s">
        <v>2020</v>
      </c>
      <c r="AK9" s="267" t="s">
        <v>286</v>
      </c>
      <c r="AL9" s="360" t="s">
        <v>2092</v>
      </c>
      <c r="AM9" s="160" t="str">
        <f t="shared" si="0"/>
        <v>Walter</v>
      </c>
      <c r="AN9" s="360" t="s">
        <v>2091</v>
      </c>
      <c r="AO9" s="160" t="str">
        <f t="shared" si="1"/>
        <v>CLOSET</v>
      </c>
      <c r="AP9" s="360" t="s">
        <v>2091</v>
      </c>
      <c r="AQ9" s="160" t="str">
        <f t="shared" si="2"/>
        <v>plombier</v>
      </c>
      <c r="AR9" s="360" t="s">
        <v>2091</v>
      </c>
      <c r="AS9" s="160" t="str">
        <f t="shared" si="3"/>
        <v>54 rue des Petites Écuries 59120 LOOS</v>
      </c>
      <c r="AT9" s="360" t="s">
        <v>2091</v>
      </c>
      <c r="AU9" s="160" t="str">
        <f t="shared" si="4"/>
        <v>06.11.22.33.44</v>
      </c>
      <c r="AV9" s="360" t="s">
        <v>2091</v>
      </c>
      <c r="AW9" s="160" t="str">
        <f t="shared" si="5"/>
        <v>Walter.CLOSET@gmal.com</v>
      </c>
      <c r="AX9" s="360" t="s">
        <v>2093</v>
      </c>
      <c r="AY9" s="160">
        <f t="shared" si="6"/>
        <v>1</v>
      </c>
      <c r="AZ9" s="360" t="s">
        <v>2090</v>
      </c>
      <c r="BA9" s="160" t="str">
        <f t="shared" si="7"/>
        <v>client</v>
      </c>
      <c r="BB9" s="360" t="s">
        <v>2094</v>
      </c>
      <c r="BC9" s="353" t="str">
        <f t="shared" si="8"/>
        <v>INSERT INTO PERSONNES(firstname,name,fonction,adress,tel,mail,isActivate,catPerson') VALUES ('Walter','CLOSET','plombier','54 rue des Petites Écuries 59120 LOOS','06.11.22.33.44','Walter.CLOSET@gmal.com',1,'client');</v>
      </c>
      <c r="BD9" s="160" t="s">
        <v>1948</v>
      </c>
      <c r="BH9" s="160" t="s">
        <v>1928</v>
      </c>
    </row>
    <row r="10" spans="5:60" ht="20.05" customHeight="1" thickBot="1" x14ac:dyDescent="0.35">
      <c r="F10" s="160">
        <f t="shared" si="10"/>
        <v>7</v>
      </c>
      <c r="G10" s="160" t="s">
        <v>397</v>
      </c>
      <c r="H10" s="160" t="s">
        <v>398</v>
      </c>
      <c r="I10" s="160" t="s">
        <v>413</v>
      </c>
      <c r="J10" s="160" t="s">
        <v>421</v>
      </c>
      <c r="K10" s="160" t="s">
        <v>431</v>
      </c>
      <c r="L10" s="160" t="str">
        <f t="shared" si="9"/>
        <v>Walter.CLOSET@gmal.com</v>
      </c>
      <c r="M10" s="160">
        <v>1</v>
      </c>
      <c r="N10" s="160" t="s">
        <v>1768</v>
      </c>
      <c r="P10" s="353"/>
      <c r="T10" s="160" t="s">
        <v>1922</v>
      </c>
      <c r="U10" s="160" t="s">
        <v>370</v>
      </c>
      <c r="V10" s="160" t="s">
        <v>2088</v>
      </c>
      <c r="W10" s="263" t="s">
        <v>271</v>
      </c>
      <c r="X10" s="360" t="s">
        <v>2020</v>
      </c>
      <c r="Y10" s="263" t="s">
        <v>272</v>
      </c>
      <c r="Z10" s="360" t="s">
        <v>2020</v>
      </c>
      <c r="AA10" s="263" t="s">
        <v>273</v>
      </c>
      <c r="AB10" s="360" t="s">
        <v>2020</v>
      </c>
      <c r="AC10" s="263" t="s">
        <v>283</v>
      </c>
      <c r="AD10" s="360" t="s">
        <v>2020</v>
      </c>
      <c r="AE10" s="263" t="s">
        <v>240</v>
      </c>
      <c r="AF10" s="360" t="s">
        <v>2020</v>
      </c>
      <c r="AG10" s="263" t="s">
        <v>274</v>
      </c>
      <c r="AH10" s="360" t="s">
        <v>2020</v>
      </c>
      <c r="AI10" s="263" t="s">
        <v>284</v>
      </c>
      <c r="AJ10" s="360" t="s">
        <v>2020</v>
      </c>
      <c r="AK10" s="267" t="s">
        <v>286</v>
      </c>
      <c r="AL10" s="360" t="s">
        <v>2092</v>
      </c>
      <c r="AM10" s="160" t="str">
        <f t="shared" si="0"/>
        <v>Noah</v>
      </c>
      <c r="AN10" s="360" t="s">
        <v>2091</v>
      </c>
      <c r="AO10" s="160" t="str">
        <f t="shared" si="1"/>
        <v>DESINJAC</v>
      </c>
      <c r="AP10" s="360" t="s">
        <v>2091</v>
      </c>
      <c r="AQ10" s="160" t="str">
        <f t="shared" si="2"/>
        <v>boulanger</v>
      </c>
      <c r="AR10" s="360" t="s">
        <v>2091</v>
      </c>
      <c r="AS10" s="160" t="str">
        <f t="shared" si="3"/>
        <v>141 boulevard Diderot 59000 LILLE</v>
      </c>
      <c r="AT10" s="360" t="s">
        <v>2091</v>
      </c>
      <c r="AU10" s="160" t="str">
        <f t="shared" si="4"/>
        <v>07.55.66.77.88</v>
      </c>
      <c r="AV10" s="360" t="s">
        <v>2091</v>
      </c>
      <c r="AW10" s="160" t="str">
        <f t="shared" si="5"/>
        <v>Noah.DESINJAC@gmal.com</v>
      </c>
      <c r="AX10" s="360" t="s">
        <v>2093</v>
      </c>
      <c r="AY10" s="160">
        <f t="shared" si="6"/>
        <v>1</v>
      </c>
      <c r="AZ10" s="360" t="s">
        <v>2090</v>
      </c>
      <c r="BA10" s="160" t="str">
        <f t="shared" si="7"/>
        <v>utilisateur</v>
      </c>
      <c r="BB10" s="360" t="s">
        <v>2094</v>
      </c>
      <c r="BC10" s="353" t="str">
        <f t="shared" si="8"/>
        <v>INSERT INTO PERSONNES(firstname,name,fonction,adress,tel,mail,isActivate,catPerson') VALUES ('Noah','DESINJAC','boulanger','141 boulevard Diderot 59000 LILLE','07.55.66.77.88','Noah.DESINJAC@gmal.com',1,'utilisateur');</v>
      </c>
      <c r="BD10" s="160" t="s">
        <v>1949</v>
      </c>
      <c r="BH10" s="160" t="s">
        <v>1929</v>
      </c>
    </row>
    <row r="11" spans="5:60" ht="20.05" customHeight="1" thickBot="1" x14ac:dyDescent="0.35">
      <c r="F11" s="160">
        <f t="shared" si="10"/>
        <v>8</v>
      </c>
      <c r="G11" s="160" t="s">
        <v>399</v>
      </c>
      <c r="H11" s="160" t="s">
        <v>400</v>
      </c>
      <c r="I11" s="160" t="s">
        <v>407</v>
      </c>
      <c r="J11" s="160" t="s">
        <v>422</v>
      </c>
      <c r="K11" s="160" t="s">
        <v>432</v>
      </c>
      <c r="L11" s="160" t="str">
        <f t="shared" si="9"/>
        <v>Noah.DESINJAC@gmal.com</v>
      </c>
      <c r="M11" s="160">
        <v>1</v>
      </c>
      <c r="N11" s="160" t="s">
        <v>1769</v>
      </c>
      <c r="P11" s="353"/>
      <c r="T11" s="160" t="s">
        <v>1922</v>
      </c>
      <c r="U11" s="160" t="s">
        <v>370</v>
      </c>
      <c r="V11" s="160" t="s">
        <v>2088</v>
      </c>
      <c r="W11" s="263" t="s">
        <v>271</v>
      </c>
      <c r="X11" s="360" t="s">
        <v>2020</v>
      </c>
      <c r="Y11" s="263" t="s">
        <v>272</v>
      </c>
      <c r="Z11" s="360" t="s">
        <v>2020</v>
      </c>
      <c r="AA11" s="263" t="s">
        <v>273</v>
      </c>
      <c r="AB11" s="360" t="s">
        <v>2020</v>
      </c>
      <c r="AC11" s="263" t="s">
        <v>283</v>
      </c>
      <c r="AD11" s="360" t="s">
        <v>2020</v>
      </c>
      <c r="AE11" s="263" t="s">
        <v>240</v>
      </c>
      <c r="AF11" s="360" t="s">
        <v>2020</v>
      </c>
      <c r="AG11" s="263" t="s">
        <v>274</v>
      </c>
      <c r="AH11" s="360" t="s">
        <v>2020</v>
      </c>
      <c r="AI11" s="263" t="s">
        <v>284</v>
      </c>
      <c r="AJ11" s="360" t="s">
        <v>2020</v>
      </c>
      <c r="AK11" s="267" t="s">
        <v>286</v>
      </c>
      <c r="AL11" s="360" t="s">
        <v>2092</v>
      </c>
      <c r="AM11" s="160" t="str">
        <f t="shared" si="0"/>
        <v>Karl-Amel</v>
      </c>
      <c r="AN11" s="360" t="s">
        <v>2091</v>
      </c>
      <c r="AO11" s="160" t="str">
        <f t="shared" si="1"/>
        <v>MOU</v>
      </c>
      <c r="AP11" s="360" t="s">
        <v>2091</v>
      </c>
      <c r="AQ11" s="160" t="str">
        <f t="shared" si="2"/>
        <v>confiseur</v>
      </c>
      <c r="AR11" s="360" t="s">
        <v>2091</v>
      </c>
      <c r="AS11" s="160" t="str">
        <f t="shared" si="3"/>
        <v>78 rue La Condamine 59130 LAMBERSART</v>
      </c>
      <c r="AT11" s="360" t="s">
        <v>2091</v>
      </c>
      <c r="AU11" s="160" t="str">
        <f t="shared" si="4"/>
        <v>06.99.88.77.66</v>
      </c>
      <c r="AV11" s="360" t="s">
        <v>2091</v>
      </c>
      <c r="AW11" s="160" t="str">
        <f t="shared" si="5"/>
        <v>Karl-Amel.MOU@gmal.com</v>
      </c>
      <c r="AX11" s="360" t="s">
        <v>2093</v>
      </c>
      <c r="AY11" s="160">
        <f t="shared" si="6"/>
        <v>1</v>
      </c>
      <c r="AZ11" s="360" t="s">
        <v>2090</v>
      </c>
      <c r="BA11" s="160" t="str">
        <f t="shared" si="7"/>
        <v>client</v>
      </c>
      <c r="BB11" s="360" t="s">
        <v>2094</v>
      </c>
      <c r="BC11" s="353" t="str">
        <f t="shared" si="8"/>
        <v>INSERT INTO PERSONNES(firstname,name,fonction,adress,tel,mail,isActivate,catPerson') VALUES ('Karl-Amel','MOU','confiseur','78 rue La Condamine 59130 LAMBERSART','06.99.88.77.66','Karl-Amel.MOU@gmal.com',1,'client');</v>
      </c>
      <c r="BD11" s="160" t="s">
        <v>1950</v>
      </c>
      <c r="BH11" s="160" t="s">
        <v>1930</v>
      </c>
    </row>
    <row r="12" spans="5:60" ht="20.05" customHeight="1" thickBot="1" x14ac:dyDescent="0.35">
      <c r="F12" s="160">
        <f t="shared" si="10"/>
        <v>9</v>
      </c>
      <c r="G12" s="160" t="s">
        <v>401</v>
      </c>
      <c r="H12" s="160" t="s">
        <v>402</v>
      </c>
      <c r="I12" s="160" t="s">
        <v>414</v>
      </c>
      <c r="J12" s="160" t="s">
        <v>423</v>
      </c>
      <c r="K12" s="160" t="s">
        <v>433</v>
      </c>
      <c r="L12" s="160" t="str">
        <f t="shared" si="9"/>
        <v>Karl-Amel.MOU@gmal.com</v>
      </c>
      <c r="M12" s="160">
        <v>1</v>
      </c>
      <c r="N12" s="160" t="s">
        <v>1768</v>
      </c>
      <c r="P12" s="353"/>
      <c r="T12" s="160" t="s">
        <v>1922</v>
      </c>
      <c r="U12" s="160" t="s">
        <v>370</v>
      </c>
      <c r="V12" s="160" t="s">
        <v>2088</v>
      </c>
      <c r="W12" s="263" t="s">
        <v>271</v>
      </c>
      <c r="X12" s="360" t="s">
        <v>2020</v>
      </c>
      <c r="Y12" s="263" t="s">
        <v>272</v>
      </c>
      <c r="Z12" s="360" t="s">
        <v>2020</v>
      </c>
      <c r="AA12" s="263" t="s">
        <v>273</v>
      </c>
      <c r="AB12" s="360" t="s">
        <v>2020</v>
      </c>
      <c r="AC12" s="263" t="s">
        <v>283</v>
      </c>
      <c r="AD12" s="360" t="s">
        <v>2020</v>
      </c>
      <c r="AE12" s="263" t="s">
        <v>240</v>
      </c>
      <c r="AF12" s="360" t="s">
        <v>2020</v>
      </c>
      <c r="AG12" s="263" t="s">
        <v>274</v>
      </c>
      <c r="AH12" s="360" t="s">
        <v>2020</v>
      </c>
      <c r="AI12" s="263" t="s">
        <v>284</v>
      </c>
      <c r="AJ12" s="360" t="s">
        <v>2020</v>
      </c>
      <c r="AK12" s="267" t="s">
        <v>286</v>
      </c>
      <c r="AL12" s="360" t="s">
        <v>2092</v>
      </c>
      <c r="AM12" s="160" t="str">
        <f t="shared" si="0"/>
        <v>Kentin</v>
      </c>
      <c r="AN12" s="360" t="s">
        <v>2091</v>
      </c>
      <c r="AO12" s="160" t="str">
        <f t="shared" si="1"/>
        <v>GENMILITERRE</v>
      </c>
      <c r="AP12" s="360" t="s">
        <v>2091</v>
      </c>
      <c r="AQ12" s="160" t="str">
        <f t="shared" si="2"/>
        <v>barman</v>
      </c>
      <c r="AR12" s="360" t="s">
        <v>2091</v>
      </c>
      <c r="AS12" s="160" t="str">
        <f t="shared" si="3"/>
        <v>49 rue des Archives 59630 LILLE</v>
      </c>
      <c r="AT12" s="360" t="s">
        <v>2091</v>
      </c>
      <c r="AU12" s="160" t="str">
        <f t="shared" si="4"/>
        <v>06.55.44.33.22</v>
      </c>
      <c r="AV12" s="360" t="s">
        <v>2091</v>
      </c>
      <c r="AW12" s="160" t="str">
        <f t="shared" si="5"/>
        <v>Kentin.GENMILITERRE@gmal.com</v>
      </c>
      <c r="AX12" s="360" t="s">
        <v>2093</v>
      </c>
      <c r="AY12" s="160">
        <f t="shared" si="6"/>
        <v>1</v>
      </c>
      <c r="AZ12" s="360" t="s">
        <v>2090</v>
      </c>
      <c r="BA12" s="160" t="str">
        <f t="shared" si="7"/>
        <v>client</v>
      </c>
      <c r="BB12" s="360" t="s">
        <v>2094</v>
      </c>
      <c r="BC12" s="353" t="str">
        <f t="shared" si="8"/>
        <v>INSERT INTO PERSONNES(firstname,name,fonction,adress,tel,mail,isActivate,catPerson') VALUES ('Kentin','GENMILITERRE','barman','49 rue des Archives 59630 LILLE','06.55.44.33.22','Kentin.GENMILITERRE@gmal.com',1,'client');</v>
      </c>
      <c r="BD12" s="160" t="s">
        <v>1951</v>
      </c>
      <c r="BH12" s="160" t="s">
        <v>1931</v>
      </c>
    </row>
    <row r="13" spans="5:60" ht="20.05" customHeight="1" thickBot="1" x14ac:dyDescent="0.35">
      <c r="F13" s="160">
        <f t="shared" si="10"/>
        <v>10</v>
      </c>
      <c r="G13" s="160" t="s">
        <v>403</v>
      </c>
      <c r="H13" s="160" t="s">
        <v>404</v>
      </c>
      <c r="I13" s="160" t="s">
        <v>1778</v>
      </c>
      <c r="J13" s="160" t="s">
        <v>424</v>
      </c>
      <c r="K13" s="160" t="s">
        <v>425</v>
      </c>
      <c r="L13" s="160" t="str">
        <f t="shared" si="9"/>
        <v>Kentin.GENMILITERRE@gmal.com</v>
      </c>
      <c r="M13" s="160">
        <v>1</v>
      </c>
      <c r="N13" s="160" t="s">
        <v>1768</v>
      </c>
      <c r="P13" s="353"/>
      <c r="T13" s="160" t="s">
        <v>1922</v>
      </c>
      <c r="U13" s="160" t="s">
        <v>370</v>
      </c>
      <c r="V13" s="160" t="s">
        <v>2088</v>
      </c>
      <c r="W13" s="263" t="s">
        <v>271</v>
      </c>
      <c r="X13" s="360" t="s">
        <v>2020</v>
      </c>
      <c r="Y13" s="263" t="s">
        <v>272</v>
      </c>
      <c r="Z13" s="360" t="s">
        <v>2020</v>
      </c>
      <c r="AA13" s="263" t="s">
        <v>273</v>
      </c>
      <c r="AB13" s="360" t="s">
        <v>2020</v>
      </c>
      <c r="AC13" s="263" t="s">
        <v>283</v>
      </c>
      <c r="AD13" s="360" t="s">
        <v>2020</v>
      </c>
      <c r="AE13" s="263" t="s">
        <v>240</v>
      </c>
      <c r="AF13" s="360" t="s">
        <v>2020</v>
      </c>
      <c r="AG13" s="263" t="s">
        <v>274</v>
      </c>
      <c r="AH13" s="360" t="s">
        <v>2020</v>
      </c>
      <c r="AI13" s="263" t="s">
        <v>284</v>
      </c>
      <c r="AJ13" s="360" t="s">
        <v>2020</v>
      </c>
      <c r="AK13" s="267" t="s">
        <v>286</v>
      </c>
      <c r="AL13" s="360" t="s">
        <v>2092</v>
      </c>
      <c r="AM13" s="160" t="str">
        <f t="shared" si="0"/>
        <v>Eva</v>
      </c>
      <c r="AN13" s="360" t="s">
        <v>2091</v>
      </c>
      <c r="AO13" s="160" t="str">
        <f t="shared" si="1"/>
        <v>NOUIE</v>
      </c>
      <c r="AP13" s="360" t="s">
        <v>2091</v>
      </c>
      <c r="AQ13" s="160" t="str">
        <f t="shared" si="2"/>
        <v>dentiste</v>
      </c>
      <c r="AR13" s="360" t="s">
        <v>2091</v>
      </c>
      <c r="AS13" s="160" t="str">
        <f t="shared" si="3"/>
        <v>32 rue des fausses dents 32323 DENCREUSE</v>
      </c>
      <c r="AT13" s="360" t="s">
        <v>2091</v>
      </c>
      <c r="AU13" s="160" t="str">
        <f t="shared" si="4"/>
        <v>06.55.44.33.23</v>
      </c>
      <c r="AV13" s="360" t="s">
        <v>2091</v>
      </c>
      <c r="AW13" s="160" t="str">
        <f t="shared" si="5"/>
        <v>Eva.NOUIE@gmal.com</v>
      </c>
      <c r="AX13" s="360" t="s">
        <v>2093</v>
      </c>
      <c r="AY13" s="160">
        <f t="shared" si="6"/>
        <v>0</v>
      </c>
      <c r="AZ13" s="360" t="s">
        <v>2090</v>
      </c>
      <c r="BA13" s="160" t="str">
        <f t="shared" si="7"/>
        <v>client</v>
      </c>
      <c r="BB13" s="360" t="s">
        <v>2094</v>
      </c>
      <c r="BC13" s="353" t="str">
        <f t="shared" si="8"/>
        <v>INSERT INTO PERSONNES(firstname,name,fonction,adress,tel,mail,isActivate,catPerson') VALUES ('Eva','NOUIE','dentiste','32 rue des fausses dents 32323 DENCREUSE','06.55.44.33.23','Eva.NOUIE@gmal.com',0,'client');</v>
      </c>
      <c r="BD13" s="160" t="s">
        <v>1952</v>
      </c>
      <c r="BH13" s="160" t="s">
        <v>1932</v>
      </c>
    </row>
    <row r="14" spans="5:60" ht="20.05" customHeight="1" thickBot="1" x14ac:dyDescent="0.35">
      <c r="F14" s="160">
        <f t="shared" si="10"/>
        <v>11</v>
      </c>
      <c r="G14" s="160" t="s">
        <v>1835</v>
      </c>
      <c r="H14" s="160" t="s">
        <v>1836</v>
      </c>
      <c r="I14" s="160" t="s">
        <v>1837</v>
      </c>
      <c r="J14" s="160" t="s">
        <v>1838</v>
      </c>
      <c r="K14" s="160" t="s">
        <v>1839</v>
      </c>
      <c r="L14" s="160" t="str">
        <f t="shared" si="9"/>
        <v>Eva.NOUIE@gmal.com</v>
      </c>
      <c r="M14" s="160">
        <v>0</v>
      </c>
      <c r="N14" s="354" t="s">
        <v>1768</v>
      </c>
      <c r="P14" s="353"/>
      <c r="T14" s="160" t="s">
        <v>1922</v>
      </c>
      <c r="U14" s="160" t="s">
        <v>370</v>
      </c>
      <c r="V14" s="160" t="s">
        <v>2088</v>
      </c>
      <c r="W14" s="263" t="s">
        <v>271</v>
      </c>
      <c r="X14" s="360" t="s">
        <v>2020</v>
      </c>
      <c r="Y14" s="263" t="s">
        <v>272</v>
      </c>
      <c r="Z14" s="360" t="s">
        <v>2020</v>
      </c>
      <c r="AA14" s="263" t="s">
        <v>273</v>
      </c>
      <c r="AB14" s="360" t="s">
        <v>2020</v>
      </c>
      <c r="AC14" s="263" t="s">
        <v>283</v>
      </c>
      <c r="AD14" s="360" t="s">
        <v>2020</v>
      </c>
      <c r="AE14" s="263" t="s">
        <v>240</v>
      </c>
      <c r="AF14" s="360" t="s">
        <v>2020</v>
      </c>
      <c r="AG14" s="263" t="s">
        <v>274</v>
      </c>
      <c r="AH14" s="360" t="s">
        <v>2020</v>
      </c>
      <c r="AI14" s="263" t="s">
        <v>284</v>
      </c>
      <c r="AJ14" s="360" t="s">
        <v>2020</v>
      </c>
      <c r="AK14" s="267" t="s">
        <v>286</v>
      </c>
      <c r="AL14" s="360" t="s">
        <v>2092</v>
      </c>
      <c r="AM14" s="160" t="str">
        <f t="shared" si="0"/>
        <v>Florentin</v>
      </c>
      <c r="AN14" s="360" t="s">
        <v>2091</v>
      </c>
      <c r="AO14" s="160" t="str">
        <f t="shared" si="1"/>
        <v>TESTINALE</v>
      </c>
      <c r="AP14" s="360" t="s">
        <v>2091</v>
      </c>
      <c r="AQ14" s="160" t="str">
        <f t="shared" si="2"/>
        <v>docteur</v>
      </c>
      <c r="AR14" s="360" t="s">
        <v>2091</v>
      </c>
      <c r="AS14" s="160" t="str">
        <f t="shared" si="3"/>
        <v>7M rue du gros colon 70000 TORBOYAUX</v>
      </c>
      <c r="AT14" s="360" t="s">
        <v>2091</v>
      </c>
      <c r="AU14" s="160" t="str">
        <f t="shared" si="4"/>
        <v>07.88.99.11.22</v>
      </c>
      <c r="AV14" s="360" t="s">
        <v>2091</v>
      </c>
      <c r="AW14" s="160" t="str">
        <f t="shared" si="5"/>
        <v>Florentin.TESTINALE@gmal.com</v>
      </c>
      <c r="AX14" s="360" t="s">
        <v>2093</v>
      </c>
      <c r="AY14" s="160">
        <f t="shared" si="6"/>
        <v>1</v>
      </c>
      <c r="AZ14" s="360" t="s">
        <v>2090</v>
      </c>
      <c r="BA14" s="160" t="str">
        <f t="shared" si="7"/>
        <v>client</v>
      </c>
      <c r="BB14" s="360" t="s">
        <v>2094</v>
      </c>
      <c r="BC14" s="353" t="str">
        <f t="shared" si="8"/>
        <v>INSERT INTO PERSONNES(firstname,name,fonction,adress,tel,mail,isActivate,catPerson') VALUES ('Florentin','TESTINALE','docteur','7M rue du gros colon 70000 TORBOYAUX','07.88.99.11.22','Florentin.TESTINALE@gmal.com',1,'client');</v>
      </c>
      <c r="BD14" s="160" t="s">
        <v>1953</v>
      </c>
      <c r="BH14" s="160" t="s">
        <v>1933</v>
      </c>
    </row>
    <row r="15" spans="5:60" ht="20.05" customHeight="1" x14ac:dyDescent="0.3">
      <c r="F15" s="160">
        <f t="shared" si="10"/>
        <v>12</v>
      </c>
      <c r="G15" s="160" t="s">
        <v>1840</v>
      </c>
      <c r="H15" s="160" t="s">
        <v>1841</v>
      </c>
      <c r="I15" s="160" t="s">
        <v>1842</v>
      </c>
      <c r="J15" s="160" t="s">
        <v>1843</v>
      </c>
      <c r="K15" s="160" t="s">
        <v>1844</v>
      </c>
      <c r="L15" s="160" t="str">
        <f t="shared" si="9"/>
        <v>Florentin.TESTINALE@gmal.com</v>
      </c>
      <c r="M15" s="160">
        <v>1</v>
      </c>
      <c r="N15" s="160" t="s">
        <v>1768</v>
      </c>
      <c r="P15" s="353"/>
      <c r="W15" s="322"/>
      <c r="X15" s="360"/>
      <c r="Y15" s="322"/>
      <c r="Z15" s="360"/>
      <c r="AA15" s="322"/>
      <c r="AB15" s="360"/>
      <c r="AC15" s="322"/>
      <c r="AD15" s="360"/>
      <c r="AE15" s="322"/>
      <c r="AF15" s="360"/>
      <c r="AG15" s="322"/>
      <c r="AH15" s="360"/>
      <c r="AI15" s="322"/>
      <c r="AJ15" s="360"/>
      <c r="AK15" s="322"/>
      <c r="AL15" s="360"/>
      <c r="AN15" s="360"/>
      <c r="AP15" s="360"/>
      <c r="AR15" s="360"/>
      <c r="AT15" s="360"/>
      <c r="AV15" s="360"/>
      <c r="AX15" s="360"/>
      <c r="AZ15" s="360"/>
      <c r="BB15" s="360"/>
      <c r="BC15" s="353"/>
    </row>
    <row r="16" spans="5:60" ht="20.05" customHeight="1" x14ac:dyDescent="0.3">
      <c r="P16" s="353"/>
      <c r="W16" s="322"/>
      <c r="X16" s="360"/>
      <c r="Y16" s="322"/>
      <c r="Z16" s="360"/>
      <c r="AA16" s="322"/>
      <c r="AB16" s="360"/>
      <c r="AC16" s="322"/>
      <c r="AD16" s="360"/>
      <c r="AE16" s="322"/>
      <c r="AF16" s="360"/>
      <c r="AG16" s="322"/>
      <c r="AH16" s="360"/>
      <c r="AI16" s="322"/>
      <c r="AJ16" s="360"/>
      <c r="AK16" s="322"/>
      <c r="AL16" s="360"/>
      <c r="AN16" s="360"/>
      <c r="AP16" s="360"/>
      <c r="AR16" s="360"/>
      <c r="AT16" s="360"/>
      <c r="AV16" s="360"/>
      <c r="AX16" s="360"/>
      <c r="AZ16" s="360"/>
      <c r="BB16" s="360"/>
      <c r="BC16" s="353"/>
    </row>
    <row r="17" spans="4:60" ht="20.05" customHeight="1" x14ac:dyDescent="0.3">
      <c r="W17" s="322"/>
      <c r="X17" s="360"/>
      <c r="Y17" s="322"/>
      <c r="Z17" s="360"/>
      <c r="AA17" s="322"/>
      <c r="AB17" s="360"/>
      <c r="AC17" s="322"/>
      <c r="AD17" s="360"/>
      <c r="AE17" s="322"/>
      <c r="AF17" s="360"/>
      <c r="AG17" s="322"/>
      <c r="AH17" s="360"/>
      <c r="AI17" s="322"/>
      <c r="AJ17" s="360"/>
      <c r="AK17" s="322"/>
      <c r="AL17" s="360"/>
      <c r="AN17" s="360"/>
      <c r="AP17" s="360"/>
      <c r="AR17" s="360"/>
      <c r="AT17" s="360"/>
      <c r="AV17" s="360"/>
      <c r="AX17" s="360"/>
      <c r="AZ17" s="360"/>
      <c r="BB17" s="360"/>
      <c r="BC17" s="353"/>
    </row>
    <row r="18" spans="4:60" ht="28.05" customHeight="1" x14ac:dyDescent="0.3">
      <c r="W18" s="322"/>
      <c r="X18" s="360"/>
      <c r="Y18" s="322"/>
      <c r="Z18" s="360"/>
      <c r="AA18" s="322"/>
      <c r="AB18" s="360"/>
      <c r="AC18" s="322"/>
      <c r="AD18" s="360"/>
      <c r="AE18" s="322"/>
      <c r="AF18" s="360"/>
      <c r="AG18" s="322"/>
      <c r="AH18" s="360"/>
      <c r="AI18" s="322"/>
      <c r="AJ18" s="360"/>
      <c r="AK18" s="322"/>
      <c r="AL18" s="360"/>
      <c r="AN18" s="360"/>
      <c r="AP18" s="360"/>
      <c r="AR18" s="360"/>
      <c r="AT18" s="360"/>
      <c r="AV18" s="360"/>
      <c r="AX18" s="360"/>
      <c r="AZ18" s="360"/>
      <c r="BB18" s="360"/>
      <c r="BC18" s="353"/>
    </row>
    <row r="19" spans="4:60" ht="30.05" customHeight="1" thickBot="1" x14ac:dyDescent="0.35">
      <c r="E19" s="160" t="s">
        <v>371</v>
      </c>
      <c r="F19" s="171" t="s">
        <v>79</v>
      </c>
      <c r="G19" s="254" t="s">
        <v>80</v>
      </c>
      <c r="H19" s="336" t="s">
        <v>383</v>
      </c>
      <c r="I19" s="336" t="s">
        <v>269</v>
      </c>
      <c r="J19" s="160" t="s">
        <v>1962</v>
      </c>
      <c r="W19" s="322"/>
      <c r="X19" s="360"/>
      <c r="Y19" s="322"/>
      <c r="Z19" s="360"/>
      <c r="AA19" s="322"/>
      <c r="AB19" s="360"/>
      <c r="AC19" s="322"/>
      <c r="AD19" s="360"/>
      <c r="AE19" s="322"/>
      <c r="AF19" s="360"/>
      <c r="AG19" s="322"/>
      <c r="AH19" s="360"/>
      <c r="AI19" s="322"/>
      <c r="AJ19" s="360"/>
      <c r="AK19" s="322"/>
      <c r="AL19" s="360"/>
      <c r="AN19" s="360"/>
      <c r="AP19" s="360"/>
      <c r="AR19" s="360"/>
      <c r="AT19" s="360"/>
      <c r="AV19" s="360"/>
      <c r="AX19" s="360"/>
      <c r="AZ19" s="360"/>
      <c r="BB19" s="360"/>
      <c r="BC19" s="353"/>
    </row>
    <row r="20" spans="4:60" ht="15.85" customHeight="1" x14ac:dyDescent="0.3">
      <c r="D20" s="160">
        <v>1</v>
      </c>
      <c r="F20" s="160" t="str">
        <f>MID(_xlfn.XLOOKUP(D20,F4:F13,G4:G13),1,3)</f>
        <v>Edg</v>
      </c>
      <c r="G20" s="160" t="s">
        <v>1771</v>
      </c>
      <c r="H20" s="160">
        <v>1</v>
      </c>
      <c r="I20" s="160">
        <f>D20</f>
        <v>1</v>
      </c>
      <c r="P20" s="353"/>
      <c r="T20" s="160" t="s">
        <v>1922</v>
      </c>
      <c r="U20" s="160" t="s">
        <v>371</v>
      </c>
      <c r="V20" s="160" t="s">
        <v>1934</v>
      </c>
      <c r="W20" s="263" t="str">
        <f>F$19</f>
        <v>login</v>
      </c>
      <c r="X20" s="360" t="s">
        <v>1935</v>
      </c>
      <c r="Y20" s="263" t="str">
        <f>G$19</f>
        <v>psw</v>
      </c>
      <c r="Z20" s="360" t="s">
        <v>1935</v>
      </c>
      <c r="AA20" s="160" t="s">
        <v>383</v>
      </c>
      <c r="AB20" s="360" t="s">
        <v>1935</v>
      </c>
      <c r="AC20" s="160" t="s">
        <v>269</v>
      </c>
      <c r="AD20" s="360" t="s">
        <v>1941</v>
      </c>
      <c r="AH20" s="160" t="str">
        <f>F20</f>
        <v>Edg</v>
      </c>
      <c r="AI20" s="360" t="s">
        <v>1937</v>
      </c>
      <c r="AJ20" s="263" t="str">
        <f>G20</f>
        <v>pass1</v>
      </c>
      <c r="AK20" s="360" t="s">
        <v>1939</v>
      </c>
      <c r="AL20" s="353" t="str">
        <f>T20&amp;U20&amp;V20&amp;W20&amp;X20&amp;Y20&amp;AD20&amp;AH20&amp;AI20&amp;AJ20&amp;AK20</f>
        <v>INSERT INTO UTILISATEURS(`login`,`psw`) VALUES ("Edg","pass1");</v>
      </c>
      <c r="AM20" s="360" t="s">
        <v>1954</v>
      </c>
      <c r="AN20" s="322"/>
      <c r="AP20" s="360"/>
      <c r="AR20" s="360"/>
      <c r="AT20" s="360"/>
      <c r="AV20" s="360"/>
      <c r="AX20" s="360"/>
      <c r="AZ20" s="360"/>
      <c r="BH20" s="353" t="s">
        <v>1940</v>
      </c>
    </row>
    <row r="21" spans="4:60" ht="15.85" customHeight="1" x14ac:dyDescent="0.3">
      <c r="D21" s="160">
        <v>2</v>
      </c>
      <c r="F21" s="160" t="str">
        <f>MID(_xlfn.XLOOKUP(D21,F5:F17,G5:G17),1,3)</f>
        <v>Edi</v>
      </c>
      <c r="G21" s="160" t="s">
        <v>1772</v>
      </c>
      <c r="H21" s="160">
        <v>2</v>
      </c>
      <c r="I21" s="160">
        <f>D21</f>
        <v>2</v>
      </c>
      <c r="P21" s="353"/>
      <c r="T21" s="160" t="s">
        <v>1922</v>
      </c>
      <c r="U21" s="160" t="s">
        <v>371</v>
      </c>
      <c r="V21" s="160" t="s">
        <v>1934</v>
      </c>
      <c r="W21" s="263" t="str">
        <f>F$19</f>
        <v>login</v>
      </c>
      <c r="X21" s="360" t="s">
        <v>1935</v>
      </c>
      <c r="Y21" s="263" t="str">
        <f>G$19</f>
        <v>psw</v>
      </c>
      <c r="AD21" s="360" t="s">
        <v>1941</v>
      </c>
      <c r="AH21" s="160" t="str">
        <f>F21</f>
        <v>Edi</v>
      </c>
      <c r="AI21" s="360" t="s">
        <v>1937</v>
      </c>
      <c r="AJ21" s="263" t="str">
        <f>G21</f>
        <v>pass2</v>
      </c>
      <c r="AK21" s="360" t="s">
        <v>1939</v>
      </c>
      <c r="AL21" s="353" t="str">
        <f>T21&amp;U21&amp;V21&amp;W21&amp;X21&amp;Y21&amp;AD21&amp;AH21&amp;AI21&amp;AJ21&amp;AK21</f>
        <v>INSERT INTO UTILISATEURS(`login`,`psw`) VALUES ("Edi","pass2");</v>
      </c>
      <c r="AM21" s="360" t="s">
        <v>1955</v>
      </c>
      <c r="AN21" s="322"/>
      <c r="AP21" s="360"/>
      <c r="AR21" s="360"/>
      <c r="AT21" s="360"/>
      <c r="AV21" s="360"/>
      <c r="AX21" s="360"/>
      <c r="AZ21" s="360"/>
      <c r="BB21" s="360"/>
      <c r="BC21" s="353"/>
    </row>
    <row r="22" spans="4:60" ht="15.85" customHeight="1" x14ac:dyDescent="0.3">
      <c r="D22" s="160">
        <v>6</v>
      </c>
      <c r="F22" s="160" t="str">
        <f>MID(_xlfn.XLOOKUP(D22,F6:F18,G6:G18),1,3)</f>
        <v>Ger</v>
      </c>
      <c r="G22" s="160" t="s">
        <v>1773</v>
      </c>
      <c r="H22" s="160">
        <v>3</v>
      </c>
      <c r="I22" s="160">
        <f>D22</f>
        <v>6</v>
      </c>
      <c r="P22" s="353"/>
      <c r="T22" s="160" t="s">
        <v>1922</v>
      </c>
      <c r="U22" s="160" t="s">
        <v>371</v>
      </c>
      <c r="V22" s="160" t="s">
        <v>1934</v>
      </c>
      <c r="W22" s="263" t="str">
        <f>F$19</f>
        <v>login</v>
      </c>
      <c r="X22" s="360" t="s">
        <v>1935</v>
      </c>
      <c r="Y22" s="263" t="str">
        <f>G$19</f>
        <v>psw</v>
      </c>
      <c r="AD22" s="360" t="s">
        <v>1941</v>
      </c>
      <c r="AH22" s="160" t="str">
        <f>F22</f>
        <v>Ger</v>
      </c>
      <c r="AI22" s="360" t="s">
        <v>1937</v>
      </c>
      <c r="AJ22" s="263" t="str">
        <f>G22</f>
        <v>pass3</v>
      </c>
      <c r="AK22" s="360" t="s">
        <v>1939</v>
      </c>
      <c r="AL22" s="353" t="str">
        <f>T22&amp;U22&amp;V22&amp;W22&amp;X22&amp;Y22&amp;AD22&amp;AH22&amp;AI22&amp;AJ22&amp;AK22</f>
        <v>INSERT INTO UTILISATEURS(`login`,`psw`) VALUES ("Ger","pass3");</v>
      </c>
      <c r="AM22" s="360" t="s">
        <v>1956</v>
      </c>
      <c r="AN22" s="322"/>
      <c r="AP22" s="360"/>
      <c r="AR22" s="360"/>
      <c r="AT22" s="360"/>
      <c r="AV22" s="360"/>
      <c r="AX22" s="360"/>
      <c r="AZ22" s="360"/>
      <c r="BB22" s="360"/>
      <c r="BC22" s="353"/>
    </row>
    <row r="23" spans="4:60" ht="15.85" customHeight="1" x14ac:dyDescent="0.3">
      <c r="D23" s="160">
        <v>8</v>
      </c>
      <c r="F23" s="160" t="str">
        <f>MID(_xlfn.XLOOKUP(D23,F7:F19,G7:G19),1,3)</f>
        <v>Noa</v>
      </c>
      <c r="G23" s="160" t="s">
        <v>1961</v>
      </c>
      <c r="H23" s="160">
        <v>4</v>
      </c>
      <c r="I23" s="160">
        <v>8</v>
      </c>
      <c r="P23" s="353"/>
      <c r="W23" s="263"/>
      <c r="X23" s="360"/>
      <c r="Y23" s="263"/>
      <c r="AD23" s="360"/>
      <c r="AI23" s="360"/>
      <c r="AJ23" s="263"/>
      <c r="AK23" s="360"/>
      <c r="AL23" s="353"/>
    </row>
    <row r="24" spans="4:60" ht="15.85" customHeight="1" x14ac:dyDescent="0.3"/>
    <row r="25" spans="4:60" ht="15.85" customHeight="1" x14ac:dyDescent="0.3">
      <c r="E25" s="160" t="s">
        <v>1958</v>
      </c>
      <c r="F25" s="195" t="s">
        <v>246</v>
      </c>
      <c r="G25" s="195" t="s">
        <v>250</v>
      </c>
      <c r="H25" s="195" t="s">
        <v>252</v>
      </c>
      <c r="I25" s="195" t="s">
        <v>356</v>
      </c>
      <c r="J25" s="195" t="s">
        <v>1915</v>
      </c>
      <c r="K25" s="195" t="s">
        <v>1917</v>
      </c>
      <c r="L25" s="337" t="s">
        <v>269</v>
      </c>
      <c r="M25" s="337" t="s">
        <v>384</v>
      </c>
      <c r="N25" s="338" t="s">
        <v>383</v>
      </c>
      <c r="O25" s="160" t="s">
        <v>1962</v>
      </c>
      <c r="T25" s="160" t="s">
        <v>1922</v>
      </c>
      <c r="U25" s="160" t="str">
        <f>E$25</f>
        <v>CLIENTS</v>
      </c>
      <c r="V25" s="160" t="s">
        <v>1934</v>
      </c>
      <c r="W25" s="195" t="s">
        <v>246</v>
      </c>
      <c r="X25" s="360" t="s">
        <v>1935</v>
      </c>
      <c r="Y25" s="195" t="s">
        <v>250</v>
      </c>
      <c r="Z25" s="360" t="s">
        <v>1935</v>
      </c>
      <c r="AA25" s="195" t="s">
        <v>252</v>
      </c>
      <c r="AB25" s="360" t="s">
        <v>1935</v>
      </c>
      <c r="AC25" s="195" t="s">
        <v>356</v>
      </c>
      <c r="AD25" s="360" t="s">
        <v>1935</v>
      </c>
      <c r="AE25" s="195" t="s">
        <v>1915</v>
      </c>
      <c r="AF25" s="360" t="s">
        <v>1935</v>
      </c>
      <c r="AG25" s="195" t="s">
        <v>1917</v>
      </c>
      <c r="AH25" s="360" t="s">
        <v>1935</v>
      </c>
      <c r="AI25" s="337" t="s">
        <v>269</v>
      </c>
      <c r="AJ25" s="360" t="s">
        <v>1935</v>
      </c>
      <c r="AK25" s="337" t="s">
        <v>384</v>
      </c>
      <c r="AL25" s="360" t="s">
        <v>1935</v>
      </c>
      <c r="AM25" s="338" t="s">
        <v>383</v>
      </c>
      <c r="AN25" s="360" t="s">
        <v>1941</v>
      </c>
      <c r="AO25" s="160">
        <f>+F26</f>
        <v>1</v>
      </c>
      <c r="AP25" s="360" t="s">
        <v>1937</v>
      </c>
      <c r="AQ25" s="325">
        <f t="shared" ref="AQ25:AQ31" si="11">G26</f>
        <v>1234567891254680</v>
      </c>
      <c r="AR25" s="360" t="s">
        <v>1937</v>
      </c>
      <c r="AS25" s="160" t="str">
        <f t="shared" ref="AS25:AS32" si="12">H26</f>
        <v>FR1234567891254680</v>
      </c>
      <c r="AT25" s="360" t="s">
        <v>1937</v>
      </c>
      <c r="AU25" s="160" t="str">
        <f t="shared" ref="AU25:AU32" si="13">I26</f>
        <v>7410X</v>
      </c>
      <c r="AV25" s="360" t="s">
        <v>1937</v>
      </c>
      <c r="AW25" s="160" t="str">
        <f t="shared" ref="AW25:AW32" si="14">J26</f>
        <v>Municipalité de Paris 11e</v>
      </c>
      <c r="AX25" s="360" t="s">
        <v>1937</v>
      </c>
      <c r="AY25" s="160" t="str">
        <f t="shared" ref="AY25:AY32" si="15">K26</f>
        <v>133 rue des Boulets 75011 PARIS</v>
      </c>
      <c r="AZ25" s="360" t="s">
        <v>1937</v>
      </c>
      <c r="BA25" s="160">
        <f t="shared" ref="BA25:BA32" si="16">L26</f>
        <v>3</v>
      </c>
      <c r="BB25" s="360" t="s">
        <v>1938</v>
      </c>
      <c r="BC25" s="160">
        <f t="shared" ref="BC25:BC32" si="17">M26</f>
        <v>1</v>
      </c>
      <c r="BD25" s="360" t="s">
        <v>1936</v>
      </c>
      <c r="BE25" s="160">
        <f t="shared" ref="BE25:BE32" si="18">N26</f>
        <v>1</v>
      </c>
      <c r="BF25" s="360" t="s">
        <v>1939</v>
      </c>
      <c r="BG25" s="353" t="str">
        <f>T25&amp;U25&amp;V25&amp;W25&amp;X25&amp;Y25&amp;Z25&amp;AA25&amp;AB25&amp;AC25&amp;AD25&amp;AE25&amp;AF25&amp;AG25&amp;AH25&amp;AI25&amp;AJ25&amp;AK25&amp;AL25&amp;AM25&amp;AN25&amp;AO25&amp;AP25&amp;AQ25&amp;AR25&amp;AS25&amp;AT25&amp;AU25&amp;AV25&amp;AW25&amp;AX25&amp;AY25&amp;AZ25&amp;BA25&amp;BB25&amp;BC25&amp;BD25&amp;BE25&amp;BF25</f>
        <v>INSERT INTO CLIENTS(`isPro`,`numSiret`,`numTVAIntracom`,`codeAPE`,`nomActivitePro`,`adrActivitePro`,`idPersonne`,`idPersonneClient`,`idPersonneUtilisateur`) VALUES ("1","1234567891254680","FR1234567891254680","7410X","Municipalité de Paris 11e","133 rue des Boulets 75011 PARIS","3",1,"1");</v>
      </c>
      <c r="BH25" s="160" t="s">
        <v>1963</v>
      </c>
    </row>
    <row r="26" spans="4:60" ht="15.85" customHeight="1" x14ac:dyDescent="0.25">
      <c r="D26" s="160">
        <v>3</v>
      </c>
      <c r="F26" s="160">
        <v>1</v>
      </c>
      <c r="G26" s="325">
        <v>1234567891254680</v>
      </c>
      <c r="H26" s="160" t="str">
        <f>"FR"&amp;G26</f>
        <v>FR1234567891254680</v>
      </c>
      <c r="I26" s="160" t="s">
        <v>1774</v>
      </c>
      <c r="J26" s="322" t="s">
        <v>1792</v>
      </c>
      <c r="K26" s="8" t="s">
        <v>1780</v>
      </c>
      <c r="L26" s="160">
        <v>3</v>
      </c>
      <c r="M26" s="160">
        <v>1</v>
      </c>
      <c r="N26" s="160">
        <v>1</v>
      </c>
      <c r="P26" s="353"/>
      <c r="T26" s="160" t="s">
        <v>1922</v>
      </c>
      <c r="U26" s="160" t="str">
        <f t="shared" ref="U26:U32" si="19">E$25</f>
        <v>CLIENTS</v>
      </c>
      <c r="V26" s="160" t="s">
        <v>1934</v>
      </c>
      <c r="W26" s="195" t="s">
        <v>246</v>
      </c>
      <c r="X26" s="360" t="s">
        <v>1935</v>
      </c>
      <c r="Y26" s="195" t="s">
        <v>250</v>
      </c>
      <c r="Z26" s="360" t="s">
        <v>1935</v>
      </c>
      <c r="AA26" s="195" t="s">
        <v>252</v>
      </c>
      <c r="AB26" s="360" t="s">
        <v>1935</v>
      </c>
      <c r="AC26" s="195" t="s">
        <v>356</v>
      </c>
      <c r="AD26" s="360" t="s">
        <v>1935</v>
      </c>
      <c r="AE26" s="195" t="s">
        <v>1915</v>
      </c>
      <c r="AF26" s="360" t="s">
        <v>1935</v>
      </c>
      <c r="AG26" s="195" t="s">
        <v>1917</v>
      </c>
      <c r="AH26" s="360" t="s">
        <v>1935</v>
      </c>
      <c r="AI26" s="337" t="s">
        <v>269</v>
      </c>
      <c r="AJ26" s="360" t="s">
        <v>1935</v>
      </c>
      <c r="AK26" s="337" t="s">
        <v>384</v>
      </c>
      <c r="AL26" s="360" t="s">
        <v>1935</v>
      </c>
      <c r="AM26" s="338" t="s">
        <v>383</v>
      </c>
      <c r="AN26" s="360" t="s">
        <v>1941</v>
      </c>
      <c r="AO26" s="160">
        <f t="shared" ref="AO26:AO32" si="20">+F27</f>
        <v>1</v>
      </c>
      <c r="AP26" s="360" t="s">
        <v>1937</v>
      </c>
      <c r="AQ26" s="325">
        <f t="shared" si="11"/>
        <v>9865567891254680</v>
      </c>
      <c r="AR26" s="360" t="s">
        <v>1937</v>
      </c>
      <c r="AS26" s="160" t="str">
        <f t="shared" si="12"/>
        <v>FR9865567891254680</v>
      </c>
      <c r="AT26" s="360" t="s">
        <v>1937</v>
      </c>
      <c r="AU26" s="160" t="str">
        <f t="shared" si="13"/>
        <v>6542C</v>
      </c>
      <c r="AV26" s="360" t="s">
        <v>1937</v>
      </c>
      <c r="AW26" s="160" t="str">
        <f t="shared" si="14"/>
        <v>BoisdeLux</v>
      </c>
      <c r="AX26" s="360" t="s">
        <v>1937</v>
      </c>
      <c r="AY26" s="160" t="str">
        <f t="shared" si="15"/>
        <v>75 rue de la Gerbe 69002 LYON</v>
      </c>
      <c r="AZ26" s="360" t="s">
        <v>1937</v>
      </c>
      <c r="BA26" s="160">
        <f t="shared" si="16"/>
        <v>4</v>
      </c>
      <c r="BB26" s="360" t="s">
        <v>1938</v>
      </c>
      <c r="BC26" s="160">
        <f t="shared" si="17"/>
        <v>2</v>
      </c>
      <c r="BD26" s="360" t="s">
        <v>1936</v>
      </c>
      <c r="BE26" s="160">
        <f t="shared" si="18"/>
        <v>1</v>
      </c>
      <c r="BF26" s="360" t="s">
        <v>1939</v>
      </c>
      <c r="BG26" s="353" t="str">
        <f t="shared" ref="BG26:BG33" si="21">T26&amp;U26&amp;V26&amp;W26&amp;X26&amp;Y26&amp;Z26&amp;AA26&amp;AB26&amp;AC26&amp;AD26&amp;AE26&amp;AF26&amp;AG26&amp;AH26&amp;AI26&amp;AJ26&amp;AK26&amp;AL26&amp;AM26&amp;AN26&amp;AO26&amp;AP26&amp;AQ26&amp;AR26&amp;AS26&amp;AT26&amp;AU26&amp;AV26&amp;AW26&amp;AX26&amp;AY26&amp;AZ26&amp;BA26&amp;BB26&amp;BC26&amp;BD26&amp;BE26&amp;BF26</f>
        <v>INSERT INTO CLIENTS(`isPro`,`numSiret`,`numTVAIntracom`,`codeAPE`,`nomActivitePro`,`adrActivitePro`,`idPersonne`,`idPersonneClient`,`idPersonneUtilisateur`) VALUES ("1","9865567891254680","FR9865567891254680","6542C","BoisdeLux","75 rue de la Gerbe 69002 LYON","4",2,"1");</v>
      </c>
      <c r="BH26" s="160" t="s">
        <v>1964</v>
      </c>
    </row>
    <row r="27" spans="4:60" ht="15.85" customHeight="1" x14ac:dyDescent="0.25">
      <c r="D27" s="160">
        <v>4</v>
      </c>
      <c r="F27" s="160">
        <v>1</v>
      </c>
      <c r="G27" s="325">
        <v>9865567891254680</v>
      </c>
      <c r="H27" s="160" t="str">
        <f t="shared" ref="H27:H32" si="22">"FR"&amp;G27</f>
        <v>FR9865567891254680</v>
      </c>
      <c r="I27" s="160" t="s">
        <v>1775</v>
      </c>
      <c r="J27" s="322" t="s">
        <v>1793</v>
      </c>
      <c r="K27" s="8" t="s">
        <v>1785</v>
      </c>
      <c r="L27" s="160">
        <v>4</v>
      </c>
      <c r="M27" s="160">
        <f>M26+1</f>
        <v>2</v>
      </c>
      <c r="N27" s="160">
        <v>1</v>
      </c>
      <c r="P27" s="353"/>
      <c r="T27" s="160" t="s">
        <v>1922</v>
      </c>
      <c r="U27" s="160" t="str">
        <f t="shared" si="19"/>
        <v>CLIENTS</v>
      </c>
      <c r="V27" s="160" t="s">
        <v>1934</v>
      </c>
      <c r="W27" s="195" t="s">
        <v>246</v>
      </c>
      <c r="X27" s="360" t="s">
        <v>1935</v>
      </c>
      <c r="Y27" s="195" t="s">
        <v>250</v>
      </c>
      <c r="Z27" s="360" t="s">
        <v>1935</v>
      </c>
      <c r="AA27" s="195" t="s">
        <v>252</v>
      </c>
      <c r="AB27" s="360" t="s">
        <v>1935</v>
      </c>
      <c r="AC27" s="195" t="s">
        <v>356</v>
      </c>
      <c r="AD27" s="360" t="s">
        <v>1935</v>
      </c>
      <c r="AE27" s="195" t="s">
        <v>1915</v>
      </c>
      <c r="AF27" s="360" t="s">
        <v>1935</v>
      </c>
      <c r="AG27" s="195" t="s">
        <v>1917</v>
      </c>
      <c r="AH27" s="360" t="s">
        <v>1935</v>
      </c>
      <c r="AI27" s="337" t="s">
        <v>269</v>
      </c>
      <c r="AJ27" s="360" t="s">
        <v>1935</v>
      </c>
      <c r="AK27" s="337" t="s">
        <v>384</v>
      </c>
      <c r="AL27" s="360" t="s">
        <v>1935</v>
      </c>
      <c r="AM27" s="338" t="s">
        <v>383</v>
      </c>
      <c r="AN27" s="360" t="s">
        <v>1941</v>
      </c>
      <c r="AO27" s="160">
        <f t="shared" si="20"/>
        <v>1</v>
      </c>
      <c r="AP27" s="360" t="s">
        <v>1937</v>
      </c>
      <c r="AQ27" s="325">
        <f t="shared" si="11"/>
        <v>5462387891254680</v>
      </c>
      <c r="AR27" s="360" t="s">
        <v>1937</v>
      </c>
      <c r="AS27" s="160" t="str">
        <f t="shared" si="12"/>
        <v>FR5462387891254680</v>
      </c>
      <c r="AT27" s="360" t="s">
        <v>1937</v>
      </c>
      <c r="AU27" s="160" t="str">
        <f t="shared" si="13"/>
        <v>5648Z</v>
      </c>
      <c r="AV27" s="360" t="s">
        <v>1937</v>
      </c>
      <c r="AW27" s="160" t="str">
        <f t="shared" si="14"/>
        <v>RameneTaFraise</v>
      </c>
      <c r="AX27" s="360" t="s">
        <v>1937</v>
      </c>
      <c r="AY27" s="160" t="str">
        <f t="shared" si="15"/>
        <v>2D rue Gratte-cul 75002 PARIS</v>
      </c>
      <c r="AZ27" s="360" t="s">
        <v>1937</v>
      </c>
      <c r="BA27" s="160">
        <f t="shared" si="16"/>
        <v>5</v>
      </c>
      <c r="BB27" s="360" t="s">
        <v>1938</v>
      </c>
      <c r="BC27" s="160">
        <f t="shared" si="17"/>
        <v>3</v>
      </c>
      <c r="BD27" s="360" t="s">
        <v>1936</v>
      </c>
      <c r="BE27" s="160">
        <f t="shared" si="18"/>
        <v>2</v>
      </c>
      <c r="BF27" s="360" t="s">
        <v>1939</v>
      </c>
      <c r="BG27" s="353" t="str">
        <f t="shared" si="21"/>
        <v>INSERT INTO CLIENTS(`isPro`,`numSiret`,`numTVAIntracom`,`codeAPE`,`nomActivitePro`,`adrActivitePro`,`idPersonne`,`idPersonneClient`,`idPersonneUtilisateur`) VALUES ("1","5462387891254680","FR5462387891254680","5648Z","RameneTaFraise","2D rue Gratte-cul 75002 PARIS","5",3,"2");</v>
      </c>
      <c r="BH27" s="160" t="s">
        <v>1965</v>
      </c>
    </row>
    <row r="28" spans="4:60" ht="15.85" customHeight="1" x14ac:dyDescent="0.25">
      <c r="D28" s="160">
        <v>5</v>
      </c>
      <c r="F28" s="160">
        <v>1</v>
      </c>
      <c r="G28" s="325">
        <v>5462387891254680</v>
      </c>
      <c r="H28" s="160" t="str">
        <f t="shared" si="22"/>
        <v>FR5462387891254680</v>
      </c>
      <c r="I28" s="160" t="s">
        <v>1776</v>
      </c>
      <c r="J28" s="322" t="s">
        <v>1794</v>
      </c>
      <c r="K28" s="8" t="s">
        <v>1779</v>
      </c>
      <c r="L28" s="160">
        <v>5</v>
      </c>
      <c r="M28" s="160">
        <f t="shared" ref="M28:M33" si="23">M27+1</f>
        <v>3</v>
      </c>
      <c r="N28" s="160">
        <v>2</v>
      </c>
      <c r="P28" s="353"/>
      <c r="T28" s="160" t="s">
        <v>1922</v>
      </c>
      <c r="U28" s="160" t="str">
        <f t="shared" si="19"/>
        <v>CLIENTS</v>
      </c>
      <c r="V28" s="160" t="s">
        <v>1934</v>
      </c>
      <c r="W28" s="195" t="s">
        <v>246</v>
      </c>
      <c r="X28" s="360" t="s">
        <v>1935</v>
      </c>
      <c r="Y28" s="195" t="s">
        <v>250</v>
      </c>
      <c r="Z28" s="360" t="s">
        <v>1935</v>
      </c>
      <c r="AA28" s="195" t="s">
        <v>252</v>
      </c>
      <c r="AB28" s="360" t="s">
        <v>1935</v>
      </c>
      <c r="AC28" s="195" t="s">
        <v>356</v>
      </c>
      <c r="AD28" s="360" t="s">
        <v>1935</v>
      </c>
      <c r="AE28" s="195" t="s">
        <v>1915</v>
      </c>
      <c r="AF28" s="360" t="s">
        <v>1935</v>
      </c>
      <c r="AG28" s="195" t="s">
        <v>1917</v>
      </c>
      <c r="AH28" s="360" t="s">
        <v>1935</v>
      </c>
      <c r="AI28" s="337" t="s">
        <v>269</v>
      </c>
      <c r="AJ28" s="360" t="s">
        <v>1935</v>
      </c>
      <c r="AK28" s="337" t="s">
        <v>384</v>
      </c>
      <c r="AL28" s="360" t="s">
        <v>1935</v>
      </c>
      <c r="AM28" s="338" t="s">
        <v>383</v>
      </c>
      <c r="AN28" s="360" t="s">
        <v>1941</v>
      </c>
      <c r="AO28" s="160">
        <f t="shared" si="20"/>
        <v>1</v>
      </c>
      <c r="AP28" s="360" t="s">
        <v>1937</v>
      </c>
      <c r="AQ28" s="325">
        <f t="shared" si="11"/>
        <v>7652367891254680</v>
      </c>
      <c r="AR28" s="360" t="s">
        <v>1937</v>
      </c>
      <c r="AS28" s="160" t="str">
        <f t="shared" si="12"/>
        <v>FR7652367891254680</v>
      </c>
      <c r="AT28" s="360" t="s">
        <v>1937</v>
      </c>
      <c r="AU28" s="160" t="str">
        <f t="shared" si="13"/>
        <v>7410X</v>
      </c>
      <c r="AV28" s="360" t="s">
        <v>1937</v>
      </c>
      <c r="AW28" s="160" t="str">
        <f t="shared" si="14"/>
        <v>TaPudFuite</v>
      </c>
      <c r="AX28" s="360" t="s">
        <v>1937</v>
      </c>
      <c r="AY28" s="160" t="str">
        <f t="shared" si="15"/>
        <v>1 rue Brisemiche 75004 PARIS</v>
      </c>
      <c r="AZ28" s="360" t="s">
        <v>1937</v>
      </c>
      <c r="BA28" s="160">
        <f t="shared" si="16"/>
        <v>7</v>
      </c>
      <c r="BB28" s="360" t="s">
        <v>1938</v>
      </c>
      <c r="BC28" s="160">
        <f t="shared" si="17"/>
        <v>4</v>
      </c>
      <c r="BD28" s="360" t="s">
        <v>1936</v>
      </c>
      <c r="BE28" s="160">
        <f t="shared" si="18"/>
        <v>1</v>
      </c>
      <c r="BF28" s="360" t="s">
        <v>1939</v>
      </c>
      <c r="BG28" s="353" t="str">
        <f t="shared" si="21"/>
        <v>INSERT INTO CLIENTS(`isPro`,`numSiret`,`numTVAIntracom`,`codeAPE`,`nomActivitePro`,`adrActivitePro`,`idPersonne`,`idPersonneClient`,`idPersonneUtilisateur`) VALUES ("1","7652367891254680","FR7652367891254680","7410X","TaPudFuite","1 rue Brisemiche 75004 PARIS","7",4,"1");</v>
      </c>
      <c r="BH28" s="160" t="s">
        <v>1966</v>
      </c>
    </row>
    <row r="29" spans="4:60" ht="15.85" customHeight="1" x14ac:dyDescent="0.25">
      <c r="D29" s="160">
        <v>7</v>
      </c>
      <c r="F29" s="160">
        <v>1</v>
      </c>
      <c r="G29" s="325">
        <v>7652367891254680</v>
      </c>
      <c r="H29" s="160" t="str">
        <f t="shared" si="22"/>
        <v>FR7652367891254680</v>
      </c>
      <c r="I29" s="160" t="s">
        <v>1774</v>
      </c>
      <c r="J29" s="322" t="s">
        <v>1797</v>
      </c>
      <c r="K29" s="8" t="s">
        <v>1784</v>
      </c>
      <c r="L29" s="160">
        <v>7</v>
      </c>
      <c r="M29" s="160">
        <f t="shared" si="23"/>
        <v>4</v>
      </c>
      <c r="N29" s="160">
        <v>1</v>
      </c>
      <c r="P29" s="353"/>
      <c r="T29" s="160" t="s">
        <v>1922</v>
      </c>
      <c r="U29" s="160" t="str">
        <f t="shared" si="19"/>
        <v>CLIENTS</v>
      </c>
      <c r="V29" s="160" t="s">
        <v>1934</v>
      </c>
      <c r="W29" s="195" t="s">
        <v>246</v>
      </c>
      <c r="X29" s="360" t="s">
        <v>1935</v>
      </c>
      <c r="Y29" s="195" t="s">
        <v>250</v>
      </c>
      <c r="Z29" s="360" t="s">
        <v>1935</v>
      </c>
      <c r="AA29" s="195" t="s">
        <v>252</v>
      </c>
      <c r="AB29" s="360" t="s">
        <v>1935</v>
      </c>
      <c r="AC29" s="195" t="s">
        <v>356</v>
      </c>
      <c r="AD29" s="360" t="s">
        <v>1935</v>
      </c>
      <c r="AE29" s="195" t="s">
        <v>1915</v>
      </c>
      <c r="AF29" s="360" t="s">
        <v>1935</v>
      </c>
      <c r="AG29" s="195" t="s">
        <v>1917</v>
      </c>
      <c r="AH29" s="360" t="s">
        <v>1935</v>
      </c>
      <c r="AI29" s="337" t="s">
        <v>269</v>
      </c>
      <c r="AJ29" s="360" t="s">
        <v>1935</v>
      </c>
      <c r="AK29" s="337" t="s">
        <v>384</v>
      </c>
      <c r="AL29" s="360" t="s">
        <v>1935</v>
      </c>
      <c r="AM29" s="338" t="s">
        <v>383</v>
      </c>
      <c r="AN29" s="360" t="s">
        <v>1941</v>
      </c>
      <c r="AO29" s="160">
        <f t="shared" si="20"/>
        <v>1</v>
      </c>
      <c r="AP29" s="360" t="s">
        <v>1937</v>
      </c>
      <c r="AQ29" s="325">
        <f t="shared" si="11"/>
        <v>3568467891254680</v>
      </c>
      <c r="AR29" s="360" t="s">
        <v>1937</v>
      </c>
      <c r="AS29" s="160" t="str">
        <f t="shared" si="12"/>
        <v>FR3568467891254680</v>
      </c>
      <c r="AT29" s="360" t="s">
        <v>1937</v>
      </c>
      <c r="AU29" s="160" t="str">
        <f t="shared" si="13"/>
        <v>6541E</v>
      </c>
      <c r="AV29" s="360" t="s">
        <v>1937</v>
      </c>
      <c r="AW29" s="160" t="str">
        <f t="shared" si="14"/>
        <v>LaBonneBaguette</v>
      </c>
      <c r="AX29" s="360" t="s">
        <v>1937</v>
      </c>
      <c r="AY29" s="160" t="str">
        <f t="shared" si="15"/>
        <v>84 rue des deux Boules 75001 PARIS</v>
      </c>
      <c r="AZ29" s="360" t="s">
        <v>1937</v>
      </c>
      <c r="BA29" s="160">
        <f t="shared" si="16"/>
        <v>8</v>
      </c>
      <c r="BB29" s="360" t="s">
        <v>1938</v>
      </c>
      <c r="BC29" s="160">
        <f t="shared" si="17"/>
        <v>5</v>
      </c>
      <c r="BD29" s="360" t="s">
        <v>1936</v>
      </c>
      <c r="BE29" s="160">
        <f t="shared" si="18"/>
        <v>1</v>
      </c>
      <c r="BF29" s="360" t="s">
        <v>1939</v>
      </c>
      <c r="BG29" s="353" t="str">
        <f t="shared" si="21"/>
        <v>INSERT INTO CLIENTS(`isPro`,`numSiret`,`numTVAIntracom`,`codeAPE`,`nomActivitePro`,`adrActivitePro`,`idPersonne`,`idPersonneClient`,`idPersonneUtilisateur`) VALUES ("1","3568467891254680","FR3568467891254680","6541E","LaBonneBaguette","84 rue des deux Boules 75001 PARIS","8",5,"1");</v>
      </c>
      <c r="BH29" s="160" t="s">
        <v>1967</v>
      </c>
    </row>
    <row r="30" spans="4:60" ht="15.85" customHeight="1" x14ac:dyDescent="0.25">
      <c r="D30" s="160">
        <v>8</v>
      </c>
      <c r="F30" s="160">
        <v>1</v>
      </c>
      <c r="G30" s="325">
        <v>3568467891254680</v>
      </c>
      <c r="H30" s="160" t="str">
        <f t="shared" si="22"/>
        <v>FR3568467891254680</v>
      </c>
      <c r="I30" s="160" t="s">
        <v>1777</v>
      </c>
      <c r="J30" s="322" t="s">
        <v>1798</v>
      </c>
      <c r="K30" s="8" t="s">
        <v>1781</v>
      </c>
      <c r="L30" s="160">
        <v>8</v>
      </c>
      <c r="M30" s="160">
        <f t="shared" si="23"/>
        <v>5</v>
      </c>
      <c r="N30" s="160">
        <v>1</v>
      </c>
      <c r="P30" s="353"/>
      <c r="T30" s="160" t="s">
        <v>1922</v>
      </c>
      <c r="U30" s="160" t="str">
        <f t="shared" si="19"/>
        <v>CLIENTS</v>
      </c>
      <c r="V30" s="160" t="s">
        <v>1934</v>
      </c>
      <c r="W30" s="195" t="s">
        <v>246</v>
      </c>
      <c r="X30" s="360" t="s">
        <v>1935</v>
      </c>
      <c r="Y30" s="195" t="s">
        <v>250</v>
      </c>
      <c r="Z30" s="360" t="s">
        <v>1935</v>
      </c>
      <c r="AA30" s="195" t="s">
        <v>252</v>
      </c>
      <c r="AB30" s="360" t="s">
        <v>1935</v>
      </c>
      <c r="AC30" s="195" t="s">
        <v>356</v>
      </c>
      <c r="AD30" s="360" t="s">
        <v>1935</v>
      </c>
      <c r="AE30" s="195" t="s">
        <v>1915</v>
      </c>
      <c r="AF30" s="360" t="s">
        <v>1935</v>
      </c>
      <c r="AG30" s="195" t="s">
        <v>1917</v>
      </c>
      <c r="AH30" s="360" t="s">
        <v>1935</v>
      </c>
      <c r="AI30" s="337" t="s">
        <v>269</v>
      </c>
      <c r="AJ30" s="360" t="s">
        <v>1935</v>
      </c>
      <c r="AK30" s="337" t="s">
        <v>384</v>
      </c>
      <c r="AL30" s="360" t="s">
        <v>1935</v>
      </c>
      <c r="AM30" s="338" t="s">
        <v>383</v>
      </c>
      <c r="AN30" s="360" t="s">
        <v>1941</v>
      </c>
      <c r="AO30" s="160">
        <f t="shared" si="20"/>
        <v>1</v>
      </c>
      <c r="AP30" s="360" t="s">
        <v>1937</v>
      </c>
      <c r="AQ30" s="325">
        <f t="shared" si="11"/>
        <v>3568467891254680</v>
      </c>
      <c r="AR30" s="360" t="s">
        <v>1937</v>
      </c>
      <c r="AS30" s="160" t="str">
        <f t="shared" si="12"/>
        <v>FR3568467891254680</v>
      </c>
      <c r="AT30" s="360" t="s">
        <v>1937</v>
      </c>
      <c r="AU30" s="160" t="str">
        <f t="shared" si="13"/>
        <v>6541E</v>
      </c>
      <c r="AV30" s="360" t="s">
        <v>1937</v>
      </c>
      <c r="AW30" s="160" t="str">
        <f t="shared" si="14"/>
        <v>GlesBoules</v>
      </c>
      <c r="AX30" s="360" t="s">
        <v>1937</v>
      </c>
      <c r="AY30" s="160" t="str">
        <f t="shared" si="15"/>
        <v>76 rue Pavée d’Andouilles 71460 SAINT-GENGOUX</v>
      </c>
      <c r="AZ30" s="360" t="s">
        <v>1937</v>
      </c>
      <c r="BA30" s="160">
        <f t="shared" si="16"/>
        <v>9</v>
      </c>
      <c r="BB30" s="360" t="s">
        <v>1938</v>
      </c>
      <c r="BC30" s="160">
        <f t="shared" si="17"/>
        <v>6</v>
      </c>
      <c r="BD30" s="360" t="s">
        <v>1936</v>
      </c>
      <c r="BE30" s="160">
        <f t="shared" si="18"/>
        <v>2</v>
      </c>
      <c r="BF30" s="360" t="s">
        <v>1939</v>
      </c>
      <c r="BG30" s="353" t="str">
        <f t="shared" si="21"/>
        <v>INSERT INTO CLIENTS(`isPro`,`numSiret`,`numTVAIntracom`,`codeAPE`,`nomActivitePro`,`adrActivitePro`,`idPersonne`,`idPersonneClient`,`idPersonneUtilisateur`) VALUES ("1","3568467891254680","FR3568467891254680","6541E","GlesBoules","76 rue Pavée d’Andouilles 71460 SAINT-GENGOUX","9",6,"2");</v>
      </c>
      <c r="BH30" s="160" t="s">
        <v>1968</v>
      </c>
    </row>
    <row r="31" spans="4:60" ht="15.85" customHeight="1" x14ac:dyDescent="0.25">
      <c r="D31" s="160">
        <v>9</v>
      </c>
      <c r="F31" s="160">
        <v>1</v>
      </c>
      <c r="G31" s="325">
        <v>3568467891254680</v>
      </c>
      <c r="H31" s="160" t="str">
        <f t="shared" si="22"/>
        <v>FR3568467891254680</v>
      </c>
      <c r="I31" s="160" t="s">
        <v>1777</v>
      </c>
      <c r="J31" s="322" t="s">
        <v>1799</v>
      </c>
      <c r="K31" s="8" t="s">
        <v>1788</v>
      </c>
      <c r="L31" s="160">
        <v>9</v>
      </c>
      <c r="M31" s="160">
        <f t="shared" si="23"/>
        <v>6</v>
      </c>
      <c r="N31" s="160">
        <v>2</v>
      </c>
      <c r="P31" s="353"/>
      <c r="T31" s="160" t="s">
        <v>1922</v>
      </c>
      <c r="U31" s="160" t="str">
        <f t="shared" si="19"/>
        <v>CLIENTS</v>
      </c>
      <c r="V31" s="160" t="s">
        <v>1934</v>
      </c>
      <c r="W31" s="195" t="s">
        <v>246</v>
      </c>
      <c r="X31" s="360" t="s">
        <v>1935</v>
      </c>
      <c r="Y31" s="195" t="s">
        <v>250</v>
      </c>
      <c r="Z31" s="360" t="s">
        <v>1935</v>
      </c>
      <c r="AA31" s="195" t="s">
        <v>252</v>
      </c>
      <c r="AB31" s="360" t="s">
        <v>1935</v>
      </c>
      <c r="AC31" s="195" t="s">
        <v>356</v>
      </c>
      <c r="AD31" s="360" t="s">
        <v>1935</v>
      </c>
      <c r="AE31" s="195" t="s">
        <v>1915</v>
      </c>
      <c r="AF31" s="360" t="s">
        <v>1935</v>
      </c>
      <c r="AG31" s="195" t="s">
        <v>1917</v>
      </c>
      <c r="AH31" s="360" t="s">
        <v>1935</v>
      </c>
      <c r="AI31" s="337" t="s">
        <v>269</v>
      </c>
      <c r="AJ31" s="360" t="s">
        <v>1935</v>
      </c>
      <c r="AK31" s="337" t="s">
        <v>384</v>
      </c>
      <c r="AL31" s="360" t="s">
        <v>1935</v>
      </c>
      <c r="AM31" s="338" t="s">
        <v>383</v>
      </c>
      <c r="AN31" s="360" t="s">
        <v>1941</v>
      </c>
      <c r="AO31" s="160">
        <f t="shared" si="20"/>
        <v>1</v>
      </c>
      <c r="AP31" s="360" t="s">
        <v>1937</v>
      </c>
      <c r="AQ31" s="325">
        <f t="shared" si="11"/>
        <v>3568467891254680</v>
      </c>
      <c r="AR31" s="360" t="s">
        <v>1937</v>
      </c>
      <c r="AS31" s="160" t="str">
        <f t="shared" si="12"/>
        <v>FR3568467891254680</v>
      </c>
      <c r="AT31" s="360" t="s">
        <v>1937</v>
      </c>
      <c r="AU31" s="160" t="str">
        <f t="shared" si="13"/>
        <v>6541E</v>
      </c>
      <c r="AV31" s="360" t="s">
        <v>1937</v>
      </c>
      <c r="AW31" s="160" t="str">
        <f t="shared" si="14"/>
        <v>AuPirate</v>
      </c>
      <c r="AX31" s="360" t="s">
        <v>1937</v>
      </c>
      <c r="AY31" s="160" t="str">
        <f t="shared" si="15"/>
        <v>47 rue de la Pompe 75016 PARIS</v>
      </c>
      <c r="AZ31" s="360" t="s">
        <v>1937</v>
      </c>
      <c r="BA31" s="160">
        <f t="shared" si="16"/>
        <v>10</v>
      </c>
      <c r="BB31" s="360" t="s">
        <v>1938</v>
      </c>
      <c r="BC31" s="160">
        <f t="shared" si="17"/>
        <v>7</v>
      </c>
      <c r="BD31" s="360" t="s">
        <v>1936</v>
      </c>
      <c r="BE31" s="160">
        <f t="shared" si="18"/>
        <v>1</v>
      </c>
      <c r="BF31" s="360" t="s">
        <v>1939</v>
      </c>
      <c r="BG31" s="353" t="str">
        <f t="shared" si="21"/>
        <v>INSERT INTO CLIENTS(`isPro`,`numSiret`,`numTVAIntracom`,`codeAPE`,`nomActivitePro`,`adrActivitePro`,`idPersonne`,`idPersonneClient`,`idPersonneUtilisateur`) VALUES ("1","3568467891254680","FR3568467891254680","6541E","AuPirate","47 rue de la Pompe 75016 PARIS","10",7,"1");</v>
      </c>
      <c r="BH31" s="160" t="s">
        <v>1969</v>
      </c>
    </row>
    <row r="32" spans="4:60" ht="15.85" customHeight="1" x14ac:dyDescent="0.25">
      <c r="D32" s="160">
        <v>10</v>
      </c>
      <c r="F32" s="160">
        <v>1</v>
      </c>
      <c r="G32" s="325">
        <v>3568467891254680</v>
      </c>
      <c r="H32" s="160" t="str">
        <f t="shared" si="22"/>
        <v>FR3568467891254680</v>
      </c>
      <c r="I32" s="160" t="s">
        <v>1777</v>
      </c>
      <c r="J32" s="322" t="s">
        <v>1800</v>
      </c>
      <c r="K32" s="8" t="s">
        <v>1791</v>
      </c>
      <c r="L32" s="160">
        <v>10</v>
      </c>
      <c r="M32" s="160">
        <f t="shared" si="23"/>
        <v>7</v>
      </c>
      <c r="N32" s="160">
        <v>1</v>
      </c>
      <c r="P32" s="353"/>
      <c r="T32" s="160" t="s">
        <v>1922</v>
      </c>
      <c r="U32" s="160" t="str">
        <f t="shared" si="19"/>
        <v>CLIENTS</v>
      </c>
      <c r="V32" s="160" t="s">
        <v>1934</v>
      </c>
      <c r="W32" s="195" t="s">
        <v>246</v>
      </c>
      <c r="X32" s="360" t="s">
        <v>1935</v>
      </c>
      <c r="Y32" s="195" t="s">
        <v>250</v>
      </c>
      <c r="Z32" s="360" t="s">
        <v>1935</v>
      </c>
      <c r="AA32" s="195" t="s">
        <v>252</v>
      </c>
      <c r="AB32" s="360" t="s">
        <v>1935</v>
      </c>
      <c r="AC32" s="195" t="s">
        <v>356</v>
      </c>
      <c r="AD32" s="360" t="s">
        <v>1935</v>
      </c>
      <c r="AE32" s="195" t="s">
        <v>1915</v>
      </c>
      <c r="AF32" s="360" t="s">
        <v>1935</v>
      </c>
      <c r="AG32" s="195" t="s">
        <v>1917</v>
      </c>
      <c r="AH32" s="360" t="s">
        <v>1935</v>
      </c>
      <c r="AI32" s="337" t="s">
        <v>269</v>
      </c>
      <c r="AJ32" s="360" t="s">
        <v>1935</v>
      </c>
      <c r="AK32" s="337" t="s">
        <v>384</v>
      </c>
      <c r="AL32" s="360" t="s">
        <v>1935</v>
      </c>
      <c r="AM32" s="338" t="s">
        <v>383</v>
      </c>
      <c r="AN32" s="360" t="s">
        <v>1941</v>
      </c>
      <c r="AO32" s="160">
        <f t="shared" si="20"/>
        <v>1</v>
      </c>
      <c r="AP32" s="360" t="s">
        <v>1937</v>
      </c>
      <c r="AQ32" s="325"/>
      <c r="AR32" s="360" t="s">
        <v>1937</v>
      </c>
      <c r="AS32" s="160">
        <f t="shared" si="12"/>
        <v>0</v>
      </c>
      <c r="AT32" s="360" t="s">
        <v>1937</v>
      </c>
      <c r="AU32" s="160">
        <f t="shared" si="13"/>
        <v>0</v>
      </c>
      <c r="AV32" s="360" t="s">
        <v>1937</v>
      </c>
      <c r="AW32" s="160" t="str">
        <f t="shared" si="14"/>
        <v>MedicCenter</v>
      </c>
      <c r="AX32" s="360" t="s">
        <v>1937</v>
      </c>
      <c r="AY32" s="160" t="str">
        <f t="shared" si="15"/>
        <v>112 Place laisse de l'urgence 59000 LILLE</v>
      </c>
      <c r="AZ32" s="360" t="s">
        <v>1937</v>
      </c>
      <c r="BA32" s="160">
        <f t="shared" si="16"/>
        <v>12</v>
      </c>
      <c r="BB32" s="360" t="s">
        <v>1938</v>
      </c>
      <c r="BC32" s="160">
        <f t="shared" si="17"/>
        <v>8</v>
      </c>
      <c r="BD32" s="360" t="s">
        <v>1936</v>
      </c>
      <c r="BE32" s="160">
        <f t="shared" si="18"/>
        <v>1</v>
      </c>
      <c r="BF32" s="360" t="s">
        <v>1939</v>
      </c>
      <c r="BG32" s="353" t="str">
        <f t="shared" si="21"/>
        <v>INSERT INTO CLIENTS(`isPro`,`numSiret`,`numTVAIntracom`,`codeAPE`,`nomActivitePro`,`adrActivitePro`,`idPersonne`,`idPersonneClient`,`idPersonneUtilisateur`) VALUES ("1","","0","0","MedicCenter","112 Place laisse de l'urgence 59000 LILLE","12",8,"1");</v>
      </c>
      <c r="BH32" s="160" t="s">
        <v>1970</v>
      </c>
    </row>
    <row r="33" spans="4:60" ht="15.85" customHeight="1" x14ac:dyDescent="0.3">
      <c r="D33" s="160">
        <v>12</v>
      </c>
      <c r="F33" s="160">
        <v>1</v>
      </c>
      <c r="J33" s="322" t="s">
        <v>1845</v>
      </c>
      <c r="K33" s="160" t="s">
        <v>1846</v>
      </c>
      <c r="L33" s="160">
        <v>12</v>
      </c>
      <c r="M33" s="160">
        <f t="shared" si="23"/>
        <v>8</v>
      </c>
      <c r="N33" s="160">
        <v>1</v>
      </c>
      <c r="P33" s="353"/>
      <c r="AO33" s="325"/>
      <c r="BG33" s="353" t="str">
        <f t="shared" si="21"/>
        <v/>
      </c>
      <c r="BH33" s="160" t="s">
        <v>1957</v>
      </c>
    </row>
    <row r="34" spans="4:60" ht="15.85" customHeight="1" thickBot="1" x14ac:dyDescent="0.35">
      <c r="J34" s="322"/>
    </row>
    <row r="35" spans="4:60" ht="15.85" customHeight="1" thickBot="1" x14ac:dyDescent="0.35">
      <c r="J35" s="322"/>
      <c r="U35" s="160" t="s">
        <v>375</v>
      </c>
      <c r="W35" s="288" t="s">
        <v>349</v>
      </c>
      <c r="Y35" s="292" t="s">
        <v>351</v>
      </c>
      <c r="Z35" s="360"/>
      <c r="AA35" s="292" t="s">
        <v>168</v>
      </c>
      <c r="AB35" s="360"/>
      <c r="AD35" s="360"/>
      <c r="AF35" s="360"/>
      <c r="AQ35" s="361"/>
      <c r="AR35" s="329"/>
    </row>
    <row r="36" spans="4:60" ht="15.85" customHeight="1" thickBot="1" x14ac:dyDescent="0.35">
      <c r="E36" s="160" t="s">
        <v>375</v>
      </c>
      <c r="F36" s="288" t="s">
        <v>349</v>
      </c>
      <c r="G36" s="292" t="s">
        <v>351</v>
      </c>
      <c r="H36" s="292" t="s">
        <v>168</v>
      </c>
      <c r="J36" s="322"/>
      <c r="P36" s="353" t="str">
        <f>"INSERT INTO "&amp;$E$36&amp;"("&amp;$F$36&amp;", "&amp;$G$36&amp;", "&amp;$H$36&amp;") VALUES ("&amp;F37&amp;", "&amp;G37&amp;", "&amp;H37&amp;");"</f>
        <v>INSERT INTO GENERATEUR(idDeGeneration, dateGenerationDoc, catDoc) VALUES (1, 44900, Devis);</v>
      </c>
      <c r="Q36" s="160" t="s">
        <v>1971</v>
      </c>
      <c r="T36" s="160" t="s">
        <v>1922</v>
      </c>
      <c r="U36" s="160" t="s">
        <v>375</v>
      </c>
      <c r="V36" s="160" t="s">
        <v>1934</v>
      </c>
      <c r="W36" s="288" t="s">
        <v>349</v>
      </c>
      <c r="X36" s="360" t="s">
        <v>1935</v>
      </c>
      <c r="Y36" s="292" t="s">
        <v>351</v>
      </c>
      <c r="Z36" s="360" t="s">
        <v>1935</v>
      </c>
      <c r="AA36" s="292" t="s">
        <v>168</v>
      </c>
      <c r="AB36" s="360" t="s">
        <v>1996</v>
      </c>
      <c r="AC36" s="160" t="s">
        <v>1959</v>
      </c>
      <c r="AD36" s="360" t="s">
        <v>1936</v>
      </c>
      <c r="AE36" s="362" t="str">
        <f>M37</f>
        <v>2022/12/5</v>
      </c>
      <c r="AF36" s="360" t="s">
        <v>1937</v>
      </c>
      <c r="AG36" s="160" t="str">
        <f>H37</f>
        <v>Devis</v>
      </c>
      <c r="AH36" s="160" t="s">
        <v>1939</v>
      </c>
      <c r="AI36" s="329" t="str">
        <f>T36&amp;U36&amp;V36&amp;W36&amp;X36&amp;Y36&amp;Z36&amp;AA36&amp;AB36&amp;AC36&amp;AD36&amp;AE36&amp;AF36&amp;AG36&amp;AH36</f>
        <v>INSERT INTO GENERATEUR(`idDeGeneration`,`dateGenerationDoc`,`catDoc`) VALUES (NULL,"2022/12/5","Devis");</v>
      </c>
      <c r="AJ36" s="329" t="s">
        <v>1997</v>
      </c>
      <c r="AQ36" s="361"/>
      <c r="AR36" s="329"/>
    </row>
    <row r="37" spans="4:60" ht="15.85" customHeight="1" thickBot="1" x14ac:dyDescent="0.35">
      <c r="F37" s="160">
        <v>1</v>
      </c>
      <c r="G37" s="329">
        <v>44900</v>
      </c>
      <c r="H37" s="160" t="s">
        <v>104</v>
      </c>
      <c r="I37" s="354">
        <v>1</v>
      </c>
      <c r="J37" s="160">
        <f>YEAR(G37)</f>
        <v>2022</v>
      </c>
      <c r="K37" s="160">
        <f>MONTH(G37)</f>
        <v>12</v>
      </c>
      <c r="L37" s="160">
        <f>DAY(G37)</f>
        <v>5</v>
      </c>
      <c r="M37" s="160" t="str">
        <f>J37&amp;"/"&amp;K37&amp;"/"&amp;L37</f>
        <v>2022/12/5</v>
      </c>
      <c r="P37" s="353" t="str">
        <f t="shared" ref="P37:P58" si="24">"INSERT INTO "&amp;$E$36&amp;"("&amp;$F$36&amp;", "&amp;$G$36&amp;", "&amp;$H$36&amp;") VALUES ("&amp;F38&amp;", "&amp;G38&amp;", "&amp;H38&amp;");"</f>
        <v>INSERT INTO GENERATEUR(idDeGeneration, dateGenerationDoc, catDoc) VALUES (2, 44915, Devis);</v>
      </c>
      <c r="Q37" s="160" t="s">
        <v>1972</v>
      </c>
      <c r="T37" s="160" t="s">
        <v>1922</v>
      </c>
      <c r="U37" s="160" t="s">
        <v>375</v>
      </c>
      <c r="V37" s="160" t="s">
        <v>1934</v>
      </c>
      <c r="W37" s="288" t="s">
        <v>349</v>
      </c>
      <c r="X37" s="360" t="s">
        <v>1935</v>
      </c>
      <c r="Y37" s="292" t="s">
        <v>351</v>
      </c>
      <c r="Z37" s="360" t="s">
        <v>1935</v>
      </c>
      <c r="AA37" s="292" t="s">
        <v>168</v>
      </c>
      <c r="AB37" s="360" t="s">
        <v>1996</v>
      </c>
      <c r="AC37" s="160" t="s">
        <v>1959</v>
      </c>
      <c r="AD37" s="360" t="s">
        <v>1936</v>
      </c>
      <c r="AE37" s="362" t="str">
        <f t="shared" ref="AE37:AE58" si="25">M38</f>
        <v>2022/12/20</v>
      </c>
      <c r="AF37" s="360" t="s">
        <v>1937</v>
      </c>
      <c r="AG37" s="160" t="str">
        <f t="shared" ref="AG37:AG58" si="26">H38</f>
        <v>Devis</v>
      </c>
      <c r="AH37" s="160" t="s">
        <v>1939</v>
      </c>
      <c r="AI37" s="329" t="str">
        <f t="shared" ref="AI37:AI58" si="27">T37&amp;U37&amp;V37&amp;W37&amp;X37&amp;Y37&amp;Z37&amp;AA37&amp;AB37&amp;AC37&amp;AD37&amp;AE37&amp;AF37&amp;AG37&amp;AH37</f>
        <v>INSERT INTO GENERATEUR(`idDeGeneration`,`dateGenerationDoc`,`catDoc`) VALUES (NULL,"2022/12/20","Devis");</v>
      </c>
      <c r="AJ37" s="329" t="s">
        <v>1998</v>
      </c>
      <c r="AQ37" s="361"/>
      <c r="AR37" s="329"/>
      <c r="BF37" s="160" t="s">
        <v>1995</v>
      </c>
    </row>
    <row r="38" spans="4:60" ht="15.85" customHeight="1" thickBot="1" x14ac:dyDescent="0.35">
      <c r="F38" s="160">
        <f>F37+1</f>
        <v>2</v>
      </c>
      <c r="G38" s="329">
        <v>44915</v>
      </c>
      <c r="H38" s="160" t="s">
        <v>104</v>
      </c>
      <c r="I38" s="354">
        <v>2</v>
      </c>
      <c r="J38" s="160">
        <f t="shared" ref="J38:J59" si="28">YEAR(G38)</f>
        <v>2022</v>
      </c>
      <c r="K38" s="160">
        <f t="shared" ref="K38:K59" si="29">MONTH(G38)</f>
        <v>12</v>
      </c>
      <c r="L38" s="160">
        <f t="shared" ref="L38:L59" si="30">DAY(G38)</f>
        <v>20</v>
      </c>
      <c r="M38" s="160" t="str">
        <f t="shared" ref="M38:M59" si="31">J38&amp;"/"&amp;K38&amp;"/"&amp;L38</f>
        <v>2022/12/20</v>
      </c>
      <c r="P38" s="353" t="str">
        <f t="shared" si="24"/>
        <v>INSERT INTO GENERATEUR(idDeGeneration, dateGenerationDoc, catDoc) VALUES (3, 44905, Facture);</v>
      </c>
      <c r="Q38" s="160" t="s">
        <v>1973</v>
      </c>
      <c r="T38" s="160" t="s">
        <v>1922</v>
      </c>
      <c r="U38" s="160" t="s">
        <v>375</v>
      </c>
      <c r="V38" s="160" t="s">
        <v>1934</v>
      </c>
      <c r="W38" s="288" t="s">
        <v>349</v>
      </c>
      <c r="X38" s="360" t="s">
        <v>1935</v>
      </c>
      <c r="Y38" s="292" t="s">
        <v>351</v>
      </c>
      <c r="Z38" s="360" t="s">
        <v>1935</v>
      </c>
      <c r="AA38" s="292" t="s">
        <v>168</v>
      </c>
      <c r="AB38" s="360" t="s">
        <v>1996</v>
      </c>
      <c r="AC38" s="160" t="s">
        <v>1959</v>
      </c>
      <c r="AD38" s="360" t="s">
        <v>1936</v>
      </c>
      <c r="AE38" s="362" t="str">
        <f t="shared" si="25"/>
        <v>2022/12/10</v>
      </c>
      <c r="AF38" s="360" t="s">
        <v>1937</v>
      </c>
      <c r="AG38" s="160" t="str">
        <f t="shared" si="26"/>
        <v>Facture</v>
      </c>
      <c r="AH38" s="160" t="s">
        <v>1939</v>
      </c>
      <c r="AI38" s="329" t="str">
        <f t="shared" si="27"/>
        <v>INSERT INTO GENERATEUR(`idDeGeneration`,`dateGenerationDoc`,`catDoc`) VALUES (NULL,"2022/12/10","Facture");</v>
      </c>
      <c r="AJ38" s="329" t="s">
        <v>1999</v>
      </c>
      <c r="AQ38" s="361"/>
      <c r="AR38" s="329"/>
    </row>
    <row r="39" spans="4:60" ht="15.85" customHeight="1" thickBot="1" x14ac:dyDescent="0.35">
      <c r="F39" s="160">
        <f t="shared" ref="F39:F59" si="32">F38+1</f>
        <v>3</v>
      </c>
      <c r="G39" s="335">
        <v>44905</v>
      </c>
      <c r="H39" s="160" t="s">
        <v>105</v>
      </c>
      <c r="I39" s="354">
        <v>1</v>
      </c>
      <c r="J39" s="160">
        <f t="shared" si="28"/>
        <v>2022</v>
      </c>
      <c r="K39" s="160">
        <f t="shared" si="29"/>
        <v>12</v>
      </c>
      <c r="L39" s="160">
        <f t="shared" si="30"/>
        <v>10</v>
      </c>
      <c r="M39" s="160" t="str">
        <f t="shared" si="31"/>
        <v>2022/12/10</v>
      </c>
      <c r="P39" s="353" t="str">
        <f t="shared" si="24"/>
        <v>INSERT INTO GENERATEUR(idDeGeneration, dateGenerationDoc, catDoc) VALUES (4, 44928, Facture);</v>
      </c>
      <c r="Q39" s="160" t="s">
        <v>1974</v>
      </c>
      <c r="T39" s="160" t="s">
        <v>1922</v>
      </c>
      <c r="U39" s="160" t="s">
        <v>375</v>
      </c>
      <c r="V39" s="160" t="s">
        <v>1934</v>
      </c>
      <c r="W39" s="288" t="s">
        <v>349</v>
      </c>
      <c r="X39" s="360" t="s">
        <v>1935</v>
      </c>
      <c r="Y39" s="292" t="s">
        <v>351</v>
      </c>
      <c r="Z39" s="360" t="s">
        <v>1935</v>
      </c>
      <c r="AA39" s="292" t="s">
        <v>168</v>
      </c>
      <c r="AB39" s="360" t="s">
        <v>1996</v>
      </c>
      <c r="AC39" s="160" t="s">
        <v>1959</v>
      </c>
      <c r="AD39" s="360" t="s">
        <v>1936</v>
      </c>
      <c r="AE39" s="362" t="str">
        <f t="shared" si="25"/>
        <v>2023/1/2</v>
      </c>
      <c r="AF39" s="360" t="s">
        <v>1937</v>
      </c>
      <c r="AG39" s="160" t="str">
        <f t="shared" si="26"/>
        <v>Facture</v>
      </c>
      <c r="AH39" s="160" t="s">
        <v>1939</v>
      </c>
      <c r="AI39" s="329" t="str">
        <f t="shared" si="27"/>
        <v>INSERT INTO GENERATEUR(`idDeGeneration`,`dateGenerationDoc`,`catDoc`) VALUES (NULL,"2023/1/2","Facture");</v>
      </c>
      <c r="AJ39" s="329" t="s">
        <v>2000</v>
      </c>
      <c r="AQ39" s="361"/>
      <c r="AR39" s="329"/>
    </row>
    <row r="40" spans="4:60" ht="15.85" customHeight="1" thickBot="1" x14ac:dyDescent="0.35">
      <c r="F40" s="160">
        <f t="shared" si="32"/>
        <v>4</v>
      </c>
      <c r="G40" s="335">
        <v>44928</v>
      </c>
      <c r="H40" s="160" t="s">
        <v>105</v>
      </c>
      <c r="I40" s="354">
        <v>2</v>
      </c>
      <c r="J40" s="160">
        <f t="shared" si="28"/>
        <v>2023</v>
      </c>
      <c r="K40" s="160">
        <f t="shared" si="29"/>
        <v>1</v>
      </c>
      <c r="L40" s="160">
        <f t="shared" si="30"/>
        <v>2</v>
      </c>
      <c r="M40" s="160" t="str">
        <f t="shared" si="31"/>
        <v>2023/1/2</v>
      </c>
      <c r="P40" s="353" t="str">
        <f t="shared" si="24"/>
        <v>INSERT INTO GENERATEUR(idDeGeneration, dateGenerationDoc, catDoc) VALUES (5, 44936, Devis);</v>
      </c>
      <c r="Q40" s="160" t="s">
        <v>1975</v>
      </c>
      <c r="T40" s="160" t="s">
        <v>1922</v>
      </c>
      <c r="U40" s="160" t="s">
        <v>375</v>
      </c>
      <c r="V40" s="160" t="s">
        <v>1934</v>
      </c>
      <c r="W40" s="288" t="s">
        <v>349</v>
      </c>
      <c r="X40" s="360" t="s">
        <v>1935</v>
      </c>
      <c r="Y40" s="292" t="s">
        <v>351</v>
      </c>
      <c r="Z40" s="360" t="s">
        <v>1935</v>
      </c>
      <c r="AA40" s="292" t="s">
        <v>168</v>
      </c>
      <c r="AB40" s="360" t="s">
        <v>1996</v>
      </c>
      <c r="AC40" s="160" t="s">
        <v>1959</v>
      </c>
      <c r="AD40" s="360" t="s">
        <v>1936</v>
      </c>
      <c r="AE40" s="362" t="str">
        <f t="shared" si="25"/>
        <v>2023/1/10</v>
      </c>
      <c r="AF40" s="360" t="s">
        <v>1937</v>
      </c>
      <c r="AG40" s="160" t="str">
        <f t="shared" si="26"/>
        <v>Devis</v>
      </c>
      <c r="AH40" s="160" t="s">
        <v>1939</v>
      </c>
      <c r="AI40" s="329" t="str">
        <f t="shared" si="27"/>
        <v>INSERT INTO GENERATEUR(`idDeGeneration`,`dateGenerationDoc`,`catDoc`) VALUES (NULL,"2023/1/10","Devis");</v>
      </c>
      <c r="AJ40" s="329" t="s">
        <v>2001</v>
      </c>
      <c r="AP40" s="160" t="str">
        <f t="shared" ref="AP40:AP57" si="33">"INSERT INTO "&amp;$E$36&amp;"("&amp;$F$36&amp;", "&amp;$G$36&amp;", "&amp;$H$36&amp;") VALUES ("&amp;F42&amp;","&amp;AR40&amp;","&amp;AS40&amp;","&amp;AT40</f>
        <v>INSERT INTO GENERATEUR(idDeGeneration, dateGenerationDoc, catDoc) VALUES (6,44943,Facture,");</v>
      </c>
      <c r="AQ40" s="361" t="s">
        <v>1994</v>
      </c>
      <c r="AR40" s="329">
        <v>44943</v>
      </c>
      <c r="AS40" s="160" t="str">
        <f t="shared" ref="AS40:AS57" si="34">H42</f>
        <v>Facture</v>
      </c>
      <c r="AT40" s="160" t="s">
        <v>1939</v>
      </c>
    </row>
    <row r="41" spans="4:60" ht="15.85" customHeight="1" thickBot="1" x14ac:dyDescent="0.35">
      <c r="F41" s="160">
        <f t="shared" si="32"/>
        <v>5</v>
      </c>
      <c r="G41" s="329">
        <v>44936</v>
      </c>
      <c r="H41" s="160" t="s">
        <v>104</v>
      </c>
      <c r="I41" s="354">
        <v>3</v>
      </c>
      <c r="J41" s="160">
        <f t="shared" si="28"/>
        <v>2023</v>
      </c>
      <c r="K41" s="160">
        <f t="shared" si="29"/>
        <v>1</v>
      </c>
      <c r="L41" s="160">
        <f t="shared" si="30"/>
        <v>10</v>
      </c>
      <c r="M41" s="160" t="str">
        <f t="shared" si="31"/>
        <v>2023/1/10</v>
      </c>
      <c r="P41" s="353" t="str">
        <f t="shared" si="24"/>
        <v>INSERT INTO GENERATEUR(idDeGeneration, dateGenerationDoc, catDoc) VALUES (6, 44943, Facture);</v>
      </c>
      <c r="Q41" s="160" t="s">
        <v>1976</v>
      </c>
      <c r="T41" s="160" t="s">
        <v>1922</v>
      </c>
      <c r="U41" s="160" t="s">
        <v>375</v>
      </c>
      <c r="V41" s="160" t="s">
        <v>1934</v>
      </c>
      <c r="W41" s="288" t="s">
        <v>349</v>
      </c>
      <c r="X41" s="360" t="s">
        <v>1935</v>
      </c>
      <c r="Y41" s="292" t="s">
        <v>351</v>
      </c>
      <c r="Z41" s="360" t="s">
        <v>1935</v>
      </c>
      <c r="AA41" s="292" t="s">
        <v>168</v>
      </c>
      <c r="AB41" s="360" t="s">
        <v>1996</v>
      </c>
      <c r="AC41" s="160" t="s">
        <v>1959</v>
      </c>
      <c r="AD41" s="360" t="s">
        <v>1936</v>
      </c>
      <c r="AE41" s="362" t="str">
        <f t="shared" si="25"/>
        <v>2023/1/17</v>
      </c>
      <c r="AF41" s="360" t="s">
        <v>1937</v>
      </c>
      <c r="AG41" s="160" t="str">
        <f t="shared" si="26"/>
        <v>Facture</v>
      </c>
      <c r="AH41" s="160" t="s">
        <v>1939</v>
      </c>
      <c r="AI41" s="329" t="str">
        <f t="shared" si="27"/>
        <v>INSERT INTO GENERATEUR(`idDeGeneration`,`dateGenerationDoc`,`catDoc`) VALUES (NULL,"2023/1/17","Facture");</v>
      </c>
      <c r="AJ41" s="329" t="s">
        <v>2002</v>
      </c>
      <c r="AP41" s="160" t="str">
        <f t="shared" si="33"/>
        <v>INSERT INTO GENERATEUR(idDeGeneration, dateGenerationDoc, catDoc) VALUES (7,44946,Facture,");</v>
      </c>
      <c r="AQ41" s="361" t="s">
        <v>1994</v>
      </c>
      <c r="AR41" s="329">
        <v>44946</v>
      </c>
      <c r="AS41" s="160" t="str">
        <f t="shared" si="34"/>
        <v>Facture</v>
      </c>
      <c r="AT41" s="160" t="s">
        <v>1939</v>
      </c>
    </row>
    <row r="42" spans="4:60" ht="15.85" customHeight="1" thickBot="1" x14ac:dyDescent="0.35">
      <c r="F42" s="160">
        <f t="shared" si="32"/>
        <v>6</v>
      </c>
      <c r="G42" s="329">
        <v>44943</v>
      </c>
      <c r="H42" s="160" t="s">
        <v>105</v>
      </c>
      <c r="I42" s="354">
        <v>1</v>
      </c>
      <c r="J42" s="160">
        <f t="shared" si="28"/>
        <v>2023</v>
      </c>
      <c r="K42" s="160">
        <f t="shared" si="29"/>
        <v>1</v>
      </c>
      <c r="L42" s="160">
        <f t="shared" si="30"/>
        <v>17</v>
      </c>
      <c r="M42" s="160" t="str">
        <f t="shared" si="31"/>
        <v>2023/1/17</v>
      </c>
      <c r="P42" s="353" t="str">
        <f t="shared" si="24"/>
        <v>INSERT INTO GENERATEUR(idDeGeneration, dateGenerationDoc, catDoc) VALUES (7, 44946, Facture);</v>
      </c>
      <c r="Q42" s="160" t="s">
        <v>1977</v>
      </c>
      <c r="T42" s="160" t="s">
        <v>1922</v>
      </c>
      <c r="U42" s="160" t="s">
        <v>375</v>
      </c>
      <c r="V42" s="160" t="s">
        <v>1934</v>
      </c>
      <c r="W42" s="288" t="s">
        <v>349</v>
      </c>
      <c r="X42" s="360" t="s">
        <v>1935</v>
      </c>
      <c r="Y42" s="292" t="s">
        <v>351</v>
      </c>
      <c r="Z42" s="360" t="s">
        <v>1935</v>
      </c>
      <c r="AA42" s="292" t="s">
        <v>168</v>
      </c>
      <c r="AB42" s="360" t="s">
        <v>1996</v>
      </c>
      <c r="AC42" s="160" t="s">
        <v>1959</v>
      </c>
      <c r="AD42" s="360" t="s">
        <v>1936</v>
      </c>
      <c r="AE42" s="362" t="str">
        <f t="shared" si="25"/>
        <v>2023/1/20</v>
      </c>
      <c r="AF42" s="360" t="s">
        <v>1937</v>
      </c>
      <c r="AG42" s="160" t="str">
        <f t="shared" si="26"/>
        <v>Facture</v>
      </c>
      <c r="AH42" s="160" t="s">
        <v>1939</v>
      </c>
      <c r="AI42" s="329" t="str">
        <f t="shared" si="27"/>
        <v>INSERT INTO GENERATEUR(`idDeGeneration`,`dateGenerationDoc`,`catDoc`) VALUES (NULL,"2023/1/20","Facture");</v>
      </c>
      <c r="AJ42" s="329" t="s">
        <v>2003</v>
      </c>
      <c r="AP42" s="160" t="str">
        <f t="shared" si="33"/>
        <v>INSERT INTO GENERATEUR(idDeGeneration, dateGenerationDoc, catDoc) VALUES (8,44956,Devis,");</v>
      </c>
      <c r="AQ42" s="361" t="s">
        <v>1994</v>
      </c>
      <c r="AR42" s="329">
        <v>44956</v>
      </c>
      <c r="AS42" s="160" t="str">
        <f t="shared" si="34"/>
        <v>Devis</v>
      </c>
      <c r="AT42" s="160" t="s">
        <v>1939</v>
      </c>
    </row>
    <row r="43" spans="4:60" ht="15.85" customHeight="1" thickBot="1" x14ac:dyDescent="0.35">
      <c r="F43" s="160">
        <f t="shared" si="32"/>
        <v>7</v>
      </c>
      <c r="G43" s="335">
        <v>44946</v>
      </c>
      <c r="H43" s="160" t="s">
        <v>105</v>
      </c>
      <c r="I43" s="354">
        <v>3</v>
      </c>
      <c r="J43" s="160">
        <f t="shared" si="28"/>
        <v>2023</v>
      </c>
      <c r="K43" s="160">
        <f t="shared" si="29"/>
        <v>1</v>
      </c>
      <c r="L43" s="160">
        <f t="shared" si="30"/>
        <v>20</v>
      </c>
      <c r="M43" s="160" t="str">
        <f t="shared" si="31"/>
        <v>2023/1/20</v>
      </c>
      <c r="P43" s="353" t="str">
        <f t="shared" si="24"/>
        <v>INSERT INTO GENERATEUR(idDeGeneration, dateGenerationDoc, catDoc) VALUES (8, 44956, Devis);</v>
      </c>
      <c r="Q43" s="160" t="s">
        <v>1978</v>
      </c>
      <c r="T43" s="160" t="s">
        <v>1922</v>
      </c>
      <c r="U43" s="160" t="s">
        <v>375</v>
      </c>
      <c r="V43" s="160" t="s">
        <v>1934</v>
      </c>
      <c r="W43" s="288" t="s">
        <v>349</v>
      </c>
      <c r="X43" s="360" t="s">
        <v>1935</v>
      </c>
      <c r="Y43" s="292" t="s">
        <v>351</v>
      </c>
      <c r="Z43" s="360" t="s">
        <v>1935</v>
      </c>
      <c r="AA43" s="292" t="s">
        <v>168</v>
      </c>
      <c r="AB43" s="360" t="s">
        <v>1996</v>
      </c>
      <c r="AC43" s="160" t="s">
        <v>1959</v>
      </c>
      <c r="AD43" s="360" t="s">
        <v>1936</v>
      </c>
      <c r="AE43" s="362" t="str">
        <f t="shared" si="25"/>
        <v>2023/1/30</v>
      </c>
      <c r="AF43" s="360" t="s">
        <v>1937</v>
      </c>
      <c r="AG43" s="160" t="str">
        <f t="shared" si="26"/>
        <v>Devis</v>
      </c>
      <c r="AH43" s="160" t="s">
        <v>1939</v>
      </c>
      <c r="AI43" s="329" t="str">
        <f t="shared" si="27"/>
        <v>INSERT INTO GENERATEUR(`idDeGeneration`,`dateGenerationDoc`,`catDoc`) VALUES (NULL,"2023/1/30","Devis");</v>
      </c>
      <c r="AJ43" s="329" t="s">
        <v>2004</v>
      </c>
      <c r="AP43" s="160" t="str">
        <f t="shared" si="33"/>
        <v>INSERT INTO GENERATEUR(idDeGeneration, dateGenerationDoc, catDoc) VALUES (9,44960,Facture,");</v>
      </c>
      <c r="AQ43" s="361" t="s">
        <v>1994</v>
      </c>
      <c r="AR43" s="329">
        <v>44960</v>
      </c>
      <c r="AS43" s="160" t="str">
        <f t="shared" si="34"/>
        <v>Facture</v>
      </c>
      <c r="AT43" s="160" t="s">
        <v>1939</v>
      </c>
    </row>
    <row r="44" spans="4:60" ht="15.85" customHeight="1" thickBot="1" x14ac:dyDescent="0.35">
      <c r="F44" s="160">
        <f t="shared" si="32"/>
        <v>8</v>
      </c>
      <c r="G44" s="329">
        <v>44956</v>
      </c>
      <c r="H44" s="160" t="s">
        <v>104</v>
      </c>
      <c r="I44" s="354">
        <v>4</v>
      </c>
      <c r="J44" s="160">
        <f t="shared" si="28"/>
        <v>2023</v>
      </c>
      <c r="K44" s="160">
        <f t="shared" si="29"/>
        <v>1</v>
      </c>
      <c r="L44" s="160">
        <f t="shared" si="30"/>
        <v>30</v>
      </c>
      <c r="M44" s="160" t="str">
        <f t="shared" si="31"/>
        <v>2023/1/30</v>
      </c>
      <c r="P44" s="353" t="str">
        <f t="shared" si="24"/>
        <v>INSERT INTO GENERATEUR(idDeGeneration, dateGenerationDoc, catDoc) VALUES (9, 44960, Facture);</v>
      </c>
      <c r="Q44" s="160" t="s">
        <v>1979</v>
      </c>
      <c r="T44" s="160" t="s">
        <v>1922</v>
      </c>
      <c r="U44" s="160" t="s">
        <v>375</v>
      </c>
      <c r="V44" s="160" t="s">
        <v>1934</v>
      </c>
      <c r="W44" s="288" t="s">
        <v>349</v>
      </c>
      <c r="X44" s="360" t="s">
        <v>1935</v>
      </c>
      <c r="Y44" s="292" t="s">
        <v>351</v>
      </c>
      <c r="Z44" s="360" t="s">
        <v>1935</v>
      </c>
      <c r="AA44" s="292" t="s">
        <v>168</v>
      </c>
      <c r="AB44" s="360" t="s">
        <v>1996</v>
      </c>
      <c r="AC44" s="160" t="s">
        <v>1959</v>
      </c>
      <c r="AD44" s="360" t="s">
        <v>1936</v>
      </c>
      <c r="AE44" s="362" t="str">
        <f t="shared" si="25"/>
        <v>2023/2/3</v>
      </c>
      <c r="AF44" s="360" t="s">
        <v>1937</v>
      </c>
      <c r="AG44" s="160" t="str">
        <f t="shared" si="26"/>
        <v>Facture</v>
      </c>
      <c r="AH44" s="160" t="s">
        <v>1939</v>
      </c>
      <c r="AI44" s="329" t="str">
        <f t="shared" si="27"/>
        <v>INSERT INTO GENERATEUR(`idDeGeneration`,`dateGenerationDoc`,`catDoc`) VALUES (NULL,"2023/2/3","Facture");</v>
      </c>
      <c r="AJ44" s="329" t="s">
        <v>2005</v>
      </c>
      <c r="AP44" s="160" t="str">
        <f t="shared" si="33"/>
        <v>INSERT INTO GENERATEUR(idDeGeneration, dateGenerationDoc, catDoc) VALUES (10,44972,Facture,");</v>
      </c>
      <c r="AQ44" s="361" t="s">
        <v>1994</v>
      </c>
      <c r="AR44" s="329">
        <v>44972</v>
      </c>
      <c r="AS44" s="160" t="str">
        <f t="shared" si="34"/>
        <v>Facture</v>
      </c>
      <c r="AT44" s="160" t="s">
        <v>1939</v>
      </c>
    </row>
    <row r="45" spans="4:60" ht="15.85" customHeight="1" thickBot="1" x14ac:dyDescent="0.35">
      <c r="F45" s="160">
        <f t="shared" si="32"/>
        <v>9</v>
      </c>
      <c r="G45" s="329">
        <v>44960</v>
      </c>
      <c r="H45" s="160" t="s">
        <v>105</v>
      </c>
      <c r="I45" s="354">
        <v>2</v>
      </c>
      <c r="J45" s="160">
        <f t="shared" si="28"/>
        <v>2023</v>
      </c>
      <c r="K45" s="160">
        <f t="shared" si="29"/>
        <v>2</v>
      </c>
      <c r="L45" s="160">
        <f t="shared" si="30"/>
        <v>3</v>
      </c>
      <c r="M45" s="160" t="str">
        <f t="shared" si="31"/>
        <v>2023/2/3</v>
      </c>
      <c r="P45" s="353" t="str">
        <f t="shared" si="24"/>
        <v>INSERT INTO GENERATEUR(idDeGeneration, dateGenerationDoc, catDoc) VALUES (10, 44972, Facture);</v>
      </c>
      <c r="Q45" s="160" t="s">
        <v>1980</v>
      </c>
      <c r="T45" s="160" t="s">
        <v>1922</v>
      </c>
      <c r="U45" s="160" t="s">
        <v>375</v>
      </c>
      <c r="V45" s="160" t="s">
        <v>1934</v>
      </c>
      <c r="W45" s="288" t="s">
        <v>349</v>
      </c>
      <c r="X45" s="360" t="s">
        <v>1935</v>
      </c>
      <c r="Y45" s="292" t="s">
        <v>351</v>
      </c>
      <c r="Z45" s="360" t="s">
        <v>1935</v>
      </c>
      <c r="AA45" s="292" t="s">
        <v>168</v>
      </c>
      <c r="AB45" s="360" t="s">
        <v>1996</v>
      </c>
      <c r="AC45" s="160" t="s">
        <v>1959</v>
      </c>
      <c r="AD45" s="360" t="s">
        <v>1936</v>
      </c>
      <c r="AE45" s="362" t="str">
        <f t="shared" si="25"/>
        <v>2023/2/15</v>
      </c>
      <c r="AF45" s="360" t="s">
        <v>1937</v>
      </c>
      <c r="AG45" s="160" t="str">
        <f t="shared" si="26"/>
        <v>Facture</v>
      </c>
      <c r="AH45" s="160" t="s">
        <v>1939</v>
      </c>
      <c r="AI45" s="329" t="str">
        <f t="shared" si="27"/>
        <v>INSERT INTO GENERATEUR(`idDeGeneration`,`dateGenerationDoc`,`catDoc`) VALUES (NULL,"2023/2/15","Facture");</v>
      </c>
      <c r="AJ45" s="329" t="s">
        <v>2006</v>
      </c>
      <c r="AP45" s="160" t="str">
        <f t="shared" si="33"/>
        <v>INSERT INTO GENERATEUR(idDeGeneration, dateGenerationDoc, catDoc) VALUES (11,44972,Devis,");</v>
      </c>
      <c r="AQ45" s="361" t="s">
        <v>1994</v>
      </c>
      <c r="AR45" s="329">
        <v>44972</v>
      </c>
      <c r="AS45" s="160" t="str">
        <f t="shared" si="34"/>
        <v>Devis</v>
      </c>
      <c r="AT45" s="160" t="s">
        <v>1939</v>
      </c>
    </row>
    <row r="46" spans="4:60" ht="15.85" customHeight="1" thickBot="1" x14ac:dyDescent="0.35">
      <c r="F46" s="160">
        <f t="shared" si="32"/>
        <v>10</v>
      </c>
      <c r="G46" s="335">
        <v>44972</v>
      </c>
      <c r="H46" s="160" t="s">
        <v>105</v>
      </c>
      <c r="I46" s="354">
        <v>4</v>
      </c>
      <c r="J46" s="160">
        <f t="shared" si="28"/>
        <v>2023</v>
      </c>
      <c r="K46" s="160">
        <f t="shared" si="29"/>
        <v>2</v>
      </c>
      <c r="L46" s="160">
        <f t="shared" si="30"/>
        <v>15</v>
      </c>
      <c r="M46" s="160" t="str">
        <f t="shared" si="31"/>
        <v>2023/2/15</v>
      </c>
      <c r="P46" s="353" t="str">
        <f t="shared" si="24"/>
        <v>INSERT INTO GENERATEUR(idDeGeneration, dateGenerationDoc, catDoc) VALUES (11, 44972, Devis);</v>
      </c>
      <c r="Q46" s="160" t="s">
        <v>1981</v>
      </c>
      <c r="T46" s="160" t="s">
        <v>1922</v>
      </c>
      <c r="U46" s="160" t="s">
        <v>375</v>
      </c>
      <c r="V46" s="160" t="s">
        <v>1934</v>
      </c>
      <c r="W46" s="288" t="s">
        <v>349</v>
      </c>
      <c r="X46" s="360" t="s">
        <v>1935</v>
      </c>
      <c r="Y46" s="292" t="s">
        <v>351</v>
      </c>
      <c r="Z46" s="360" t="s">
        <v>1935</v>
      </c>
      <c r="AA46" s="292" t="s">
        <v>168</v>
      </c>
      <c r="AB46" s="360" t="s">
        <v>1996</v>
      </c>
      <c r="AC46" s="160" t="s">
        <v>1959</v>
      </c>
      <c r="AD46" s="360" t="s">
        <v>1936</v>
      </c>
      <c r="AE46" s="362" t="str">
        <f t="shared" si="25"/>
        <v>2023/2/15</v>
      </c>
      <c r="AF46" s="360" t="s">
        <v>1937</v>
      </c>
      <c r="AG46" s="160" t="str">
        <f t="shared" si="26"/>
        <v>Devis</v>
      </c>
      <c r="AH46" s="160" t="s">
        <v>1939</v>
      </c>
      <c r="AI46" s="329" t="str">
        <f t="shared" si="27"/>
        <v>INSERT INTO GENERATEUR(`idDeGeneration`,`dateGenerationDoc`,`catDoc`) VALUES (NULL,"2023/2/15","Devis");</v>
      </c>
      <c r="AJ46" s="329" t="s">
        <v>2007</v>
      </c>
      <c r="AP46" s="160" t="str">
        <f t="shared" si="33"/>
        <v>INSERT INTO GENERATEUR(idDeGeneration, dateGenerationDoc, catDoc) VALUES (12,44981,Facture,");</v>
      </c>
      <c r="AQ46" s="361" t="s">
        <v>1994</v>
      </c>
      <c r="AR46" s="329">
        <v>44981</v>
      </c>
      <c r="AS46" s="160" t="str">
        <f t="shared" si="34"/>
        <v>Facture</v>
      </c>
      <c r="AT46" s="160" t="s">
        <v>1939</v>
      </c>
    </row>
    <row r="47" spans="4:60" ht="15.85" customHeight="1" thickBot="1" x14ac:dyDescent="0.35">
      <c r="F47" s="160">
        <f t="shared" si="32"/>
        <v>11</v>
      </c>
      <c r="G47" s="329">
        <v>44972</v>
      </c>
      <c r="H47" s="160" t="s">
        <v>104</v>
      </c>
      <c r="I47" s="354">
        <v>5</v>
      </c>
      <c r="J47" s="160">
        <f t="shared" si="28"/>
        <v>2023</v>
      </c>
      <c r="K47" s="160">
        <f t="shared" si="29"/>
        <v>2</v>
      </c>
      <c r="L47" s="160">
        <f t="shared" si="30"/>
        <v>15</v>
      </c>
      <c r="M47" s="160" t="str">
        <f t="shared" si="31"/>
        <v>2023/2/15</v>
      </c>
      <c r="P47" s="353" t="str">
        <f t="shared" si="24"/>
        <v>INSERT INTO GENERATEUR(idDeGeneration, dateGenerationDoc, catDoc) VALUES (12, 44981, Facture);</v>
      </c>
      <c r="Q47" s="160" t="s">
        <v>1982</v>
      </c>
      <c r="T47" s="160" t="s">
        <v>1922</v>
      </c>
      <c r="U47" s="160" t="s">
        <v>375</v>
      </c>
      <c r="V47" s="160" t="s">
        <v>1934</v>
      </c>
      <c r="W47" s="288" t="s">
        <v>349</v>
      </c>
      <c r="X47" s="360" t="s">
        <v>1935</v>
      </c>
      <c r="Y47" s="292" t="s">
        <v>351</v>
      </c>
      <c r="Z47" s="360" t="s">
        <v>1935</v>
      </c>
      <c r="AA47" s="292" t="s">
        <v>168</v>
      </c>
      <c r="AB47" s="360" t="s">
        <v>1996</v>
      </c>
      <c r="AC47" s="160" t="s">
        <v>1959</v>
      </c>
      <c r="AD47" s="360" t="s">
        <v>1936</v>
      </c>
      <c r="AE47" s="362" t="str">
        <f t="shared" si="25"/>
        <v>2023/2/24</v>
      </c>
      <c r="AF47" s="360" t="s">
        <v>1937</v>
      </c>
      <c r="AG47" s="160" t="str">
        <f t="shared" si="26"/>
        <v>Facture</v>
      </c>
      <c r="AH47" s="160" t="s">
        <v>1939</v>
      </c>
      <c r="AI47" s="329" t="str">
        <f t="shared" si="27"/>
        <v>INSERT INTO GENERATEUR(`idDeGeneration`,`dateGenerationDoc`,`catDoc`) VALUES (NULL,"2023/2/24","Facture");</v>
      </c>
      <c r="AJ47" s="329" t="s">
        <v>2008</v>
      </c>
      <c r="AP47" s="160" t="str">
        <f t="shared" si="33"/>
        <v>INSERT INTO GENERATEUR(idDeGeneration, dateGenerationDoc, catDoc) VALUES (13,44983,Facture,");</v>
      </c>
      <c r="AQ47" s="361" t="s">
        <v>1994</v>
      </c>
      <c r="AR47" s="329">
        <v>44983</v>
      </c>
      <c r="AS47" s="160" t="str">
        <f t="shared" si="34"/>
        <v>Facture</v>
      </c>
      <c r="AT47" s="160" t="s">
        <v>1939</v>
      </c>
    </row>
    <row r="48" spans="4:60" ht="15.85" customHeight="1" thickBot="1" x14ac:dyDescent="0.35">
      <c r="F48" s="160">
        <f t="shared" si="32"/>
        <v>12</v>
      </c>
      <c r="G48" s="329">
        <v>44981</v>
      </c>
      <c r="H48" s="160" t="s">
        <v>105</v>
      </c>
      <c r="I48" s="354">
        <v>3</v>
      </c>
      <c r="J48" s="160">
        <f t="shared" si="28"/>
        <v>2023</v>
      </c>
      <c r="K48" s="160">
        <f t="shared" si="29"/>
        <v>2</v>
      </c>
      <c r="L48" s="160">
        <f t="shared" si="30"/>
        <v>24</v>
      </c>
      <c r="M48" s="160" t="str">
        <f t="shared" si="31"/>
        <v>2023/2/24</v>
      </c>
      <c r="P48" s="353" t="str">
        <f t="shared" si="24"/>
        <v>INSERT INTO GENERATEUR(idDeGeneration, dateGenerationDoc, catDoc) VALUES (13, 44983, Facture);</v>
      </c>
      <c r="Q48" s="160" t="s">
        <v>1983</v>
      </c>
      <c r="T48" s="160" t="s">
        <v>1922</v>
      </c>
      <c r="U48" s="160" t="s">
        <v>375</v>
      </c>
      <c r="V48" s="160" t="s">
        <v>1934</v>
      </c>
      <c r="W48" s="288" t="s">
        <v>349</v>
      </c>
      <c r="X48" s="360" t="s">
        <v>1935</v>
      </c>
      <c r="Y48" s="292" t="s">
        <v>351</v>
      </c>
      <c r="Z48" s="360" t="s">
        <v>1935</v>
      </c>
      <c r="AA48" s="292" t="s">
        <v>168</v>
      </c>
      <c r="AB48" s="360" t="s">
        <v>1996</v>
      </c>
      <c r="AC48" s="160" t="s">
        <v>1959</v>
      </c>
      <c r="AD48" s="360" t="s">
        <v>1936</v>
      </c>
      <c r="AE48" s="362" t="str">
        <f t="shared" si="25"/>
        <v>2023/2/26</v>
      </c>
      <c r="AF48" s="360" t="s">
        <v>1937</v>
      </c>
      <c r="AG48" s="160" t="str">
        <f t="shared" si="26"/>
        <v>Facture</v>
      </c>
      <c r="AH48" s="160" t="s">
        <v>1939</v>
      </c>
      <c r="AI48" s="329" t="str">
        <f t="shared" si="27"/>
        <v>INSERT INTO GENERATEUR(`idDeGeneration`,`dateGenerationDoc`,`catDoc`) VALUES (NULL,"2023/2/26","Facture");</v>
      </c>
      <c r="AJ48" s="329" t="s">
        <v>2009</v>
      </c>
      <c r="AP48" s="160" t="str">
        <f t="shared" si="33"/>
        <v>INSERT INTO GENERATEUR(idDeGeneration, dateGenerationDoc, catDoc) VALUES (14,44990,Devis,");</v>
      </c>
      <c r="AQ48" s="361" t="s">
        <v>1994</v>
      </c>
      <c r="AR48" s="329">
        <v>44990</v>
      </c>
      <c r="AS48" s="160" t="str">
        <f t="shared" si="34"/>
        <v>Devis</v>
      </c>
      <c r="AT48" s="160" t="s">
        <v>1939</v>
      </c>
    </row>
    <row r="49" spans="5:61" ht="15.85" customHeight="1" thickBot="1" x14ac:dyDescent="0.35">
      <c r="F49" s="160">
        <f t="shared" si="32"/>
        <v>13</v>
      </c>
      <c r="G49" s="335">
        <v>44983</v>
      </c>
      <c r="H49" s="160" t="s">
        <v>105</v>
      </c>
      <c r="I49" s="354">
        <v>5</v>
      </c>
      <c r="J49" s="160">
        <f t="shared" si="28"/>
        <v>2023</v>
      </c>
      <c r="K49" s="160">
        <f t="shared" si="29"/>
        <v>2</v>
      </c>
      <c r="L49" s="160">
        <f t="shared" si="30"/>
        <v>26</v>
      </c>
      <c r="M49" s="160" t="str">
        <f t="shared" si="31"/>
        <v>2023/2/26</v>
      </c>
      <c r="P49" s="353" t="str">
        <f t="shared" si="24"/>
        <v>INSERT INTO GENERATEUR(idDeGeneration, dateGenerationDoc, catDoc) VALUES (14, 44990, Devis);</v>
      </c>
      <c r="Q49" s="160" t="s">
        <v>1984</v>
      </c>
      <c r="T49" s="160" t="s">
        <v>1922</v>
      </c>
      <c r="U49" s="160" t="s">
        <v>375</v>
      </c>
      <c r="V49" s="160" t="s">
        <v>1934</v>
      </c>
      <c r="W49" s="288" t="s">
        <v>349</v>
      </c>
      <c r="X49" s="360" t="s">
        <v>1935</v>
      </c>
      <c r="Y49" s="292" t="s">
        <v>351</v>
      </c>
      <c r="Z49" s="360" t="s">
        <v>1935</v>
      </c>
      <c r="AA49" s="292" t="s">
        <v>168</v>
      </c>
      <c r="AB49" s="360" t="s">
        <v>1996</v>
      </c>
      <c r="AC49" s="160" t="s">
        <v>1959</v>
      </c>
      <c r="AD49" s="360" t="s">
        <v>1936</v>
      </c>
      <c r="AE49" s="362" t="str">
        <f t="shared" si="25"/>
        <v>2023/3/5</v>
      </c>
      <c r="AF49" s="360" t="s">
        <v>1937</v>
      </c>
      <c r="AG49" s="160" t="str">
        <f t="shared" si="26"/>
        <v>Devis</v>
      </c>
      <c r="AH49" s="160" t="s">
        <v>1939</v>
      </c>
      <c r="AI49" s="329" t="str">
        <f t="shared" si="27"/>
        <v>INSERT INTO GENERATEUR(`idDeGeneration`,`dateGenerationDoc`,`catDoc`) VALUES (NULL,"2023/3/5","Devis");</v>
      </c>
      <c r="AJ49" s="329" t="s">
        <v>2010</v>
      </c>
      <c r="AP49" s="160" t="str">
        <f t="shared" si="33"/>
        <v>INSERT INTO GENERATEUR(idDeGeneration, dateGenerationDoc, catDoc) VALUES (15,44995,Facture,");</v>
      </c>
      <c r="AQ49" s="361" t="s">
        <v>1994</v>
      </c>
      <c r="AR49" s="329">
        <v>44995</v>
      </c>
      <c r="AS49" s="160" t="str">
        <f t="shared" si="34"/>
        <v>Facture</v>
      </c>
      <c r="AT49" s="160" t="s">
        <v>1939</v>
      </c>
    </row>
    <row r="50" spans="5:61" ht="15.85" customHeight="1" thickBot="1" x14ac:dyDescent="0.35">
      <c r="F50" s="160">
        <f t="shared" si="32"/>
        <v>14</v>
      </c>
      <c r="G50" s="329">
        <v>44990</v>
      </c>
      <c r="H50" s="160" t="s">
        <v>104</v>
      </c>
      <c r="I50" s="354">
        <v>6</v>
      </c>
      <c r="J50" s="160">
        <f t="shared" si="28"/>
        <v>2023</v>
      </c>
      <c r="K50" s="160">
        <f t="shared" si="29"/>
        <v>3</v>
      </c>
      <c r="L50" s="160">
        <f t="shared" si="30"/>
        <v>5</v>
      </c>
      <c r="M50" s="160" t="str">
        <f t="shared" si="31"/>
        <v>2023/3/5</v>
      </c>
      <c r="N50" s="294"/>
      <c r="P50" s="353" t="str">
        <f t="shared" si="24"/>
        <v>INSERT INTO GENERATEUR(idDeGeneration, dateGenerationDoc, catDoc) VALUES (15, 44995, Facture);</v>
      </c>
      <c r="Q50" s="160" t="s">
        <v>1985</v>
      </c>
      <c r="T50" s="160" t="s">
        <v>1922</v>
      </c>
      <c r="U50" s="160" t="s">
        <v>375</v>
      </c>
      <c r="V50" s="160" t="s">
        <v>1934</v>
      </c>
      <c r="W50" s="288" t="s">
        <v>349</v>
      </c>
      <c r="X50" s="360" t="s">
        <v>1935</v>
      </c>
      <c r="Y50" s="292" t="s">
        <v>351</v>
      </c>
      <c r="Z50" s="360" t="s">
        <v>1935</v>
      </c>
      <c r="AA50" s="292" t="s">
        <v>168</v>
      </c>
      <c r="AB50" s="360" t="s">
        <v>1996</v>
      </c>
      <c r="AC50" s="160" t="s">
        <v>1959</v>
      </c>
      <c r="AD50" s="360" t="s">
        <v>1936</v>
      </c>
      <c r="AE50" s="362" t="str">
        <f t="shared" si="25"/>
        <v>2023/3/10</v>
      </c>
      <c r="AF50" s="360" t="s">
        <v>1937</v>
      </c>
      <c r="AG50" s="160" t="str">
        <f t="shared" si="26"/>
        <v>Facture</v>
      </c>
      <c r="AH50" s="160" t="s">
        <v>1939</v>
      </c>
      <c r="AI50" s="329" t="str">
        <f t="shared" si="27"/>
        <v>INSERT INTO GENERATEUR(`idDeGeneration`,`dateGenerationDoc`,`catDoc`) VALUES (NULL,"2023/3/10","Facture");</v>
      </c>
      <c r="AJ50" s="329" t="s">
        <v>2011</v>
      </c>
      <c r="AP50" s="160" t="str">
        <f t="shared" si="33"/>
        <v>INSERT INTO GENERATEUR(idDeGeneration, dateGenerationDoc, catDoc) VALUES (16,44997,Facture,");</v>
      </c>
      <c r="AQ50" s="361" t="s">
        <v>1994</v>
      </c>
      <c r="AR50" s="329">
        <v>44997</v>
      </c>
      <c r="AS50" s="160" t="str">
        <f t="shared" si="34"/>
        <v>Facture</v>
      </c>
      <c r="AT50" s="160" t="s">
        <v>1939</v>
      </c>
    </row>
    <row r="51" spans="5:61" ht="15.85" customHeight="1" thickBot="1" x14ac:dyDescent="0.35">
      <c r="F51" s="160">
        <f t="shared" si="32"/>
        <v>15</v>
      </c>
      <c r="G51" s="329">
        <v>44995</v>
      </c>
      <c r="H51" s="160" t="s">
        <v>105</v>
      </c>
      <c r="I51" s="354">
        <v>4</v>
      </c>
      <c r="J51" s="160">
        <f t="shared" si="28"/>
        <v>2023</v>
      </c>
      <c r="K51" s="160">
        <f t="shared" si="29"/>
        <v>3</v>
      </c>
      <c r="L51" s="160">
        <f t="shared" si="30"/>
        <v>10</v>
      </c>
      <c r="M51" s="160" t="str">
        <f t="shared" si="31"/>
        <v>2023/3/10</v>
      </c>
      <c r="P51" s="353" t="str">
        <f t="shared" si="24"/>
        <v>INSERT INTO GENERATEUR(idDeGeneration, dateGenerationDoc, catDoc) VALUES (16, 44997, Facture);</v>
      </c>
      <c r="Q51" s="160" t="s">
        <v>1986</v>
      </c>
      <c r="T51" s="160" t="s">
        <v>1922</v>
      </c>
      <c r="U51" s="160" t="s">
        <v>375</v>
      </c>
      <c r="V51" s="160" t="s">
        <v>1934</v>
      </c>
      <c r="W51" s="288" t="s">
        <v>349</v>
      </c>
      <c r="X51" s="360" t="s">
        <v>1935</v>
      </c>
      <c r="Y51" s="292" t="s">
        <v>351</v>
      </c>
      <c r="Z51" s="360" t="s">
        <v>1935</v>
      </c>
      <c r="AA51" s="292" t="s">
        <v>168</v>
      </c>
      <c r="AB51" s="360" t="s">
        <v>1996</v>
      </c>
      <c r="AC51" s="160" t="s">
        <v>1959</v>
      </c>
      <c r="AD51" s="360" t="s">
        <v>1936</v>
      </c>
      <c r="AE51" s="362" t="str">
        <f t="shared" si="25"/>
        <v>2023/3/12</v>
      </c>
      <c r="AF51" s="360" t="s">
        <v>1937</v>
      </c>
      <c r="AG51" s="160" t="str">
        <f t="shared" si="26"/>
        <v>Facture</v>
      </c>
      <c r="AH51" s="160" t="s">
        <v>1939</v>
      </c>
      <c r="AI51" s="329" t="str">
        <f t="shared" si="27"/>
        <v>INSERT INTO GENERATEUR(`idDeGeneration`,`dateGenerationDoc`,`catDoc`) VALUES (NULL,"2023/3/12","Facture");</v>
      </c>
      <c r="AJ51" s="329" t="s">
        <v>2012</v>
      </c>
      <c r="AP51" s="160" t="str">
        <f t="shared" si="33"/>
        <v>INSERT INTO GENERATEUR(idDeGeneration, dateGenerationDoc, catDoc) VALUES (17,45020,Facture,");</v>
      </c>
      <c r="AQ51" s="361" t="s">
        <v>1994</v>
      </c>
      <c r="AR51" s="329">
        <v>45020</v>
      </c>
      <c r="AS51" s="160" t="str">
        <f t="shared" si="34"/>
        <v>Facture</v>
      </c>
      <c r="AT51" s="160" t="s">
        <v>1939</v>
      </c>
    </row>
    <row r="52" spans="5:61" ht="15.85" customHeight="1" thickBot="1" x14ac:dyDescent="0.35">
      <c r="F52" s="160">
        <f t="shared" si="32"/>
        <v>16</v>
      </c>
      <c r="G52" s="335">
        <v>44997</v>
      </c>
      <c r="H52" s="160" t="s">
        <v>105</v>
      </c>
      <c r="I52" s="354">
        <v>6</v>
      </c>
      <c r="J52" s="160">
        <f t="shared" si="28"/>
        <v>2023</v>
      </c>
      <c r="K52" s="160">
        <f t="shared" si="29"/>
        <v>3</v>
      </c>
      <c r="L52" s="160">
        <f t="shared" si="30"/>
        <v>12</v>
      </c>
      <c r="M52" s="160" t="str">
        <f t="shared" si="31"/>
        <v>2023/3/12</v>
      </c>
      <c r="P52" s="353" t="str">
        <f t="shared" si="24"/>
        <v>INSERT INTO GENERATEUR(idDeGeneration, dateGenerationDoc, catDoc) VALUES (17, 45020, Facture);</v>
      </c>
      <c r="Q52" s="160" t="s">
        <v>1987</v>
      </c>
      <c r="T52" s="160" t="s">
        <v>1922</v>
      </c>
      <c r="U52" s="160" t="s">
        <v>375</v>
      </c>
      <c r="V52" s="160" t="s">
        <v>1934</v>
      </c>
      <c r="W52" s="288" t="s">
        <v>349</v>
      </c>
      <c r="X52" s="360" t="s">
        <v>1935</v>
      </c>
      <c r="Y52" s="292" t="s">
        <v>351</v>
      </c>
      <c r="Z52" s="360" t="s">
        <v>1935</v>
      </c>
      <c r="AA52" s="292" t="s">
        <v>168</v>
      </c>
      <c r="AB52" s="360" t="s">
        <v>1996</v>
      </c>
      <c r="AC52" s="160" t="s">
        <v>1959</v>
      </c>
      <c r="AD52" s="360" t="s">
        <v>1936</v>
      </c>
      <c r="AE52" s="362" t="str">
        <f t="shared" si="25"/>
        <v>2023/4/4</v>
      </c>
      <c r="AF52" s="360" t="s">
        <v>1937</v>
      </c>
      <c r="AG52" s="160" t="str">
        <f t="shared" si="26"/>
        <v>Facture</v>
      </c>
      <c r="AH52" s="160" t="s">
        <v>1939</v>
      </c>
      <c r="AI52" s="329" t="str">
        <f t="shared" si="27"/>
        <v>INSERT INTO GENERATEUR(`idDeGeneration`,`dateGenerationDoc`,`catDoc`) VALUES (NULL,"2023/4/4","Facture");</v>
      </c>
      <c r="AJ52" s="329" t="s">
        <v>2013</v>
      </c>
      <c r="AP52" s="160" t="str">
        <f t="shared" si="33"/>
        <v>INSERT INTO GENERATEUR(idDeGeneration, dateGenerationDoc, catDoc) VALUES (18,45021,Devis,");</v>
      </c>
      <c r="AQ52" s="361" t="s">
        <v>1994</v>
      </c>
      <c r="AR52" s="329">
        <v>45021</v>
      </c>
      <c r="AS52" s="160" t="str">
        <f t="shared" si="34"/>
        <v>Devis</v>
      </c>
      <c r="AT52" s="160" t="s">
        <v>1939</v>
      </c>
    </row>
    <row r="53" spans="5:61" ht="15.85" customHeight="1" thickBot="1" x14ac:dyDescent="0.35">
      <c r="F53" s="160">
        <f t="shared" si="32"/>
        <v>17</v>
      </c>
      <c r="G53" s="329">
        <v>45020</v>
      </c>
      <c r="H53" s="160" t="s">
        <v>105</v>
      </c>
      <c r="I53" s="354">
        <v>5</v>
      </c>
      <c r="J53" s="160">
        <f t="shared" si="28"/>
        <v>2023</v>
      </c>
      <c r="K53" s="160">
        <f t="shared" si="29"/>
        <v>4</v>
      </c>
      <c r="L53" s="160">
        <f t="shared" si="30"/>
        <v>4</v>
      </c>
      <c r="M53" s="160" t="str">
        <f t="shared" si="31"/>
        <v>2023/4/4</v>
      </c>
      <c r="P53" s="353" t="str">
        <f t="shared" si="24"/>
        <v>INSERT INTO GENERATEUR(idDeGeneration, dateGenerationDoc, catDoc) VALUES (18, 45021, Devis);</v>
      </c>
      <c r="Q53" s="160" t="s">
        <v>1988</v>
      </c>
      <c r="T53" s="160" t="s">
        <v>1922</v>
      </c>
      <c r="U53" s="160" t="s">
        <v>375</v>
      </c>
      <c r="V53" s="160" t="s">
        <v>1934</v>
      </c>
      <c r="W53" s="288" t="s">
        <v>349</v>
      </c>
      <c r="X53" s="360" t="s">
        <v>1935</v>
      </c>
      <c r="Y53" s="292" t="s">
        <v>351</v>
      </c>
      <c r="Z53" s="360" t="s">
        <v>1935</v>
      </c>
      <c r="AA53" s="292" t="s">
        <v>168</v>
      </c>
      <c r="AB53" s="360" t="s">
        <v>1996</v>
      </c>
      <c r="AC53" s="160" t="s">
        <v>1959</v>
      </c>
      <c r="AD53" s="360" t="s">
        <v>1936</v>
      </c>
      <c r="AE53" s="362" t="str">
        <f t="shared" si="25"/>
        <v>2023/4/5</v>
      </c>
      <c r="AF53" s="360" t="s">
        <v>1937</v>
      </c>
      <c r="AG53" s="160" t="str">
        <f t="shared" si="26"/>
        <v>Devis</v>
      </c>
      <c r="AH53" s="160" t="s">
        <v>1939</v>
      </c>
      <c r="AI53" s="329" t="str">
        <f t="shared" si="27"/>
        <v>INSERT INTO GENERATEUR(`idDeGeneration`,`dateGenerationDoc`,`catDoc`) VALUES (NULL,"2023/4/5","Devis");</v>
      </c>
      <c r="AJ53" s="329" t="s">
        <v>2014</v>
      </c>
      <c r="AP53" s="160" t="str">
        <f t="shared" si="33"/>
        <v>INSERT INTO GENERATEUR(idDeGeneration, dateGenerationDoc, catDoc) VALUES (19,45031,Facture,");</v>
      </c>
      <c r="AQ53" s="361" t="s">
        <v>1994</v>
      </c>
      <c r="AR53" s="329">
        <v>45031</v>
      </c>
      <c r="AS53" s="160" t="str">
        <f t="shared" si="34"/>
        <v>Facture</v>
      </c>
      <c r="AT53" s="160" t="s">
        <v>1939</v>
      </c>
    </row>
    <row r="54" spans="5:61" ht="15.85" customHeight="1" thickBot="1" x14ac:dyDescent="0.35">
      <c r="F54" s="160">
        <f t="shared" si="32"/>
        <v>18</v>
      </c>
      <c r="G54" s="329">
        <v>45021</v>
      </c>
      <c r="H54" s="160" t="s">
        <v>104</v>
      </c>
      <c r="I54" s="354">
        <v>7</v>
      </c>
      <c r="J54" s="160">
        <f t="shared" si="28"/>
        <v>2023</v>
      </c>
      <c r="K54" s="160">
        <f t="shared" si="29"/>
        <v>4</v>
      </c>
      <c r="L54" s="160">
        <f t="shared" si="30"/>
        <v>5</v>
      </c>
      <c r="M54" s="160" t="str">
        <f t="shared" si="31"/>
        <v>2023/4/5</v>
      </c>
      <c r="P54" s="353" t="str">
        <f t="shared" si="24"/>
        <v>INSERT INTO GENERATEUR(idDeGeneration, dateGenerationDoc, catDoc) VALUES (19, 45031, Facture);</v>
      </c>
      <c r="Q54" s="160" t="s">
        <v>1989</v>
      </c>
      <c r="T54" s="160" t="s">
        <v>1922</v>
      </c>
      <c r="U54" s="160" t="s">
        <v>375</v>
      </c>
      <c r="V54" s="160" t="s">
        <v>1934</v>
      </c>
      <c r="W54" s="288" t="s">
        <v>349</v>
      </c>
      <c r="X54" s="360" t="s">
        <v>1935</v>
      </c>
      <c r="Y54" s="292" t="s">
        <v>351</v>
      </c>
      <c r="Z54" s="360" t="s">
        <v>1935</v>
      </c>
      <c r="AA54" s="292" t="s">
        <v>168</v>
      </c>
      <c r="AB54" s="360" t="s">
        <v>1996</v>
      </c>
      <c r="AC54" s="160" t="s">
        <v>1959</v>
      </c>
      <c r="AD54" s="360" t="s">
        <v>1936</v>
      </c>
      <c r="AE54" s="362" t="str">
        <f t="shared" si="25"/>
        <v>2023/4/15</v>
      </c>
      <c r="AF54" s="360" t="s">
        <v>1937</v>
      </c>
      <c r="AG54" s="160" t="str">
        <f t="shared" si="26"/>
        <v>Facture</v>
      </c>
      <c r="AH54" s="160" t="s">
        <v>1939</v>
      </c>
      <c r="AI54" s="329" t="str">
        <f t="shared" si="27"/>
        <v>INSERT INTO GENERATEUR(`idDeGeneration`,`dateGenerationDoc`,`catDoc`) VALUES (NULL,"2023/4/15","Facture");</v>
      </c>
      <c r="AJ54" s="329" t="s">
        <v>2015</v>
      </c>
      <c r="AP54" s="160" t="str">
        <f t="shared" si="33"/>
        <v>INSERT INTO GENERATEUR(idDeGeneration, dateGenerationDoc, catDoc) VALUES (20,45044,Facture,");</v>
      </c>
      <c r="AQ54" s="361" t="s">
        <v>1994</v>
      </c>
      <c r="AR54" s="329">
        <v>45044</v>
      </c>
      <c r="AS54" s="160" t="str">
        <f t="shared" si="34"/>
        <v>Facture</v>
      </c>
      <c r="AT54" s="160" t="s">
        <v>1939</v>
      </c>
    </row>
    <row r="55" spans="5:61" ht="15.85" customHeight="1" thickBot="1" x14ac:dyDescent="0.35">
      <c r="F55" s="160">
        <f t="shared" si="32"/>
        <v>19</v>
      </c>
      <c r="G55" s="335">
        <v>45031</v>
      </c>
      <c r="H55" s="160" t="s">
        <v>105</v>
      </c>
      <c r="I55" s="354">
        <v>7</v>
      </c>
      <c r="J55" s="160">
        <f t="shared" si="28"/>
        <v>2023</v>
      </c>
      <c r="K55" s="160">
        <f t="shared" si="29"/>
        <v>4</v>
      </c>
      <c r="L55" s="160">
        <f t="shared" si="30"/>
        <v>15</v>
      </c>
      <c r="M55" s="160" t="str">
        <f t="shared" si="31"/>
        <v>2023/4/15</v>
      </c>
      <c r="P55" s="353" t="str">
        <f t="shared" si="24"/>
        <v>INSERT INTO GENERATEUR(idDeGeneration, dateGenerationDoc, catDoc) VALUES (20, 45044, Facture);</v>
      </c>
      <c r="Q55" s="160" t="s">
        <v>1990</v>
      </c>
      <c r="T55" s="160" t="s">
        <v>1922</v>
      </c>
      <c r="U55" s="160" t="s">
        <v>375</v>
      </c>
      <c r="V55" s="160" t="s">
        <v>1934</v>
      </c>
      <c r="W55" s="288" t="s">
        <v>349</v>
      </c>
      <c r="X55" s="360" t="s">
        <v>1935</v>
      </c>
      <c r="Y55" s="292" t="s">
        <v>351</v>
      </c>
      <c r="Z55" s="360" t="s">
        <v>1935</v>
      </c>
      <c r="AA55" s="292" t="s">
        <v>168</v>
      </c>
      <c r="AB55" s="360" t="s">
        <v>1996</v>
      </c>
      <c r="AC55" s="160" t="s">
        <v>1959</v>
      </c>
      <c r="AD55" s="360" t="s">
        <v>1936</v>
      </c>
      <c r="AE55" s="362" t="str">
        <f t="shared" si="25"/>
        <v>2023/4/28</v>
      </c>
      <c r="AF55" s="360" t="s">
        <v>1937</v>
      </c>
      <c r="AG55" s="160" t="str">
        <f t="shared" si="26"/>
        <v>Facture</v>
      </c>
      <c r="AH55" s="160" t="s">
        <v>1939</v>
      </c>
      <c r="AI55" s="329" t="str">
        <f t="shared" si="27"/>
        <v>INSERT INTO GENERATEUR(`idDeGeneration`,`dateGenerationDoc`,`catDoc`) VALUES (NULL,"2023/4/28","Facture");</v>
      </c>
      <c r="AJ55" s="329" t="s">
        <v>2016</v>
      </c>
      <c r="AP55" s="160" t="str">
        <f t="shared" si="33"/>
        <v>INSERT INTO GENERATEUR(idDeGeneration, dateGenerationDoc, catDoc) VALUES (21,45061,Devis,");</v>
      </c>
      <c r="AQ55" s="361" t="s">
        <v>1994</v>
      </c>
      <c r="AR55" s="329">
        <v>45061</v>
      </c>
      <c r="AS55" s="160" t="str">
        <f t="shared" si="34"/>
        <v>Devis</v>
      </c>
      <c r="AT55" s="160" t="s">
        <v>1939</v>
      </c>
    </row>
    <row r="56" spans="5:61" ht="15.85" customHeight="1" thickBot="1" x14ac:dyDescent="0.35">
      <c r="F56" s="160">
        <f t="shared" si="32"/>
        <v>20</v>
      </c>
      <c r="G56" s="329">
        <v>45044</v>
      </c>
      <c r="H56" s="160" t="s">
        <v>105</v>
      </c>
      <c r="I56" s="354">
        <v>6</v>
      </c>
      <c r="J56" s="160">
        <f t="shared" si="28"/>
        <v>2023</v>
      </c>
      <c r="K56" s="160">
        <f t="shared" si="29"/>
        <v>4</v>
      </c>
      <c r="L56" s="160">
        <f t="shared" si="30"/>
        <v>28</v>
      </c>
      <c r="M56" s="160" t="str">
        <f t="shared" si="31"/>
        <v>2023/4/28</v>
      </c>
      <c r="P56" s="353" t="str">
        <f t="shared" si="24"/>
        <v>INSERT INTO GENERATEUR(idDeGeneration, dateGenerationDoc, catDoc) VALUES (21, 45061, Devis);</v>
      </c>
      <c r="Q56" s="160" t="s">
        <v>1991</v>
      </c>
      <c r="T56" s="160" t="s">
        <v>1922</v>
      </c>
      <c r="U56" s="160" t="s">
        <v>375</v>
      </c>
      <c r="V56" s="160" t="s">
        <v>1934</v>
      </c>
      <c r="W56" s="288" t="s">
        <v>349</v>
      </c>
      <c r="X56" s="360" t="s">
        <v>1935</v>
      </c>
      <c r="Y56" s="292" t="s">
        <v>351</v>
      </c>
      <c r="Z56" s="360" t="s">
        <v>1935</v>
      </c>
      <c r="AA56" s="292" t="s">
        <v>168</v>
      </c>
      <c r="AB56" s="360" t="s">
        <v>1996</v>
      </c>
      <c r="AC56" s="160" t="s">
        <v>1959</v>
      </c>
      <c r="AD56" s="360" t="s">
        <v>1936</v>
      </c>
      <c r="AE56" s="362" t="str">
        <f t="shared" si="25"/>
        <v>2023/5/15</v>
      </c>
      <c r="AF56" s="360" t="s">
        <v>1937</v>
      </c>
      <c r="AG56" s="160" t="str">
        <f t="shared" si="26"/>
        <v>Devis</v>
      </c>
      <c r="AH56" s="160" t="s">
        <v>1939</v>
      </c>
      <c r="AI56" s="329" t="str">
        <f t="shared" si="27"/>
        <v>INSERT INTO GENERATEUR(`idDeGeneration`,`dateGenerationDoc`,`catDoc`) VALUES (NULL,"2023/5/15","Devis");</v>
      </c>
      <c r="AJ56" s="329" t="s">
        <v>2017</v>
      </c>
      <c r="AP56" s="160" t="str">
        <f t="shared" si="33"/>
        <v>INSERT INTO GENERATEUR(idDeGeneration, dateGenerationDoc, catDoc) VALUES (22,45071,Facture,");</v>
      </c>
      <c r="AQ56" s="361" t="s">
        <v>1994</v>
      </c>
      <c r="AR56" s="329">
        <v>45071</v>
      </c>
      <c r="AS56" s="160" t="str">
        <f t="shared" si="34"/>
        <v>Facture</v>
      </c>
      <c r="AT56" s="160" t="s">
        <v>1939</v>
      </c>
    </row>
    <row r="57" spans="5:61" ht="15.85" customHeight="1" thickBot="1" x14ac:dyDescent="0.35">
      <c r="F57" s="160">
        <f t="shared" si="32"/>
        <v>21</v>
      </c>
      <c r="G57" s="329">
        <v>45061</v>
      </c>
      <c r="H57" s="160" t="s">
        <v>104</v>
      </c>
      <c r="I57" s="354">
        <v>8</v>
      </c>
      <c r="J57" s="160">
        <f t="shared" si="28"/>
        <v>2023</v>
      </c>
      <c r="K57" s="160">
        <f t="shared" si="29"/>
        <v>5</v>
      </c>
      <c r="L57" s="160">
        <f t="shared" si="30"/>
        <v>15</v>
      </c>
      <c r="M57" s="160" t="str">
        <f t="shared" si="31"/>
        <v>2023/5/15</v>
      </c>
      <c r="P57" s="353" t="str">
        <f t="shared" si="24"/>
        <v>INSERT INTO GENERATEUR(idDeGeneration, dateGenerationDoc, catDoc) VALUES (22, 45071, Facture);</v>
      </c>
      <c r="Q57" s="160" t="s">
        <v>1992</v>
      </c>
      <c r="T57" s="160" t="s">
        <v>1922</v>
      </c>
      <c r="U57" s="160" t="s">
        <v>375</v>
      </c>
      <c r="V57" s="160" t="s">
        <v>1934</v>
      </c>
      <c r="W57" s="288" t="s">
        <v>349</v>
      </c>
      <c r="X57" s="360" t="s">
        <v>1935</v>
      </c>
      <c r="Y57" s="292" t="s">
        <v>351</v>
      </c>
      <c r="Z57" s="360" t="s">
        <v>1935</v>
      </c>
      <c r="AA57" s="292" t="s">
        <v>168</v>
      </c>
      <c r="AB57" s="360" t="s">
        <v>1996</v>
      </c>
      <c r="AC57" s="160" t="s">
        <v>1959</v>
      </c>
      <c r="AD57" s="360" t="s">
        <v>1936</v>
      </c>
      <c r="AE57" s="362" t="str">
        <f t="shared" si="25"/>
        <v>2023/5/25</v>
      </c>
      <c r="AF57" s="360" t="s">
        <v>1937</v>
      </c>
      <c r="AG57" s="160" t="str">
        <f t="shared" si="26"/>
        <v>Facture</v>
      </c>
      <c r="AH57" s="160" t="s">
        <v>1939</v>
      </c>
      <c r="AI57" s="329" t="str">
        <f t="shared" si="27"/>
        <v>INSERT INTO GENERATEUR(`idDeGeneration`,`dateGenerationDoc`,`catDoc`) VALUES (NULL,"2023/5/25","Facture");</v>
      </c>
      <c r="AJ57" s="329" t="s">
        <v>2018</v>
      </c>
      <c r="AP57" s="160" t="str">
        <f t="shared" si="33"/>
        <v>INSERT INTO GENERATEUR(idDeGeneration, dateGenerationDoc, catDoc) VALUES (23,45062,Devis,");</v>
      </c>
      <c r="AQ57" s="361" t="s">
        <v>1994</v>
      </c>
      <c r="AR57" s="329">
        <v>45062</v>
      </c>
      <c r="AS57" s="160" t="str">
        <f t="shared" si="34"/>
        <v>Devis</v>
      </c>
      <c r="AT57" s="160" t="s">
        <v>1939</v>
      </c>
    </row>
    <row r="58" spans="5:61" ht="15.85" customHeight="1" x14ac:dyDescent="0.3">
      <c r="F58" s="160">
        <f t="shared" si="32"/>
        <v>22</v>
      </c>
      <c r="G58" s="335">
        <v>45071</v>
      </c>
      <c r="H58" s="160" t="s">
        <v>105</v>
      </c>
      <c r="I58" s="354">
        <v>8</v>
      </c>
      <c r="J58" s="160">
        <f t="shared" si="28"/>
        <v>2023</v>
      </c>
      <c r="K58" s="160">
        <f t="shared" si="29"/>
        <v>5</v>
      </c>
      <c r="L58" s="160">
        <f t="shared" si="30"/>
        <v>25</v>
      </c>
      <c r="M58" s="160" t="str">
        <f t="shared" si="31"/>
        <v>2023/5/25</v>
      </c>
      <c r="P58" s="353" t="str">
        <f t="shared" si="24"/>
        <v>INSERT INTO GENERATEUR(idDeGeneration, dateGenerationDoc, catDoc) VALUES (23, 45062, Devis);</v>
      </c>
      <c r="Q58" s="160" t="s">
        <v>1993</v>
      </c>
      <c r="T58" s="160" t="s">
        <v>1922</v>
      </c>
      <c r="U58" s="160" t="s">
        <v>375</v>
      </c>
      <c r="V58" s="160" t="s">
        <v>1934</v>
      </c>
      <c r="W58" s="363" t="s">
        <v>349</v>
      </c>
      <c r="X58" s="360" t="s">
        <v>1935</v>
      </c>
      <c r="Y58" s="364" t="s">
        <v>351</v>
      </c>
      <c r="Z58" s="360" t="s">
        <v>1935</v>
      </c>
      <c r="AA58" s="364" t="s">
        <v>168</v>
      </c>
      <c r="AB58" s="360" t="s">
        <v>1996</v>
      </c>
      <c r="AC58" s="160" t="s">
        <v>1959</v>
      </c>
      <c r="AD58" s="360" t="s">
        <v>1936</v>
      </c>
      <c r="AE58" s="362" t="str">
        <f t="shared" si="25"/>
        <v>2023/5/16</v>
      </c>
      <c r="AF58" s="360" t="s">
        <v>1937</v>
      </c>
      <c r="AG58" s="160" t="str">
        <f t="shared" si="26"/>
        <v>Devis</v>
      </c>
      <c r="AH58" s="160" t="s">
        <v>1939</v>
      </c>
      <c r="AI58" s="329" t="str">
        <f t="shared" si="27"/>
        <v>INSERT INTO GENERATEUR(`idDeGeneration`,`dateGenerationDoc`,`catDoc`) VALUES (NULL,"2023/5/16","Devis");</v>
      </c>
      <c r="AJ58" s="329" t="s">
        <v>2019</v>
      </c>
    </row>
    <row r="59" spans="5:61" ht="15.85" customHeight="1" x14ac:dyDescent="0.3">
      <c r="F59" s="160">
        <f t="shared" si="32"/>
        <v>23</v>
      </c>
      <c r="G59" s="329">
        <v>45062</v>
      </c>
      <c r="H59" s="160" t="s">
        <v>104</v>
      </c>
      <c r="I59" s="354">
        <v>9</v>
      </c>
      <c r="J59" s="160">
        <f t="shared" si="28"/>
        <v>2023</v>
      </c>
      <c r="K59" s="160">
        <f t="shared" si="29"/>
        <v>5</v>
      </c>
      <c r="L59" s="160">
        <f t="shared" si="30"/>
        <v>16</v>
      </c>
      <c r="M59" s="160" t="str">
        <f t="shared" si="31"/>
        <v>2023/5/16</v>
      </c>
      <c r="P59" s="353"/>
      <c r="W59" s="351"/>
      <c r="X59" s="360"/>
      <c r="Y59" s="352"/>
      <c r="Z59" s="360"/>
      <c r="AA59" s="352"/>
      <c r="AB59" s="360"/>
      <c r="AD59" s="360"/>
      <c r="AE59" s="362"/>
      <c r="AF59" s="360"/>
    </row>
    <row r="60" spans="5:61" ht="15.85" customHeight="1" x14ac:dyDescent="0.3">
      <c r="J60" s="322"/>
      <c r="W60" s="351"/>
      <c r="X60" s="360"/>
      <c r="Y60" s="352"/>
      <c r="Z60" s="360"/>
      <c r="AA60" s="352"/>
      <c r="AB60" s="360"/>
      <c r="AD60" s="360"/>
      <c r="AE60" s="362"/>
      <c r="AF60" s="360"/>
    </row>
    <row r="61" spans="5:61" ht="15.85" customHeight="1" thickBot="1" x14ac:dyDescent="0.35">
      <c r="G61" s="323"/>
      <c r="J61" s="322"/>
      <c r="AO61" s="339" t="s">
        <v>384</v>
      </c>
      <c r="BI61" s="160">
        <f t="shared" ref="BI61:BI69" si="35">N71</f>
        <v>1</v>
      </c>
    </row>
    <row r="62" spans="5:61" ht="15.85" customHeight="1" thickBot="1" x14ac:dyDescent="0.35">
      <c r="E62" s="323" t="s">
        <v>148</v>
      </c>
      <c r="F62" s="281" t="s">
        <v>11</v>
      </c>
      <c r="G62" s="230" t="s">
        <v>360</v>
      </c>
      <c r="H62" s="354" t="s">
        <v>1809</v>
      </c>
      <c r="I62" s="354"/>
      <c r="J62" s="322"/>
      <c r="P62" s="353"/>
      <c r="T62" s="160" t="s">
        <v>1922</v>
      </c>
      <c r="U62" s="160" t="str">
        <f>E62</f>
        <v>TVA</v>
      </c>
      <c r="V62" s="160" t="s">
        <v>1934</v>
      </c>
      <c r="W62" s="281" t="s">
        <v>11</v>
      </c>
      <c r="X62" s="360" t="s">
        <v>1935</v>
      </c>
      <c r="Y62" s="230" t="s">
        <v>360</v>
      </c>
      <c r="Z62" s="360" t="s">
        <v>1996</v>
      </c>
      <c r="AA62" s="160">
        <f>F63</f>
        <v>1</v>
      </c>
      <c r="AB62" s="360" t="s">
        <v>2020</v>
      </c>
      <c r="AC62" s="160">
        <f>G63</f>
        <v>20</v>
      </c>
      <c r="AD62" s="160" t="s">
        <v>2021</v>
      </c>
      <c r="AE62" s="160" t="str">
        <f>T62&amp;U62&amp;V62&amp;W62&amp;X62&amp;Y62&amp;Z62&amp;AA62&amp;AB62&amp;AC62&amp;AD62</f>
        <v>INSERT INTO TVA(`idTVA`,`tauxTVA`) VALUES (1,20);</v>
      </c>
      <c r="AF62" s="160" t="s">
        <v>2022</v>
      </c>
      <c r="AO62" s="339" t="s">
        <v>384</v>
      </c>
      <c r="BI62" s="160">
        <f t="shared" si="35"/>
        <v>2</v>
      </c>
    </row>
    <row r="63" spans="5:61" ht="87.05" customHeight="1" thickBot="1" x14ac:dyDescent="0.35">
      <c r="F63" s="333">
        <v>1</v>
      </c>
      <c r="G63" s="334">
        <v>20</v>
      </c>
      <c r="H63" s="383" t="s">
        <v>1812</v>
      </c>
      <c r="I63" s="383"/>
      <c r="J63" s="322"/>
      <c r="P63" s="353"/>
      <c r="T63" s="160" t="s">
        <v>1922</v>
      </c>
      <c r="U63" s="160" t="str">
        <f>U62</f>
        <v>TVA</v>
      </c>
      <c r="V63" s="160" t="s">
        <v>1934</v>
      </c>
      <c r="W63" s="281" t="s">
        <v>11</v>
      </c>
      <c r="X63" s="360" t="s">
        <v>1935</v>
      </c>
      <c r="Y63" s="230" t="s">
        <v>360</v>
      </c>
      <c r="Z63" s="360" t="s">
        <v>1996</v>
      </c>
      <c r="AA63" s="160">
        <f t="shared" ref="AA63:AA64" si="36">F64</f>
        <v>2</v>
      </c>
      <c r="AB63" s="360" t="s">
        <v>2020</v>
      </c>
      <c r="AC63" s="160">
        <f t="shared" ref="AC63:AC64" si="37">G64</f>
        <v>5.5</v>
      </c>
      <c r="AD63" s="160" t="s">
        <v>2021</v>
      </c>
      <c r="AE63" s="160" t="str">
        <f t="shared" ref="AE63:AE64" si="38">T63&amp;U63&amp;V63&amp;W63&amp;X63&amp;Y63&amp;Z63&amp;AA63&amp;AB63&amp;AC63&amp;AD63</f>
        <v>INSERT INTO TVA(`idTVA`,`tauxTVA`) VALUES (2,5,5);</v>
      </c>
      <c r="AF63" s="160" t="s">
        <v>2023</v>
      </c>
      <c r="AO63" s="339" t="s">
        <v>384</v>
      </c>
      <c r="BI63" s="160">
        <f t="shared" si="35"/>
        <v>3</v>
      </c>
    </row>
    <row r="64" spans="5:61" ht="45.7" customHeight="1" thickBot="1" x14ac:dyDescent="0.35">
      <c r="F64" s="333">
        <v>2</v>
      </c>
      <c r="G64" s="334">
        <v>5.5</v>
      </c>
      <c r="H64" s="383" t="s">
        <v>1810</v>
      </c>
      <c r="I64" s="383"/>
      <c r="J64" s="322"/>
      <c r="P64" s="353"/>
      <c r="T64" s="160" t="s">
        <v>1922</v>
      </c>
      <c r="U64" s="160" t="str">
        <f>U63</f>
        <v>TVA</v>
      </c>
      <c r="V64" s="160" t="s">
        <v>1934</v>
      </c>
      <c r="W64" s="281" t="s">
        <v>11</v>
      </c>
      <c r="X64" s="360" t="s">
        <v>1935</v>
      </c>
      <c r="Y64" s="230" t="s">
        <v>360</v>
      </c>
      <c r="Z64" s="360" t="s">
        <v>1996</v>
      </c>
      <c r="AA64" s="160">
        <f t="shared" si="36"/>
        <v>3</v>
      </c>
      <c r="AB64" s="360" t="s">
        <v>2020</v>
      </c>
      <c r="AC64" s="160">
        <f t="shared" si="37"/>
        <v>10</v>
      </c>
      <c r="AD64" s="160" t="s">
        <v>2021</v>
      </c>
      <c r="AE64" s="160" t="str">
        <f t="shared" si="38"/>
        <v>INSERT INTO TVA(`idTVA`,`tauxTVA`) VALUES (3,10);</v>
      </c>
      <c r="AF64" s="160" t="s">
        <v>2024</v>
      </c>
      <c r="AO64" s="339" t="s">
        <v>384</v>
      </c>
      <c r="BI64" s="160">
        <f t="shared" si="35"/>
        <v>4</v>
      </c>
    </row>
    <row r="65" spans="5:81" ht="33.200000000000003" customHeight="1" x14ac:dyDescent="0.3">
      <c r="F65" s="333">
        <v>3</v>
      </c>
      <c r="G65" s="334">
        <v>10</v>
      </c>
      <c r="H65" s="383" t="s">
        <v>1811</v>
      </c>
      <c r="I65" s="383"/>
      <c r="J65" s="322"/>
      <c r="P65" s="353"/>
      <c r="AO65" s="339" t="s">
        <v>384</v>
      </c>
      <c r="BI65" s="160">
        <f t="shared" si="35"/>
        <v>5</v>
      </c>
    </row>
    <row r="66" spans="5:81" ht="15.85" customHeight="1" x14ac:dyDescent="0.3">
      <c r="F66" s="333"/>
      <c r="G66" s="334"/>
      <c r="J66" s="322"/>
      <c r="AO66" s="339" t="s">
        <v>384</v>
      </c>
      <c r="BI66" s="160">
        <f t="shared" si="35"/>
        <v>6</v>
      </c>
    </row>
    <row r="67" spans="5:81" ht="15.85" customHeight="1" x14ac:dyDescent="0.3">
      <c r="J67" s="322"/>
      <c r="AO67" s="339" t="s">
        <v>384</v>
      </c>
      <c r="BI67" s="160">
        <f t="shared" si="35"/>
        <v>7</v>
      </c>
    </row>
    <row r="68" spans="5:81" ht="15.85" customHeight="1" x14ac:dyDescent="0.3">
      <c r="J68" s="322"/>
      <c r="AO68" s="339" t="s">
        <v>384</v>
      </c>
      <c r="BI68" s="160">
        <f t="shared" si="35"/>
        <v>2</v>
      </c>
    </row>
    <row r="69" spans="5:81" ht="15.85" customHeight="1" thickBot="1" x14ac:dyDescent="0.35">
      <c r="AO69" s="339" t="s">
        <v>384</v>
      </c>
      <c r="BI69" s="160">
        <f t="shared" si="35"/>
        <v>8</v>
      </c>
    </row>
    <row r="70" spans="5:81" ht="15.85" customHeight="1" thickBot="1" x14ac:dyDescent="0.35">
      <c r="E70" s="160" t="s">
        <v>376</v>
      </c>
      <c r="F70" s="275" t="s">
        <v>128</v>
      </c>
      <c r="G70" s="203" t="s">
        <v>215</v>
      </c>
      <c r="H70" s="203" t="s">
        <v>1913</v>
      </c>
      <c r="I70" s="203" t="s">
        <v>258</v>
      </c>
      <c r="J70" s="203" t="s">
        <v>306</v>
      </c>
      <c r="K70" s="203" t="s">
        <v>1914</v>
      </c>
      <c r="L70" s="283" t="s">
        <v>307</v>
      </c>
      <c r="M70" s="339" t="s">
        <v>269</v>
      </c>
      <c r="N70" s="339" t="s">
        <v>384</v>
      </c>
      <c r="O70" s="339" t="s">
        <v>11</v>
      </c>
      <c r="P70" s="339" t="s">
        <v>349</v>
      </c>
      <c r="S70" s="353"/>
      <c r="AK70" s="339" t="s">
        <v>269</v>
      </c>
      <c r="AM70" s="339" t="s">
        <v>384</v>
      </c>
      <c r="AO70" s="339" t="s">
        <v>11</v>
      </c>
      <c r="AQ70" s="339" t="s">
        <v>349</v>
      </c>
      <c r="BK70" s="160" t="str">
        <f>N70</f>
        <v>idPersonneClient</v>
      </c>
    </row>
    <row r="71" spans="5:81" ht="15.85" customHeight="1" thickBot="1" x14ac:dyDescent="0.35">
      <c r="F71" s="160">
        <v>1</v>
      </c>
      <c r="G71" s="329" t="str">
        <f t="shared" ref="G71:G79" si="39">"DEV"&amp;TEXT((_xlfn.XLOOKUP(P71,F$37:F$59,G$37:G$59)),"aaaammjj")&amp;(SUBSTITUTE(UPPER(_xlfn.XLOOKUP(N71,M$26:M$33,J$26:J$33))," ",""))&amp;"-"&amp;F71</f>
        <v>DEV20221205MUNICIPALITÉDEPARIS11E-1</v>
      </c>
      <c r="H71" s="160">
        <v>30</v>
      </c>
      <c r="I71" s="160" t="str">
        <f>UPPER("DESIGN COMMUNAL ROOM CONGRESS - "&amp;J26)</f>
        <v>DESIGN COMMUNAL ROOM CONGRESS - MUNICIPALITÉ DE PARIS 11E</v>
      </c>
      <c r="J71" s="329">
        <v>45270</v>
      </c>
      <c r="K71" s="160" t="s">
        <v>1808</v>
      </c>
      <c r="L71" s="160">
        <f>SUM(I85:I87)</f>
        <v>6000</v>
      </c>
      <c r="M71" s="160">
        <v>3</v>
      </c>
      <c r="N71" s="160">
        <v>1</v>
      </c>
      <c r="O71" s="160">
        <v>1</v>
      </c>
      <c r="P71" s="160">
        <v>1</v>
      </c>
      <c r="S71" s="353" t="str">
        <f t="shared" ref="S71:S79" si="40">"INSERT INTO "&amp;$E$70&amp;"("&amp;$F$70&amp;", "&amp;$G$70&amp;", "&amp;$H$70&amp;", "&amp;$I$70&amp;", "&amp;$J$70&amp;", "&amp;$K$70&amp;", "&amp;$L$70&amp;", "&amp;$P$70&amp;", "&amp;$M$70&amp;", "&amp;$N$70&amp;", "&amp;$O$70&amp;") VALUES ("&amp;F71&amp;", "&amp;G71&amp;", "&amp;H71&amp;", "&amp;I71&amp;", "&amp;J71&amp;", "&amp;K71&amp;", "&amp;L71&amp;", "&amp;P71&amp;", "&amp;M71&amp;", "&amp;N71&amp;", "&amp;O71&amp;");"</f>
        <v>INSERT INTO DEVIS(idDevis, numDev, nbJourValidite, nameDev, dateValidationDev, type (typeDev), totalHTDev, idDeGeneration, idPersonne, idPersonneClient, idTVA) VALUES (1, DEV20221205MUNICIPALITÉDEPARIS11E-1, 30, DESIGN COMMUNAL ROOM CONGRESS - MUNICIPALITÉ DE PARIS 11E, 45270, Forfait, 6000, 1, 3, 1, 1);</v>
      </c>
      <c r="T71" s="160" t="s">
        <v>1922</v>
      </c>
      <c r="U71" s="160" t="s">
        <v>376</v>
      </c>
      <c r="V71" s="160" t="s">
        <v>1934</v>
      </c>
      <c r="W71" s="275" t="s">
        <v>128</v>
      </c>
      <c r="X71" s="360" t="s">
        <v>1935</v>
      </c>
      <c r="Y71" s="203" t="s">
        <v>215</v>
      </c>
      <c r="Z71" s="360" t="s">
        <v>1935</v>
      </c>
      <c r="AA71" s="203" t="s">
        <v>2026</v>
      </c>
      <c r="AB71" s="360" t="s">
        <v>1935</v>
      </c>
      <c r="AC71" s="203" t="s">
        <v>258</v>
      </c>
      <c r="AD71" s="360" t="s">
        <v>1935</v>
      </c>
      <c r="AE71" s="203" t="s">
        <v>306</v>
      </c>
      <c r="AF71" s="360" t="s">
        <v>1935</v>
      </c>
      <c r="AG71" s="203" t="s">
        <v>2025</v>
      </c>
      <c r="AH71" s="360" t="s">
        <v>1935</v>
      </c>
      <c r="AI71" s="283" t="s">
        <v>307</v>
      </c>
      <c r="AJ71" s="360" t="s">
        <v>1935</v>
      </c>
      <c r="AK71" s="339" t="s">
        <v>269</v>
      </c>
      <c r="AL71" s="360" t="s">
        <v>1935</v>
      </c>
      <c r="AM71" s="339" t="s">
        <v>384</v>
      </c>
      <c r="AN71" s="360" t="s">
        <v>1935</v>
      </c>
      <c r="AO71" s="339" t="s">
        <v>11</v>
      </c>
      <c r="AP71" s="360" t="s">
        <v>1935</v>
      </c>
      <c r="AQ71" s="339" t="s">
        <v>349</v>
      </c>
      <c r="AR71" s="360" t="s">
        <v>1996</v>
      </c>
      <c r="AS71" s="160" t="s">
        <v>1959</v>
      </c>
      <c r="AT71" s="360" t="s">
        <v>1936</v>
      </c>
      <c r="AU71" s="329" t="str">
        <f t="shared" ref="AU71:AU79" si="41">G71</f>
        <v>DEV20221205MUNICIPALITÉDEPARIS11E-1</v>
      </c>
      <c r="AV71" s="360" t="s">
        <v>1938</v>
      </c>
      <c r="AW71" s="160">
        <f t="shared" ref="AW71:AW79" si="42">H71</f>
        <v>30</v>
      </c>
      <c r="AX71" s="360" t="s">
        <v>1936</v>
      </c>
      <c r="AY71" s="160" t="str">
        <f t="shared" ref="AY71:AY79" si="43">I71</f>
        <v>DESIGN COMMUNAL ROOM CONGRESS - MUNICIPALITÉ DE PARIS 11E</v>
      </c>
      <c r="AZ71" s="360" t="s">
        <v>1937</v>
      </c>
      <c r="BA71" s="329" t="str">
        <f t="shared" ref="BA71:BA79" si="44">CC71</f>
        <v>2023/12/10</v>
      </c>
      <c r="BB71" s="360" t="s">
        <v>1937</v>
      </c>
      <c r="BC71" s="160" t="str">
        <f t="shared" ref="BC71:BC79" si="45">K71</f>
        <v>Forfait</v>
      </c>
      <c r="BD71" s="360" t="s">
        <v>1938</v>
      </c>
      <c r="BE71" s="160">
        <f t="shared" ref="BE71:BE79" si="46">L71</f>
        <v>6000</v>
      </c>
      <c r="BF71" s="360" t="s">
        <v>2020</v>
      </c>
      <c r="BG71" s="160">
        <f>M71</f>
        <v>3</v>
      </c>
      <c r="BH71" s="360" t="s">
        <v>2020</v>
      </c>
      <c r="BI71" s="160">
        <f>N71</f>
        <v>1</v>
      </c>
      <c r="BJ71" s="360" t="s">
        <v>2020</v>
      </c>
      <c r="BK71" s="160">
        <f t="shared" ref="BK71:BK79" si="47">O71</f>
        <v>1</v>
      </c>
      <c r="BL71" s="360" t="s">
        <v>2020</v>
      </c>
      <c r="BM71" s="160">
        <f>P71</f>
        <v>1</v>
      </c>
      <c r="BN71" s="160" t="s">
        <v>2021</v>
      </c>
      <c r="BO71" s="160" t="str">
        <f>T71&amp;U71&amp;V71&amp;W71&amp;X71&amp;Y71&amp;Z71&amp;AA71&amp;AB71&amp;AC71&amp;AD71&amp;AE71&amp;AF71&amp;AG71&amp;AH71&amp;AI71&amp;AJ71&amp;AK71&amp;AL71&amp;AM71&amp;AN71&amp;AO71&amp;AP71&amp;AQ71&amp;AR71&amp;AS71&amp;AT71&amp;AU71&amp;AV71&amp;AW71&amp;AX71&amp;AY71&amp;AZ71&amp;BA71&amp;BB71&amp;BC71&amp;BD71&amp;BE71&amp;BF71&amp;BG71&amp;BH71&amp;BI71&amp;BJ71&amp;BK71&amp;BL71&amp;BM71&amp;BN71</f>
        <v>INSERT INTO DEVIS(`idDevis`,`numDev`,`nbJourValidity`,`nameDev`,`dateValidationDev`,`type`,`totalHTDev`,`idPersonne`,`idPersonneClient`,`idTVA`,`idDeGeneration`) VALUES (NULL,"DEV20221205MUNICIPALITÉDEPARIS11E-1",30,"DESIGN COMMUNAL ROOM CONGRESS - MUNICIPALITÉ DE PARIS 11E","2023/12/10","Forfait",6000,3,1,1,1);</v>
      </c>
      <c r="BP71" s="160" t="s">
        <v>2057</v>
      </c>
      <c r="BR71" s="160" t="s">
        <v>2027</v>
      </c>
      <c r="BY71" s="329">
        <f t="shared" ref="BY71:BY79" si="48">J71</f>
        <v>45270</v>
      </c>
      <c r="BZ71" s="160">
        <f>YEAR(BY71)</f>
        <v>2023</v>
      </c>
      <c r="CA71" s="160">
        <f>MONTH(BY71)</f>
        <v>12</v>
      </c>
      <c r="CB71" s="160">
        <f>DAY(BY71)</f>
        <v>10</v>
      </c>
      <c r="CC71" s="160" t="str">
        <f>BZ71&amp;"/"&amp;CA71&amp;"/"&amp;CB71</f>
        <v>2023/12/10</v>
      </c>
    </row>
    <row r="72" spans="5:81" ht="15.85" customHeight="1" thickBot="1" x14ac:dyDescent="0.35">
      <c r="F72" s="160">
        <v>2</v>
      </c>
      <c r="G72" s="329" t="str">
        <f t="shared" si="39"/>
        <v>DEV20221220BOISDELUX-2</v>
      </c>
      <c r="H72" s="160">
        <v>30</v>
      </c>
      <c r="I72" s="160" t="str">
        <f>UPPER("DESIGN HALL LIKE MUSEUM- "&amp;J27)</f>
        <v>DESIGN HALL LIKE MUSEUM- BOISDELUX</v>
      </c>
      <c r="J72" s="329">
        <v>44928</v>
      </c>
      <c r="K72" s="160" t="s">
        <v>1816</v>
      </c>
      <c r="L72" s="160">
        <f>I106*J106+I107*J107+I108*J108</f>
        <v>6500</v>
      </c>
      <c r="M72" s="160">
        <v>4</v>
      </c>
      <c r="N72" s="160">
        <v>2</v>
      </c>
      <c r="O72" s="160">
        <v>1</v>
      </c>
      <c r="P72" s="160">
        <v>2</v>
      </c>
      <c r="S72" s="353" t="str">
        <f t="shared" si="40"/>
        <v>INSERT INTO DEVIS(idDevis, numDev, nbJourValidite, nameDev, dateValidationDev, type (typeDev), totalHTDev, idDeGeneration, idPersonne, idPersonneClient, idTVA) VALUES (2, DEV20221220BOISDELUX-2, 30, DESIGN HALL LIKE MUSEUM- BOISDELUX, 44928, QPU, 6500, 2, 4, 2, 1);</v>
      </c>
      <c r="T72" s="160" t="s">
        <v>1922</v>
      </c>
      <c r="U72" s="160" t="s">
        <v>376</v>
      </c>
      <c r="V72" s="160" t="s">
        <v>1934</v>
      </c>
      <c r="W72" s="275" t="s">
        <v>128</v>
      </c>
      <c r="X72" s="360" t="s">
        <v>1935</v>
      </c>
      <c r="Y72" s="203" t="s">
        <v>215</v>
      </c>
      <c r="Z72" s="360" t="s">
        <v>1935</v>
      </c>
      <c r="AA72" s="203" t="s">
        <v>2026</v>
      </c>
      <c r="AB72" s="360" t="s">
        <v>1935</v>
      </c>
      <c r="AC72" s="203" t="s">
        <v>258</v>
      </c>
      <c r="AD72" s="360" t="s">
        <v>1935</v>
      </c>
      <c r="AE72" s="203" t="s">
        <v>306</v>
      </c>
      <c r="AF72" s="360" t="s">
        <v>1935</v>
      </c>
      <c r="AG72" s="203" t="s">
        <v>2025</v>
      </c>
      <c r="AH72" s="360" t="s">
        <v>1935</v>
      </c>
      <c r="AI72" s="283" t="s">
        <v>307</v>
      </c>
      <c r="AJ72" s="360" t="s">
        <v>1935</v>
      </c>
      <c r="AK72" s="339" t="s">
        <v>269</v>
      </c>
      <c r="AL72" s="360" t="s">
        <v>1935</v>
      </c>
      <c r="AM72" s="339" t="s">
        <v>384</v>
      </c>
      <c r="AN72" s="360" t="s">
        <v>1935</v>
      </c>
      <c r="AO72" s="339" t="s">
        <v>11</v>
      </c>
      <c r="AP72" s="360" t="s">
        <v>1935</v>
      </c>
      <c r="AQ72" s="339" t="s">
        <v>349</v>
      </c>
      <c r="AR72" s="360" t="s">
        <v>1996</v>
      </c>
      <c r="AS72" s="160" t="s">
        <v>1959</v>
      </c>
      <c r="AT72" s="360" t="s">
        <v>1936</v>
      </c>
      <c r="AU72" s="329" t="str">
        <f t="shared" si="41"/>
        <v>DEV20221220BOISDELUX-2</v>
      </c>
      <c r="AV72" s="360" t="s">
        <v>1938</v>
      </c>
      <c r="AW72" s="160">
        <f t="shared" si="42"/>
        <v>30</v>
      </c>
      <c r="AX72" s="360" t="s">
        <v>1936</v>
      </c>
      <c r="AY72" s="160" t="str">
        <f t="shared" si="43"/>
        <v>DESIGN HALL LIKE MUSEUM- BOISDELUX</v>
      </c>
      <c r="AZ72" s="360" t="s">
        <v>1937</v>
      </c>
      <c r="BA72" s="329" t="str">
        <f t="shared" si="44"/>
        <v>2023/1/2</v>
      </c>
      <c r="BB72" s="360" t="s">
        <v>1937</v>
      </c>
      <c r="BC72" s="160" t="str">
        <f t="shared" si="45"/>
        <v>QPU</v>
      </c>
      <c r="BD72" s="360" t="s">
        <v>1938</v>
      </c>
      <c r="BE72" s="160">
        <f t="shared" si="46"/>
        <v>6500</v>
      </c>
      <c r="BF72" s="360" t="s">
        <v>2020</v>
      </c>
      <c r="BG72" s="160">
        <f t="shared" ref="BG72:BG79" si="49">M72</f>
        <v>4</v>
      </c>
      <c r="BH72" s="360" t="s">
        <v>2020</v>
      </c>
      <c r="BI72" s="160">
        <f t="shared" ref="BI72:BI79" si="50">N72</f>
        <v>2</v>
      </c>
      <c r="BJ72" s="360" t="s">
        <v>2020</v>
      </c>
      <c r="BK72" s="160">
        <f t="shared" si="47"/>
        <v>1</v>
      </c>
      <c r="BL72" s="360" t="s">
        <v>2020</v>
      </c>
      <c r="BM72" s="160">
        <f t="shared" ref="BM72:BM79" si="51">P72</f>
        <v>2</v>
      </c>
      <c r="BN72" s="160" t="s">
        <v>2021</v>
      </c>
      <c r="BO72" s="160" t="str">
        <f t="shared" ref="BO72:BO79" si="52">T72&amp;U72&amp;V72&amp;W72&amp;X72&amp;Y72&amp;Z72&amp;AA72&amp;AB72&amp;AC72&amp;AD72&amp;AE72&amp;AF72&amp;AG72&amp;AH72&amp;AI72&amp;AJ72&amp;AK72&amp;AL72&amp;AM72&amp;AN72&amp;AO72&amp;AP72&amp;AQ72&amp;AR72&amp;AS72&amp;AT72&amp;AU72&amp;AV72&amp;AW72&amp;AX72&amp;AY72&amp;AZ72&amp;BA72&amp;BB72&amp;BC72&amp;BD72&amp;BE72&amp;BF72&amp;BG72&amp;BH72&amp;BI72&amp;BJ72&amp;BK72&amp;BL72&amp;BM72&amp;BN72</f>
        <v>INSERT INTO DEVIS(`idDevis`,`numDev`,`nbJourValidity`,`nameDev`,`dateValidationDev`,`type`,`totalHTDev`,`idPersonne`,`idPersonneClient`,`idTVA`,`idDeGeneration`) VALUES (NULL,"DEV20221220BOISDELUX-2",30,"DESIGN HALL LIKE MUSEUM- BOISDELUX","2023/1/2","QPU",6500,4,2,1,2);</v>
      </c>
      <c r="BP72" s="160" t="s">
        <v>2058</v>
      </c>
      <c r="BR72" s="160" t="s">
        <v>2028</v>
      </c>
      <c r="BY72" s="329">
        <f t="shared" si="48"/>
        <v>44928</v>
      </c>
      <c r="BZ72" s="160">
        <f t="shared" ref="BZ72:BZ79" si="53">YEAR(BY72)</f>
        <v>2023</v>
      </c>
      <c r="CA72" s="160">
        <f t="shared" ref="CA72:CA78" si="54">MONTH(BY72)</f>
        <v>1</v>
      </c>
      <c r="CB72" s="160">
        <f t="shared" ref="CB72:CB78" si="55">DAY(BY72)</f>
        <v>2</v>
      </c>
      <c r="CC72" s="160" t="str">
        <f t="shared" ref="CC72:CC78" si="56">BZ72&amp;"/"&amp;CA72&amp;"/"&amp;CB72</f>
        <v>2023/1/2</v>
      </c>
    </row>
    <row r="73" spans="5:81" ht="15.85" customHeight="1" thickBot="1" x14ac:dyDescent="0.35">
      <c r="F73" s="160">
        <v>3</v>
      </c>
      <c r="G73" s="329" t="str">
        <f t="shared" si="39"/>
        <v>DEV20230110RAMENETAFRAISE-3</v>
      </c>
      <c r="H73" s="160">
        <v>30</v>
      </c>
      <c r="I73" s="160" t="str">
        <f>UPPER("DESIGN SHOW ROOM - "&amp;J28)</f>
        <v>DESIGN SHOW ROOM - RAMENETAFRAISE</v>
      </c>
      <c r="J73" s="329">
        <v>44946</v>
      </c>
      <c r="K73" s="160" t="s">
        <v>1816</v>
      </c>
      <c r="L73" s="160">
        <f>I110*J110+I111*J111+I109*J109</f>
        <v>6300</v>
      </c>
      <c r="M73" s="160">
        <v>5</v>
      </c>
      <c r="N73" s="160">
        <v>3</v>
      </c>
      <c r="O73" s="160">
        <v>1</v>
      </c>
      <c r="P73" s="160">
        <v>5</v>
      </c>
      <c r="S73" s="353" t="str">
        <f t="shared" si="40"/>
        <v>INSERT INTO DEVIS(idDevis, numDev, nbJourValidite, nameDev, dateValidationDev, type (typeDev), totalHTDev, idDeGeneration, idPersonne, idPersonneClient, idTVA) VALUES (3, DEV20230110RAMENETAFRAISE-3, 30, DESIGN SHOW ROOM - RAMENETAFRAISE, 44946, QPU, 6300, 5, 5, 3, 1);</v>
      </c>
      <c r="T73" s="160" t="s">
        <v>1922</v>
      </c>
      <c r="U73" s="160" t="s">
        <v>376</v>
      </c>
      <c r="V73" s="160" t="s">
        <v>1934</v>
      </c>
      <c r="W73" s="275" t="s">
        <v>128</v>
      </c>
      <c r="X73" s="360" t="s">
        <v>1935</v>
      </c>
      <c r="Y73" s="203" t="s">
        <v>215</v>
      </c>
      <c r="Z73" s="360" t="s">
        <v>1935</v>
      </c>
      <c r="AA73" s="203" t="s">
        <v>2026</v>
      </c>
      <c r="AB73" s="360" t="s">
        <v>1935</v>
      </c>
      <c r="AC73" s="203" t="s">
        <v>258</v>
      </c>
      <c r="AD73" s="360" t="s">
        <v>1935</v>
      </c>
      <c r="AE73" s="203" t="s">
        <v>306</v>
      </c>
      <c r="AF73" s="360" t="s">
        <v>1935</v>
      </c>
      <c r="AG73" s="203" t="s">
        <v>2025</v>
      </c>
      <c r="AH73" s="360" t="s">
        <v>1935</v>
      </c>
      <c r="AI73" s="283" t="s">
        <v>307</v>
      </c>
      <c r="AJ73" s="360" t="s">
        <v>1935</v>
      </c>
      <c r="AK73" s="339" t="s">
        <v>269</v>
      </c>
      <c r="AL73" s="360" t="s">
        <v>1935</v>
      </c>
      <c r="AM73" s="339" t="s">
        <v>384</v>
      </c>
      <c r="AN73" s="360" t="s">
        <v>1935</v>
      </c>
      <c r="AO73" s="339" t="s">
        <v>11</v>
      </c>
      <c r="AP73" s="360" t="s">
        <v>1935</v>
      </c>
      <c r="AQ73" s="339" t="s">
        <v>349</v>
      </c>
      <c r="AR73" s="360" t="s">
        <v>1996</v>
      </c>
      <c r="AS73" s="160" t="s">
        <v>1959</v>
      </c>
      <c r="AT73" s="360" t="s">
        <v>1936</v>
      </c>
      <c r="AU73" s="329" t="str">
        <f t="shared" si="41"/>
        <v>DEV20230110RAMENETAFRAISE-3</v>
      </c>
      <c r="AV73" s="360" t="s">
        <v>1938</v>
      </c>
      <c r="AW73" s="160">
        <f t="shared" si="42"/>
        <v>30</v>
      </c>
      <c r="AX73" s="360" t="s">
        <v>1936</v>
      </c>
      <c r="AY73" s="160" t="str">
        <f t="shared" si="43"/>
        <v>DESIGN SHOW ROOM - RAMENETAFRAISE</v>
      </c>
      <c r="AZ73" s="360" t="s">
        <v>1937</v>
      </c>
      <c r="BA73" s="329" t="str">
        <f t="shared" si="44"/>
        <v>2023/1/20</v>
      </c>
      <c r="BB73" s="360" t="s">
        <v>1937</v>
      </c>
      <c r="BC73" s="160" t="str">
        <f t="shared" si="45"/>
        <v>QPU</v>
      </c>
      <c r="BD73" s="360" t="s">
        <v>1938</v>
      </c>
      <c r="BE73" s="160">
        <f t="shared" si="46"/>
        <v>6300</v>
      </c>
      <c r="BF73" s="360" t="s">
        <v>2020</v>
      </c>
      <c r="BG73" s="160">
        <f t="shared" si="49"/>
        <v>5</v>
      </c>
      <c r="BH73" s="360" t="s">
        <v>2020</v>
      </c>
      <c r="BI73" s="160">
        <f t="shared" si="50"/>
        <v>3</v>
      </c>
      <c r="BJ73" s="360" t="s">
        <v>2020</v>
      </c>
      <c r="BK73" s="160">
        <f t="shared" si="47"/>
        <v>1</v>
      </c>
      <c r="BL73" s="360" t="s">
        <v>2020</v>
      </c>
      <c r="BM73" s="160">
        <f t="shared" si="51"/>
        <v>5</v>
      </c>
      <c r="BN73" s="160" t="s">
        <v>2021</v>
      </c>
      <c r="BO73" s="160" t="str">
        <f t="shared" si="52"/>
        <v>INSERT INTO DEVIS(`idDevis`,`numDev`,`nbJourValidity`,`nameDev`,`dateValidationDev`,`type`,`totalHTDev`,`idPersonne`,`idPersonneClient`,`idTVA`,`idDeGeneration`) VALUES (NULL,"DEV20230110RAMENETAFRAISE-3",30,"DESIGN SHOW ROOM - RAMENETAFRAISE","2023/1/20","QPU",6300,5,3,1,5);</v>
      </c>
      <c r="BP73" s="160" t="s">
        <v>2059</v>
      </c>
      <c r="BR73" s="160" t="s">
        <v>2029</v>
      </c>
      <c r="BY73" s="329">
        <f t="shared" si="48"/>
        <v>44946</v>
      </c>
      <c r="BZ73" s="160">
        <f t="shared" si="53"/>
        <v>2023</v>
      </c>
      <c r="CA73" s="160">
        <f t="shared" si="54"/>
        <v>1</v>
      </c>
      <c r="CB73" s="160">
        <f t="shared" si="55"/>
        <v>20</v>
      </c>
      <c r="CC73" s="160" t="str">
        <f t="shared" si="56"/>
        <v>2023/1/20</v>
      </c>
    </row>
    <row r="74" spans="5:81" ht="15.85" customHeight="1" thickBot="1" x14ac:dyDescent="0.35">
      <c r="F74" s="160">
        <v>4</v>
      </c>
      <c r="G74" s="329" t="str">
        <f t="shared" si="39"/>
        <v>DEV20230130TAPUDFUITE-4</v>
      </c>
      <c r="H74" s="160">
        <v>30</v>
      </c>
      <c r="I74" s="160" t="str">
        <f>UPPER("DESIGN SHOW ROOM SDBs - "&amp;J29)</f>
        <v>DESIGN SHOW ROOM SDBS - TAPUDFUITE</v>
      </c>
      <c r="J74" s="329">
        <v>44972</v>
      </c>
      <c r="K74" s="160" t="s">
        <v>1816</v>
      </c>
      <c r="L74" s="160">
        <f>I114*J114+I113*J112+I112*J113</f>
        <v>12100</v>
      </c>
      <c r="M74" s="160">
        <v>7</v>
      </c>
      <c r="N74" s="160">
        <v>4</v>
      </c>
      <c r="O74" s="160">
        <v>1</v>
      </c>
      <c r="P74" s="160">
        <v>8</v>
      </c>
      <c r="S74" s="353" t="str">
        <f t="shared" si="40"/>
        <v>INSERT INTO DEVIS(idDevis, numDev, nbJourValidite, nameDev, dateValidationDev, type (typeDev), totalHTDev, idDeGeneration, idPersonne, idPersonneClient, idTVA) VALUES (4, DEV20230130TAPUDFUITE-4, 30, DESIGN SHOW ROOM SDBS - TAPUDFUITE, 44972, QPU, 12100, 8, 7, 4, 1);</v>
      </c>
      <c r="T74" s="160" t="s">
        <v>1922</v>
      </c>
      <c r="U74" s="160" t="s">
        <v>376</v>
      </c>
      <c r="V74" s="160" t="s">
        <v>1934</v>
      </c>
      <c r="W74" s="275" t="s">
        <v>128</v>
      </c>
      <c r="X74" s="360" t="s">
        <v>1935</v>
      </c>
      <c r="Y74" s="203" t="s">
        <v>215</v>
      </c>
      <c r="Z74" s="360" t="s">
        <v>1935</v>
      </c>
      <c r="AA74" s="203" t="s">
        <v>2026</v>
      </c>
      <c r="AB74" s="360" t="s">
        <v>1935</v>
      </c>
      <c r="AC74" s="203" t="s">
        <v>258</v>
      </c>
      <c r="AD74" s="360" t="s">
        <v>1935</v>
      </c>
      <c r="AE74" s="203" t="s">
        <v>306</v>
      </c>
      <c r="AF74" s="360" t="s">
        <v>1935</v>
      </c>
      <c r="AG74" s="203" t="s">
        <v>2025</v>
      </c>
      <c r="AH74" s="360" t="s">
        <v>1935</v>
      </c>
      <c r="AI74" s="283" t="s">
        <v>307</v>
      </c>
      <c r="AJ74" s="360" t="s">
        <v>1935</v>
      </c>
      <c r="AK74" s="339" t="s">
        <v>269</v>
      </c>
      <c r="AL74" s="360" t="s">
        <v>1935</v>
      </c>
      <c r="AM74" s="339" t="s">
        <v>384</v>
      </c>
      <c r="AN74" s="360" t="s">
        <v>1935</v>
      </c>
      <c r="AO74" s="339" t="s">
        <v>11</v>
      </c>
      <c r="AP74" s="360" t="s">
        <v>1935</v>
      </c>
      <c r="AQ74" s="339" t="s">
        <v>349</v>
      </c>
      <c r="AR74" s="360" t="s">
        <v>1996</v>
      </c>
      <c r="AS74" s="160" t="s">
        <v>1959</v>
      </c>
      <c r="AT74" s="360" t="s">
        <v>1936</v>
      </c>
      <c r="AU74" s="329" t="str">
        <f t="shared" si="41"/>
        <v>DEV20230130TAPUDFUITE-4</v>
      </c>
      <c r="AV74" s="360" t="s">
        <v>1938</v>
      </c>
      <c r="AW74" s="160">
        <f t="shared" si="42"/>
        <v>30</v>
      </c>
      <c r="AX74" s="360" t="s">
        <v>1936</v>
      </c>
      <c r="AY74" s="160" t="str">
        <f t="shared" si="43"/>
        <v>DESIGN SHOW ROOM SDBS - TAPUDFUITE</v>
      </c>
      <c r="AZ74" s="360" t="s">
        <v>1937</v>
      </c>
      <c r="BA74" s="329" t="str">
        <f t="shared" si="44"/>
        <v>2023/2/15</v>
      </c>
      <c r="BB74" s="360" t="s">
        <v>1937</v>
      </c>
      <c r="BC74" s="160" t="str">
        <f t="shared" si="45"/>
        <v>QPU</v>
      </c>
      <c r="BD74" s="360" t="s">
        <v>1938</v>
      </c>
      <c r="BE74" s="160">
        <f t="shared" si="46"/>
        <v>12100</v>
      </c>
      <c r="BF74" s="360" t="s">
        <v>2020</v>
      </c>
      <c r="BG74" s="160">
        <f t="shared" si="49"/>
        <v>7</v>
      </c>
      <c r="BH74" s="360" t="s">
        <v>2020</v>
      </c>
      <c r="BI74" s="160">
        <f t="shared" si="50"/>
        <v>4</v>
      </c>
      <c r="BJ74" s="360" t="s">
        <v>2020</v>
      </c>
      <c r="BK74" s="160">
        <f t="shared" si="47"/>
        <v>1</v>
      </c>
      <c r="BL74" s="360" t="s">
        <v>2020</v>
      </c>
      <c r="BM74" s="160">
        <f t="shared" si="51"/>
        <v>8</v>
      </c>
      <c r="BN74" s="160" t="s">
        <v>2021</v>
      </c>
      <c r="BO74" s="160" t="str">
        <f t="shared" si="52"/>
        <v>INSERT INTO DEVIS(`idDevis`,`numDev`,`nbJourValidity`,`nameDev`,`dateValidationDev`,`type`,`totalHTDev`,`idPersonne`,`idPersonneClient`,`idTVA`,`idDeGeneration`) VALUES (NULL,"DEV20230130TAPUDFUITE-4",30,"DESIGN SHOW ROOM SDBS - TAPUDFUITE","2023/2/15","QPU",12100,7,4,1,8);</v>
      </c>
      <c r="BP74" s="160" t="s">
        <v>2060</v>
      </c>
      <c r="BR74" s="160" t="s">
        <v>2030</v>
      </c>
      <c r="BY74" s="329">
        <f t="shared" si="48"/>
        <v>44972</v>
      </c>
      <c r="BZ74" s="160">
        <f t="shared" si="53"/>
        <v>2023</v>
      </c>
      <c r="CA74" s="160">
        <f t="shared" si="54"/>
        <v>2</v>
      </c>
      <c r="CB74" s="160">
        <f t="shared" si="55"/>
        <v>15</v>
      </c>
      <c r="CC74" s="160" t="str">
        <f t="shared" si="56"/>
        <v>2023/2/15</v>
      </c>
    </row>
    <row r="75" spans="5:81" ht="15.85" customHeight="1" thickBot="1" x14ac:dyDescent="0.35">
      <c r="F75" s="160">
        <v>5</v>
      </c>
      <c r="G75" s="329" t="str">
        <f t="shared" si="39"/>
        <v>DEV20230215LABONNEBAGUETTE-5</v>
      </c>
      <c r="H75" s="160">
        <v>30</v>
      </c>
      <c r="I75" s="160" t="str">
        <f>UPPER("DESIGN PROFESSIONAL BAKER ROOM - "&amp;J30)</f>
        <v>DESIGN PROFESSIONAL BAKER ROOM - LABONNEBAGUETTE</v>
      </c>
      <c r="J75" s="329">
        <v>44983</v>
      </c>
      <c r="K75" s="160" t="s">
        <v>1808</v>
      </c>
      <c r="L75" s="160">
        <f>SUM(I88:I90)</f>
        <v>6300</v>
      </c>
      <c r="M75" s="160">
        <v>8</v>
      </c>
      <c r="N75" s="160">
        <v>5</v>
      </c>
      <c r="O75" s="160">
        <v>1</v>
      </c>
      <c r="P75" s="160">
        <v>11</v>
      </c>
      <c r="S75" s="353" t="str">
        <f t="shared" si="40"/>
        <v>INSERT INTO DEVIS(idDevis, numDev, nbJourValidite, nameDev, dateValidationDev, type (typeDev), totalHTDev, idDeGeneration, idPersonne, idPersonneClient, idTVA) VALUES (5, DEV20230215LABONNEBAGUETTE-5, 30, DESIGN PROFESSIONAL BAKER ROOM - LABONNEBAGUETTE, 44983, Forfait, 6300, 11, 8, 5, 1);</v>
      </c>
      <c r="T75" s="160" t="s">
        <v>1922</v>
      </c>
      <c r="U75" s="160" t="s">
        <v>376</v>
      </c>
      <c r="V75" s="160" t="s">
        <v>1934</v>
      </c>
      <c r="W75" s="275" t="s">
        <v>128</v>
      </c>
      <c r="X75" s="360" t="s">
        <v>1935</v>
      </c>
      <c r="Y75" s="203" t="s">
        <v>215</v>
      </c>
      <c r="Z75" s="360" t="s">
        <v>1935</v>
      </c>
      <c r="AA75" s="203" t="s">
        <v>2026</v>
      </c>
      <c r="AB75" s="360" t="s">
        <v>1935</v>
      </c>
      <c r="AC75" s="203" t="s">
        <v>258</v>
      </c>
      <c r="AD75" s="360" t="s">
        <v>1935</v>
      </c>
      <c r="AE75" s="203" t="s">
        <v>306</v>
      </c>
      <c r="AF75" s="360" t="s">
        <v>1935</v>
      </c>
      <c r="AG75" s="203" t="s">
        <v>2025</v>
      </c>
      <c r="AH75" s="360" t="s">
        <v>1935</v>
      </c>
      <c r="AI75" s="283" t="s">
        <v>307</v>
      </c>
      <c r="AJ75" s="360" t="s">
        <v>1935</v>
      </c>
      <c r="AK75" s="339" t="s">
        <v>269</v>
      </c>
      <c r="AL75" s="360" t="s">
        <v>1935</v>
      </c>
      <c r="AM75" s="339" t="s">
        <v>384</v>
      </c>
      <c r="AN75" s="360" t="s">
        <v>1935</v>
      </c>
      <c r="AO75" s="339" t="s">
        <v>11</v>
      </c>
      <c r="AP75" s="360" t="s">
        <v>1935</v>
      </c>
      <c r="AQ75" s="339" t="s">
        <v>349</v>
      </c>
      <c r="AR75" s="360" t="s">
        <v>1996</v>
      </c>
      <c r="AS75" s="160" t="s">
        <v>1959</v>
      </c>
      <c r="AT75" s="360" t="s">
        <v>1936</v>
      </c>
      <c r="AU75" s="329" t="str">
        <f t="shared" si="41"/>
        <v>DEV20230215LABONNEBAGUETTE-5</v>
      </c>
      <c r="AV75" s="360" t="s">
        <v>1938</v>
      </c>
      <c r="AW75" s="160">
        <f t="shared" si="42"/>
        <v>30</v>
      </c>
      <c r="AX75" s="360" t="s">
        <v>1936</v>
      </c>
      <c r="AY75" s="160" t="str">
        <f t="shared" si="43"/>
        <v>DESIGN PROFESSIONAL BAKER ROOM - LABONNEBAGUETTE</v>
      </c>
      <c r="AZ75" s="360" t="s">
        <v>1937</v>
      </c>
      <c r="BA75" s="329" t="str">
        <f t="shared" si="44"/>
        <v>2023/2/26</v>
      </c>
      <c r="BB75" s="360" t="s">
        <v>1937</v>
      </c>
      <c r="BC75" s="160" t="str">
        <f t="shared" si="45"/>
        <v>Forfait</v>
      </c>
      <c r="BD75" s="360" t="s">
        <v>1938</v>
      </c>
      <c r="BE75" s="160">
        <f t="shared" si="46"/>
        <v>6300</v>
      </c>
      <c r="BF75" s="360" t="s">
        <v>2020</v>
      </c>
      <c r="BG75" s="160">
        <f t="shared" si="49"/>
        <v>8</v>
      </c>
      <c r="BH75" s="360" t="s">
        <v>2020</v>
      </c>
      <c r="BI75" s="160">
        <f t="shared" si="50"/>
        <v>5</v>
      </c>
      <c r="BJ75" s="360" t="s">
        <v>2020</v>
      </c>
      <c r="BK75" s="160">
        <f t="shared" si="47"/>
        <v>1</v>
      </c>
      <c r="BL75" s="360" t="s">
        <v>2020</v>
      </c>
      <c r="BM75" s="160">
        <f t="shared" si="51"/>
        <v>11</v>
      </c>
      <c r="BN75" s="160" t="s">
        <v>2021</v>
      </c>
      <c r="BO75" s="160" t="str">
        <f t="shared" si="52"/>
        <v>INSERT INTO DEVIS(`idDevis`,`numDev`,`nbJourValidity`,`nameDev`,`dateValidationDev`,`type`,`totalHTDev`,`idPersonne`,`idPersonneClient`,`idTVA`,`idDeGeneration`) VALUES (NULL,"DEV20230215LABONNEBAGUETTE-5",30,"DESIGN PROFESSIONAL BAKER ROOM - LABONNEBAGUETTE","2023/2/26","Forfait",6300,8,5,1,11);</v>
      </c>
      <c r="BP75" s="160" t="s">
        <v>2061</v>
      </c>
      <c r="BR75" s="160" t="s">
        <v>2031</v>
      </c>
      <c r="BY75" s="329">
        <f t="shared" si="48"/>
        <v>44983</v>
      </c>
      <c r="BZ75" s="160">
        <f t="shared" si="53"/>
        <v>2023</v>
      </c>
      <c r="CA75" s="160">
        <f t="shared" si="54"/>
        <v>2</v>
      </c>
      <c r="CB75" s="160">
        <f t="shared" si="55"/>
        <v>26</v>
      </c>
      <c r="CC75" s="160" t="str">
        <f t="shared" si="56"/>
        <v>2023/2/26</v>
      </c>
    </row>
    <row r="76" spans="5:81" ht="15.85" customHeight="1" thickBot="1" x14ac:dyDescent="0.35">
      <c r="F76" s="160">
        <v>6</v>
      </c>
      <c r="G76" s="329" t="str">
        <f t="shared" si="39"/>
        <v>DEV20230305GLESBOULES-6</v>
      </c>
      <c r="H76" s="160">
        <v>30</v>
      </c>
      <c r="I76" s="160" t="str">
        <f>UPPER("DESIGN SWEETY ROOM - "&amp;J31)</f>
        <v>DESIGN SWEETY ROOM - GLESBOULES</v>
      </c>
      <c r="J76" s="329">
        <v>44997</v>
      </c>
      <c r="K76" s="160" t="s">
        <v>1808</v>
      </c>
      <c r="L76" s="160">
        <f>SUM(I91:I93)</f>
        <v>6000</v>
      </c>
      <c r="M76" s="160">
        <v>9</v>
      </c>
      <c r="N76" s="160">
        <v>6</v>
      </c>
      <c r="O76" s="160">
        <v>1</v>
      </c>
      <c r="P76" s="160">
        <v>14</v>
      </c>
      <c r="S76" s="353" t="str">
        <f t="shared" si="40"/>
        <v>INSERT INTO DEVIS(idDevis, numDev, nbJourValidite, nameDev, dateValidationDev, type (typeDev), totalHTDev, idDeGeneration, idPersonne, idPersonneClient, idTVA) VALUES (6, DEV20230305GLESBOULES-6, 30, DESIGN SWEETY ROOM - GLESBOULES, 44997, Forfait, 6000, 14, 9, 6, 1);</v>
      </c>
      <c r="T76" s="160" t="s">
        <v>1922</v>
      </c>
      <c r="U76" s="160" t="s">
        <v>376</v>
      </c>
      <c r="V76" s="160" t="s">
        <v>1934</v>
      </c>
      <c r="W76" s="275" t="s">
        <v>128</v>
      </c>
      <c r="X76" s="360" t="s">
        <v>1935</v>
      </c>
      <c r="Y76" s="203" t="s">
        <v>215</v>
      </c>
      <c r="Z76" s="360" t="s">
        <v>1935</v>
      </c>
      <c r="AA76" s="203" t="s">
        <v>2026</v>
      </c>
      <c r="AB76" s="360" t="s">
        <v>1935</v>
      </c>
      <c r="AC76" s="203" t="s">
        <v>258</v>
      </c>
      <c r="AD76" s="360" t="s">
        <v>1935</v>
      </c>
      <c r="AE76" s="203" t="s">
        <v>306</v>
      </c>
      <c r="AF76" s="360" t="s">
        <v>1935</v>
      </c>
      <c r="AG76" s="203" t="s">
        <v>2025</v>
      </c>
      <c r="AH76" s="360" t="s">
        <v>1935</v>
      </c>
      <c r="AI76" s="283" t="s">
        <v>307</v>
      </c>
      <c r="AJ76" s="360" t="s">
        <v>1935</v>
      </c>
      <c r="AK76" s="339" t="s">
        <v>269</v>
      </c>
      <c r="AL76" s="360" t="s">
        <v>1935</v>
      </c>
      <c r="AM76" s="339" t="s">
        <v>384</v>
      </c>
      <c r="AN76" s="360" t="s">
        <v>1935</v>
      </c>
      <c r="AO76" s="339" t="s">
        <v>11</v>
      </c>
      <c r="AP76" s="360" t="s">
        <v>1935</v>
      </c>
      <c r="AQ76" s="339" t="s">
        <v>349</v>
      </c>
      <c r="AR76" s="360" t="s">
        <v>1996</v>
      </c>
      <c r="AS76" s="160" t="s">
        <v>1959</v>
      </c>
      <c r="AT76" s="360" t="s">
        <v>1936</v>
      </c>
      <c r="AU76" s="329" t="str">
        <f t="shared" si="41"/>
        <v>DEV20230305GLESBOULES-6</v>
      </c>
      <c r="AV76" s="360" t="s">
        <v>1938</v>
      </c>
      <c r="AW76" s="160">
        <f t="shared" si="42"/>
        <v>30</v>
      </c>
      <c r="AX76" s="360" t="s">
        <v>1936</v>
      </c>
      <c r="AY76" s="160" t="str">
        <f t="shared" si="43"/>
        <v>DESIGN SWEETY ROOM - GLESBOULES</v>
      </c>
      <c r="AZ76" s="360" t="s">
        <v>1937</v>
      </c>
      <c r="BA76" s="329" t="str">
        <f t="shared" si="44"/>
        <v>2023/3/12</v>
      </c>
      <c r="BB76" s="360" t="s">
        <v>1937</v>
      </c>
      <c r="BC76" s="160" t="str">
        <f t="shared" si="45"/>
        <v>Forfait</v>
      </c>
      <c r="BD76" s="360" t="s">
        <v>1938</v>
      </c>
      <c r="BE76" s="160">
        <f t="shared" si="46"/>
        <v>6000</v>
      </c>
      <c r="BF76" s="360" t="s">
        <v>2020</v>
      </c>
      <c r="BG76" s="160">
        <f t="shared" si="49"/>
        <v>9</v>
      </c>
      <c r="BH76" s="360" t="s">
        <v>2020</v>
      </c>
      <c r="BI76" s="160">
        <f t="shared" si="50"/>
        <v>6</v>
      </c>
      <c r="BJ76" s="360" t="s">
        <v>2020</v>
      </c>
      <c r="BK76" s="160">
        <f t="shared" si="47"/>
        <v>1</v>
      </c>
      <c r="BL76" s="360" t="s">
        <v>2020</v>
      </c>
      <c r="BM76" s="160">
        <f t="shared" si="51"/>
        <v>14</v>
      </c>
      <c r="BN76" s="160" t="s">
        <v>2021</v>
      </c>
      <c r="BO76" s="160" t="str">
        <f t="shared" si="52"/>
        <v>INSERT INTO DEVIS(`idDevis`,`numDev`,`nbJourValidity`,`nameDev`,`dateValidationDev`,`type`,`totalHTDev`,`idPersonne`,`idPersonneClient`,`idTVA`,`idDeGeneration`) VALUES (NULL,"DEV20230305GLESBOULES-6",30,"DESIGN SWEETY ROOM - GLESBOULES","2023/3/12","Forfait",6000,9,6,1,14);</v>
      </c>
      <c r="BP76" s="160" t="s">
        <v>2062</v>
      </c>
      <c r="BR76" s="160" t="s">
        <v>2032</v>
      </c>
      <c r="BY76" s="329">
        <f t="shared" si="48"/>
        <v>44997</v>
      </c>
      <c r="BZ76" s="160">
        <f t="shared" si="53"/>
        <v>2023</v>
      </c>
      <c r="CA76" s="160">
        <f t="shared" si="54"/>
        <v>3</v>
      </c>
      <c r="CB76" s="160">
        <f t="shared" si="55"/>
        <v>12</v>
      </c>
      <c r="CC76" s="160" t="str">
        <f t="shared" si="56"/>
        <v>2023/3/12</v>
      </c>
    </row>
    <row r="77" spans="5:81" ht="15.85" customHeight="1" thickBot="1" x14ac:dyDescent="0.35">
      <c r="F77" s="160">
        <v>7</v>
      </c>
      <c r="G77" s="329" t="str">
        <f t="shared" si="39"/>
        <v>DEV20230405AUPIRATE-7</v>
      </c>
      <c r="H77" s="160">
        <v>30</v>
      </c>
      <c r="I77" s="160" t="str">
        <f>UPPER("DESIGN BAR'S PIRATE - "&amp;J32)</f>
        <v>DESIGN BAR'S PIRATE - AUPIRATE</v>
      </c>
      <c r="J77" s="329">
        <v>45031</v>
      </c>
      <c r="K77" s="160" t="s">
        <v>1808</v>
      </c>
      <c r="L77" s="160">
        <f>SUM(I94:I96)</f>
        <v>7100</v>
      </c>
      <c r="M77" s="160">
        <v>10</v>
      </c>
      <c r="N77" s="160">
        <v>7</v>
      </c>
      <c r="O77" s="160">
        <v>1</v>
      </c>
      <c r="P77" s="160">
        <v>18</v>
      </c>
      <c r="S77" s="353" t="str">
        <f t="shared" si="40"/>
        <v>INSERT INTO DEVIS(idDevis, numDev, nbJourValidite, nameDev, dateValidationDev, type (typeDev), totalHTDev, idDeGeneration, idPersonne, idPersonneClient, idTVA) VALUES (7, DEV20230405AUPIRATE-7, 30, DESIGN BAR'S PIRATE - AUPIRATE, 45031, Forfait, 7100, 18, 10, 7, 1);</v>
      </c>
      <c r="T77" s="160" t="s">
        <v>1922</v>
      </c>
      <c r="U77" s="160" t="s">
        <v>376</v>
      </c>
      <c r="V77" s="160" t="s">
        <v>1934</v>
      </c>
      <c r="W77" s="275" t="s">
        <v>128</v>
      </c>
      <c r="X77" s="360" t="s">
        <v>1935</v>
      </c>
      <c r="Y77" s="203" t="s">
        <v>215</v>
      </c>
      <c r="Z77" s="360" t="s">
        <v>1935</v>
      </c>
      <c r="AA77" s="203" t="s">
        <v>2026</v>
      </c>
      <c r="AB77" s="360" t="s">
        <v>1935</v>
      </c>
      <c r="AC77" s="203" t="s">
        <v>258</v>
      </c>
      <c r="AD77" s="360" t="s">
        <v>1935</v>
      </c>
      <c r="AE77" s="203" t="s">
        <v>306</v>
      </c>
      <c r="AF77" s="360" t="s">
        <v>1935</v>
      </c>
      <c r="AG77" s="203" t="s">
        <v>2025</v>
      </c>
      <c r="AH77" s="360" t="s">
        <v>1935</v>
      </c>
      <c r="AI77" s="283" t="s">
        <v>307</v>
      </c>
      <c r="AJ77" s="360" t="s">
        <v>1935</v>
      </c>
      <c r="AK77" s="339" t="s">
        <v>269</v>
      </c>
      <c r="AL77" s="360" t="s">
        <v>1935</v>
      </c>
      <c r="AM77" s="339" t="s">
        <v>384</v>
      </c>
      <c r="AN77" s="360" t="s">
        <v>1935</v>
      </c>
      <c r="AO77" s="339" t="s">
        <v>11</v>
      </c>
      <c r="AP77" s="360" t="s">
        <v>1935</v>
      </c>
      <c r="AQ77" s="339" t="s">
        <v>349</v>
      </c>
      <c r="AR77" s="360" t="s">
        <v>1996</v>
      </c>
      <c r="AS77" s="160" t="s">
        <v>1959</v>
      </c>
      <c r="AT77" s="360" t="s">
        <v>1936</v>
      </c>
      <c r="AU77" s="329" t="str">
        <f t="shared" si="41"/>
        <v>DEV20230405AUPIRATE-7</v>
      </c>
      <c r="AV77" s="360" t="s">
        <v>1938</v>
      </c>
      <c r="AW77" s="160">
        <f t="shared" si="42"/>
        <v>30</v>
      </c>
      <c r="AX77" s="360" t="s">
        <v>1936</v>
      </c>
      <c r="AY77" s="160" t="str">
        <f t="shared" si="43"/>
        <v>DESIGN BAR'S PIRATE - AUPIRATE</v>
      </c>
      <c r="AZ77" s="360" t="s">
        <v>1937</v>
      </c>
      <c r="BA77" s="329" t="str">
        <f t="shared" si="44"/>
        <v>2023/4/15</v>
      </c>
      <c r="BB77" s="360" t="s">
        <v>1937</v>
      </c>
      <c r="BC77" s="160" t="str">
        <f t="shared" si="45"/>
        <v>Forfait</v>
      </c>
      <c r="BD77" s="360" t="s">
        <v>1938</v>
      </c>
      <c r="BE77" s="160">
        <f t="shared" si="46"/>
        <v>7100</v>
      </c>
      <c r="BF77" s="360" t="s">
        <v>2020</v>
      </c>
      <c r="BG77" s="160">
        <f t="shared" si="49"/>
        <v>10</v>
      </c>
      <c r="BH77" s="360" t="s">
        <v>2020</v>
      </c>
      <c r="BI77" s="160">
        <f t="shared" si="50"/>
        <v>7</v>
      </c>
      <c r="BJ77" s="360" t="s">
        <v>2020</v>
      </c>
      <c r="BK77" s="160">
        <f t="shared" si="47"/>
        <v>1</v>
      </c>
      <c r="BL77" s="360" t="s">
        <v>2020</v>
      </c>
      <c r="BM77" s="160">
        <f t="shared" si="51"/>
        <v>18</v>
      </c>
      <c r="BN77" s="160" t="s">
        <v>2021</v>
      </c>
      <c r="BO77" s="160" t="str">
        <f t="shared" si="52"/>
        <v>INSERT INTO DEVIS(`idDevis`,`numDev`,`nbJourValidity`,`nameDev`,`dateValidationDev`,`type`,`totalHTDev`,`idPersonne`,`idPersonneClient`,`idTVA`,`idDeGeneration`) VALUES (NULL,"DEV20230405AUPIRATE-7",30,"DESIGN BAR'S PIRATE - AUPIRATE","2023/4/15","Forfait",7100,10,7,1,18);</v>
      </c>
      <c r="BP77" s="160" t="s">
        <v>2063</v>
      </c>
      <c r="BR77" s="160" t="s">
        <v>2033</v>
      </c>
      <c r="BY77" s="329">
        <f t="shared" si="48"/>
        <v>45031</v>
      </c>
      <c r="BZ77" s="160">
        <f t="shared" si="53"/>
        <v>2023</v>
      </c>
      <c r="CA77" s="160">
        <f t="shared" si="54"/>
        <v>4</v>
      </c>
      <c r="CB77" s="160">
        <f t="shared" si="55"/>
        <v>15</v>
      </c>
      <c r="CC77" s="160" t="str">
        <f t="shared" si="56"/>
        <v>2023/4/15</v>
      </c>
    </row>
    <row r="78" spans="5:81" ht="20.05" customHeight="1" thickBot="1" x14ac:dyDescent="0.35">
      <c r="F78" s="160">
        <v>8</v>
      </c>
      <c r="G78" s="344" t="str">
        <f t="shared" si="39"/>
        <v>DEV20230515BOISDELUX-8</v>
      </c>
      <c r="H78" s="160">
        <v>30</v>
      </c>
      <c r="I78" s="160" t="str">
        <f>UPPER("DESIGN PART OF ADMINISTRATIVE SPACE - "&amp;J27)</f>
        <v>DESIGN PART OF ADMINISTRATIVE SPACE - BOISDELUX</v>
      </c>
      <c r="J78" s="344">
        <v>45071</v>
      </c>
      <c r="K78" s="160" t="s">
        <v>1808</v>
      </c>
      <c r="L78" s="160">
        <f>SUM(I97:I99)</f>
        <v>7500</v>
      </c>
      <c r="M78" s="160">
        <v>4</v>
      </c>
      <c r="N78" s="160">
        <v>2</v>
      </c>
      <c r="O78" s="160">
        <v>1</v>
      </c>
      <c r="P78" s="160">
        <v>21</v>
      </c>
      <c r="S78" s="353" t="str">
        <f t="shared" si="40"/>
        <v>INSERT INTO DEVIS(idDevis, numDev, nbJourValidite, nameDev, dateValidationDev, type (typeDev), totalHTDev, idDeGeneration, idPersonne, idPersonneClient, idTVA) VALUES (8, DEV20230515BOISDELUX-8, 30, DESIGN PART OF ADMINISTRATIVE SPACE - BOISDELUX, 45071, Forfait, 7500, 21, 4, 2, 1);</v>
      </c>
      <c r="T78" s="160" t="s">
        <v>1922</v>
      </c>
      <c r="U78" s="160" t="s">
        <v>376</v>
      </c>
      <c r="V78" s="160" t="s">
        <v>1934</v>
      </c>
      <c r="W78" s="275" t="s">
        <v>128</v>
      </c>
      <c r="X78" s="360" t="s">
        <v>1935</v>
      </c>
      <c r="Y78" s="203" t="s">
        <v>215</v>
      </c>
      <c r="Z78" s="360" t="s">
        <v>1935</v>
      </c>
      <c r="AA78" s="203" t="s">
        <v>2026</v>
      </c>
      <c r="AB78" s="360" t="s">
        <v>1935</v>
      </c>
      <c r="AC78" s="203" t="s">
        <v>258</v>
      </c>
      <c r="AD78" s="360" t="s">
        <v>1935</v>
      </c>
      <c r="AE78" s="203" t="s">
        <v>306</v>
      </c>
      <c r="AF78" s="360" t="s">
        <v>1935</v>
      </c>
      <c r="AG78" s="203" t="s">
        <v>2025</v>
      </c>
      <c r="AH78" s="360" t="s">
        <v>1935</v>
      </c>
      <c r="AI78" s="283" t="s">
        <v>307</v>
      </c>
      <c r="AJ78" s="360" t="s">
        <v>1935</v>
      </c>
      <c r="AK78" s="339" t="s">
        <v>269</v>
      </c>
      <c r="AL78" s="360" t="s">
        <v>1935</v>
      </c>
      <c r="AM78" s="339" t="s">
        <v>384</v>
      </c>
      <c r="AN78" s="360" t="s">
        <v>1935</v>
      </c>
      <c r="AO78" s="339" t="s">
        <v>11</v>
      </c>
      <c r="AP78" s="360" t="s">
        <v>1935</v>
      </c>
      <c r="AQ78" s="339" t="s">
        <v>349</v>
      </c>
      <c r="AR78" s="360" t="s">
        <v>1996</v>
      </c>
      <c r="AS78" s="160" t="s">
        <v>1959</v>
      </c>
      <c r="AT78" s="360" t="s">
        <v>1936</v>
      </c>
      <c r="AU78" s="329" t="str">
        <f t="shared" si="41"/>
        <v>DEV20230515BOISDELUX-8</v>
      </c>
      <c r="AV78" s="360" t="s">
        <v>1938</v>
      </c>
      <c r="AW78" s="160">
        <f t="shared" si="42"/>
        <v>30</v>
      </c>
      <c r="AX78" s="360" t="s">
        <v>1936</v>
      </c>
      <c r="AY78" s="160" t="str">
        <f t="shared" si="43"/>
        <v>DESIGN PART OF ADMINISTRATIVE SPACE - BOISDELUX</v>
      </c>
      <c r="AZ78" s="360" t="s">
        <v>1937</v>
      </c>
      <c r="BA78" s="329" t="str">
        <f t="shared" si="44"/>
        <v>2023/5/25</v>
      </c>
      <c r="BB78" s="360" t="s">
        <v>1937</v>
      </c>
      <c r="BC78" s="160" t="str">
        <f t="shared" si="45"/>
        <v>Forfait</v>
      </c>
      <c r="BD78" s="360" t="s">
        <v>1938</v>
      </c>
      <c r="BE78" s="160">
        <f t="shared" si="46"/>
        <v>7500</v>
      </c>
      <c r="BF78" s="360" t="s">
        <v>2020</v>
      </c>
      <c r="BG78" s="160">
        <f t="shared" si="49"/>
        <v>4</v>
      </c>
      <c r="BH78" s="360" t="s">
        <v>2020</v>
      </c>
      <c r="BI78" s="160">
        <f t="shared" si="50"/>
        <v>2</v>
      </c>
      <c r="BJ78" s="360" t="s">
        <v>2020</v>
      </c>
      <c r="BK78" s="160">
        <f t="shared" si="47"/>
        <v>1</v>
      </c>
      <c r="BL78" s="360" t="s">
        <v>2020</v>
      </c>
      <c r="BM78" s="160">
        <f t="shared" si="51"/>
        <v>21</v>
      </c>
      <c r="BN78" s="160" t="s">
        <v>2021</v>
      </c>
      <c r="BO78" s="160" t="str">
        <f t="shared" si="52"/>
        <v>INSERT INTO DEVIS(`idDevis`,`numDev`,`nbJourValidity`,`nameDev`,`dateValidationDev`,`type`,`totalHTDev`,`idPersonne`,`idPersonneClient`,`idTVA`,`idDeGeneration`) VALUES (NULL,"DEV20230515BOISDELUX-8",30,"DESIGN PART OF ADMINISTRATIVE SPACE - BOISDELUX","2023/5/25","Forfait",7500,4,2,1,21);</v>
      </c>
      <c r="BP78" s="160" t="s">
        <v>2064</v>
      </c>
      <c r="BR78" s="160" t="s">
        <v>2034</v>
      </c>
      <c r="BY78" s="329">
        <f t="shared" si="48"/>
        <v>45071</v>
      </c>
      <c r="BZ78" s="160">
        <f t="shared" si="53"/>
        <v>2023</v>
      </c>
      <c r="CA78" s="160">
        <f t="shared" si="54"/>
        <v>5</v>
      </c>
      <c r="CB78" s="160">
        <f t="shared" si="55"/>
        <v>25</v>
      </c>
      <c r="CC78" s="160" t="str">
        <f t="shared" si="56"/>
        <v>2023/5/25</v>
      </c>
    </row>
    <row r="79" spans="5:81" ht="20.05" customHeight="1" thickBot="1" x14ac:dyDescent="0.35">
      <c r="F79" s="160">
        <v>9</v>
      </c>
      <c r="G79" s="344" t="str">
        <f t="shared" si="39"/>
        <v>DEV20230516MEDICCENTER-9</v>
      </c>
      <c r="H79" s="160">
        <v>30</v>
      </c>
      <c r="I79" s="160" t="str">
        <f>UPPER("DESIGN MEDIC AGENCY SPACE - "&amp;J33)</f>
        <v>DESIGN MEDIC AGENCY SPACE - MEDICCENTER</v>
      </c>
      <c r="J79" s="344">
        <v>45089</v>
      </c>
      <c r="K79" s="160" t="s">
        <v>1808</v>
      </c>
      <c r="L79" s="160">
        <f>SUM(I100:I102)</f>
        <v>14300</v>
      </c>
      <c r="M79" s="160">
        <v>12</v>
      </c>
      <c r="N79" s="160">
        <v>8</v>
      </c>
      <c r="O79" s="160">
        <v>1</v>
      </c>
      <c r="P79" s="160">
        <v>23</v>
      </c>
      <c r="S79" s="353" t="str">
        <f t="shared" si="40"/>
        <v>INSERT INTO DEVIS(idDevis, numDev, nbJourValidite, nameDev, dateValidationDev, type (typeDev), totalHTDev, idDeGeneration, idPersonne, idPersonneClient, idTVA) VALUES (9, DEV20230516MEDICCENTER-9, 30, DESIGN MEDIC AGENCY SPACE - MEDICCENTER, 45089, Forfait, 14300, 23, 12, 8, 1);</v>
      </c>
      <c r="T79" s="160" t="s">
        <v>1922</v>
      </c>
      <c r="U79" s="160" t="s">
        <v>376</v>
      </c>
      <c r="V79" s="160" t="s">
        <v>1934</v>
      </c>
      <c r="W79" s="275" t="s">
        <v>128</v>
      </c>
      <c r="X79" s="360" t="s">
        <v>1935</v>
      </c>
      <c r="Y79" s="203" t="s">
        <v>215</v>
      </c>
      <c r="Z79" s="360" t="s">
        <v>1935</v>
      </c>
      <c r="AA79" s="203" t="s">
        <v>2026</v>
      </c>
      <c r="AB79" s="360" t="s">
        <v>1935</v>
      </c>
      <c r="AC79" s="203" t="s">
        <v>258</v>
      </c>
      <c r="AD79" s="360" t="s">
        <v>1935</v>
      </c>
      <c r="AE79" s="203" t="s">
        <v>306</v>
      </c>
      <c r="AF79" s="360" t="s">
        <v>1935</v>
      </c>
      <c r="AG79" s="203" t="s">
        <v>2025</v>
      </c>
      <c r="AH79" s="360" t="s">
        <v>1935</v>
      </c>
      <c r="AI79" s="283" t="s">
        <v>307</v>
      </c>
      <c r="AJ79" s="360" t="s">
        <v>1935</v>
      </c>
      <c r="AK79" s="339" t="s">
        <v>269</v>
      </c>
      <c r="AL79" s="360" t="s">
        <v>1935</v>
      </c>
      <c r="AM79" s="339" t="s">
        <v>384</v>
      </c>
      <c r="AN79" s="360" t="s">
        <v>1935</v>
      </c>
      <c r="AO79" s="339" t="s">
        <v>11</v>
      </c>
      <c r="AP79" s="360" t="s">
        <v>1935</v>
      </c>
      <c r="AQ79" s="339" t="s">
        <v>349</v>
      </c>
      <c r="AR79" s="360" t="s">
        <v>1996</v>
      </c>
      <c r="AS79" s="160" t="s">
        <v>1959</v>
      </c>
      <c r="AT79" s="360" t="s">
        <v>1936</v>
      </c>
      <c r="AU79" s="329" t="str">
        <f t="shared" si="41"/>
        <v>DEV20230516MEDICCENTER-9</v>
      </c>
      <c r="AV79" s="360" t="s">
        <v>1938</v>
      </c>
      <c r="AW79" s="160">
        <f t="shared" si="42"/>
        <v>30</v>
      </c>
      <c r="AX79" s="360" t="s">
        <v>1936</v>
      </c>
      <c r="AY79" s="160" t="str">
        <f t="shared" si="43"/>
        <v>DESIGN MEDIC AGENCY SPACE - MEDICCENTER</v>
      </c>
      <c r="AZ79" s="360" t="s">
        <v>1937</v>
      </c>
      <c r="BA79" s="329" t="str">
        <f t="shared" si="44"/>
        <v>2023/6/12</v>
      </c>
      <c r="BB79" s="360" t="s">
        <v>1937</v>
      </c>
      <c r="BC79" s="160" t="str">
        <f t="shared" si="45"/>
        <v>Forfait</v>
      </c>
      <c r="BD79" s="360" t="s">
        <v>1938</v>
      </c>
      <c r="BE79" s="160">
        <f t="shared" si="46"/>
        <v>14300</v>
      </c>
      <c r="BF79" s="360" t="s">
        <v>2020</v>
      </c>
      <c r="BG79" s="160">
        <f t="shared" si="49"/>
        <v>12</v>
      </c>
      <c r="BH79" s="360" t="s">
        <v>2020</v>
      </c>
      <c r="BI79" s="160">
        <f t="shared" si="50"/>
        <v>8</v>
      </c>
      <c r="BJ79" s="360" t="s">
        <v>2020</v>
      </c>
      <c r="BK79" s="160">
        <f t="shared" si="47"/>
        <v>1</v>
      </c>
      <c r="BL79" s="360" t="s">
        <v>2020</v>
      </c>
      <c r="BM79" s="160">
        <f t="shared" si="51"/>
        <v>23</v>
      </c>
      <c r="BN79" s="160" t="s">
        <v>2021</v>
      </c>
      <c r="BO79" s="160" t="str">
        <f t="shared" si="52"/>
        <v>INSERT INTO DEVIS(`idDevis`,`numDev`,`nbJourValidity`,`nameDev`,`dateValidationDev`,`type`,`totalHTDev`,`idPersonne`,`idPersonneClient`,`idTVA`,`idDeGeneration`) VALUES (NULL,"DEV20230516MEDICCENTER-9",30,"DESIGN MEDIC AGENCY SPACE - MEDICCENTER","2023/6/12","Forfait",14300,12,8,1,23);</v>
      </c>
      <c r="BP79" s="160" t="s">
        <v>2065</v>
      </c>
      <c r="BR79" s="160" t="s">
        <v>2035</v>
      </c>
      <c r="BY79" s="329">
        <f t="shared" si="48"/>
        <v>45089</v>
      </c>
      <c r="BZ79" s="160">
        <f t="shared" si="53"/>
        <v>2023</v>
      </c>
      <c r="CA79" s="160">
        <f t="shared" ref="CA79" si="57">MONTH(BY79)</f>
        <v>6</v>
      </c>
      <c r="CB79" s="160">
        <f t="shared" ref="CB79" si="58">DAY(BY79)</f>
        <v>12</v>
      </c>
      <c r="CC79" s="160" t="str">
        <f t="shared" ref="CC79" si="59">BZ79&amp;"/"&amp;CA79&amp;"/"&amp;CB79</f>
        <v>2023/6/12</v>
      </c>
    </row>
    <row r="80" spans="5:81" ht="20.05" customHeight="1" x14ac:dyDescent="0.3">
      <c r="G80" s="329"/>
    </row>
    <row r="81" spans="5:44" ht="20.05" customHeight="1" x14ac:dyDescent="0.3">
      <c r="G81" s="329"/>
    </row>
    <row r="82" spans="5:44" ht="20.05" customHeight="1" x14ac:dyDescent="0.3">
      <c r="G82" s="329"/>
    </row>
    <row r="83" spans="5:44" ht="20.05" customHeight="1" thickBot="1" x14ac:dyDescent="0.35"/>
    <row r="84" spans="5:44" ht="20.05" customHeight="1" thickBot="1" x14ac:dyDescent="0.35">
      <c r="E84" s="160" t="s">
        <v>377</v>
      </c>
      <c r="F84" s="276" t="s">
        <v>310</v>
      </c>
      <c r="G84" s="246" t="s">
        <v>311</v>
      </c>
      <c r="H84" s="208" t="s">
        <v>315</v>
      </c>
      <c r="I84" s="210" t="s">
        <v>338</v>
      </c>
      <c r="J84" s="341" t="s">
        <v>128</v>
      </c>
      <c r="T84" s="160" t="s">
        <v>1922</v>
      </c>
      <c r="U84" s="160" t="s">
        <v>377</v>
      </c>
      <c r="V84" s="160" t="s">
        <v>1934</v>
      </c>
      <c r="W84" s="276" t="s">
        <v>310</v>
      </c>
      <c r="X84" s="360" t="s">
        <v>1935</v>
      </c>
      <c r="Y84" s="246" t="s">
        <v>311</v>
      </c>
      <c r="Z84" s="360" t="s">
        <v>1935</v>
      </c>
      <c r="AA84" s="208" t="s">
        <v>315</v>
      </c>
      <c r="AB84" s="360" t="s">
        <v>1935</v>
      </c>
      <c r="AC84" s="210" t="s">
        <v>338</v>
      </c>
      <c r="AD84" s="360" t="s">
        <v>1935</v>
      </c>
      <c r="AE84" s="341" t="s">
        <v>128</v>
      </c>
      <c r="AF84" s="360" t="s">
        <v>1996</v>
      </c>
      <c r="AG84" s="160">
        <f>F85</f>
        <v>1</v>
      </c>
      <c r="AH84" s="360" t="s">
        <v>2020</v>
      </c>
      <c r="AI84" s="160">
        <f>G85</f>
        <v>1</v>
      </c>
      <c r="AJ84" s="360" t="s">
        <v>1936</v>
      </c>
      <c r="AK84" s="160" t="str">
        <f>H85</f>
        <v>Echanges Rdv, prise de cotes, reportage photos</v>
      </c>
      <c r="AL84" s="360" t="s">
        <v>1938</v>
      </c>
      <c r="AM84" s="160">
        <f>I85</f>
        <v>300</v>
      </c>
      <c r="AN84" s="360" t="s">
        <v>2020</v>
      </c>
      <c r="AO84" s="160">
        <f>J85</f>
        <v>1</v>
      </c>
      <c r="AP84" s="160" t="s">
        <v>2021</v>
      </c>
      <c r="AQ84" s="160" t="str">
        <f>T84&amp;U84&amp;V84&amp;W84&amp;X84&amp;Y84&amp;Z84&amp;AA84&amp;AB84&amp;AC84&amp;AD84&amp;AE84&amp;AF84&amp;AG84&amp;AH84&amp;AI84&amp;AJ84&amp;AK84&amp;AL84&amp;AM84&amp;AN84&amp;AO84&amp;AP84</f>
        <v>INSERT INTO LIGDEVFORFAIT(`idLigDevForfait`,`numLigDevForfait`,`designationLigDevForfait`,`montantLigDevForfait`,`idDevis`) VALUES (1,1,"Echanges Rdv, prise de cotes, reportage photos",300,1);</v>
      </c>
      <c r="AR84" s="160" t="s">
        <v>2054</v>
      </c>
    </row>
    <row r="85" spans="5:44" ht="57" customHeight="1" thickBot="1" x14ac:dyDescent="0.35">
      <c r="F85" s="160">
        <v>1</v>
      </c>
      <c r="G85" s="160">
        <f>F85</f>
        <v>1</v>
      </c>
      <c r="H85" s="304" t="s">
        <v>2051</v>
      </c>
      <c r="I85" s="160">
        <v>300</v>
      </c>
      <c r="J85" s="160">
        <v>1</v>
      </c>
      <c r="S85" s="353"/>
      <c r="T85" s="160" t="s">
        <v>1922</v>
      </c>
      <c r="U85" s="160" t="s">
        <v>377</v>
      </c>
      <c r="V85" s="160" t="s">
        <v>1934</v>
      </c>
      <c r="W85" s="276" t="s">
        <v>310</v>
      </c>
      <c r="X85" s="360" t="s">
        <v>1935</v>
      </c>
      <c r="Y85" s="246" t="s">
        <v>311</v>
      </c>
      <c r="Z85" s="360" t="s">
        <v>1935</v>
      </c>
      <c r="AA85" s="208" t="s">
        <v>315</v>
      </c>
      <c r="AB85" s="360" t="s">
        <v>1935</v>
      </c>
      <c r="AC85" s="210" t="s">
        <v>338</v>
      </c>
      <c r="AD85" s="360" t="s">
        <v>1935</v>
      </c>
      <c r="AE85" s="341" t="s">
        <v>128</v>
      </c>
      <c r="AF85" s="360" t="s">
        <v>1996</v>
      </c>
      <c r="AG85" s="160">
        <f t="shared" ref="AG85:AG101" si="60">F86</f>
        <v>2</v>
      </c>
      <c r="AH85" s="360" t="s">
        <v>2020</v>
      </c>
      <c r="AI85" s="160">
        <f t="shared" ref="AI85:AI101" si="61">G86</f>
        <v>2</v>
      </c>
      <c r="AJ85" s="360" t="s">
        <v>1936</v>
      </c>
      <c r="AK85" s="160" t="str">
        <f t="shared" ref="AK85:AK101" si="62">H86</f>
        <v>Etude et propositions, Description de la partie a réaliser, Enumération des fournitures</v>
      </c>
      <c r="AL85" s="360" t="s">
        <v>1938</v>
      </c>
      <c r="AM85" s="160">
        <f t="shared" ref="AM85:AM101" si="63">I86</f>
        <v>2200</v>
      </c>
      <c r="AN85" s="360" t="s">
        <v>2020</v>
      </c>
      <c r="AO85" s="160">
        <f t="shared" ref="AO85:AO101" si="64">J86</f>
        <v>1</v>
      </c>
      <c r="AP85" s="160" t="s">
        <v>2021</v>
      </c>
      <c r="AQ85" s="160" t="str">
        <f t="shared" ref="AQ85:AQ101" si="65">T85&amp;U85&amp;V85&amp;W85&amp;X85&amp;Y85&amp;Z85&amp;AA85&amp;AB85&amp;AC85&amp;AD85&amp;AE85&amp;AF85&amp;AG85&amp;AH85&amp;AI85&amp;AJ85&amp;AK85&amp;AL85&amp;AM85&amp;AN85&amp;AO85&amp;AP85</f>
        <v>INSERT INTO LIGDEVFORFAIT(`idLigDevForfait`,`numLigDevForfait`,`designationLigDevForfait`,`montantLigDevForfait`,`idDevis`) VALUES (2,2,"Etude et propositions, Description de la partie a réaliser, Enumération des fournitures",2200,1);</v>
      </c>
      <c r="AR85" s="160" t="s">
        <v>2055</v>
      </c>
    </row>
    <row r="86" spans="5:44" ht="51.2" customHeight="1" thickBot="1" x14ac:dyDescent="0.35">
      <c r="F86" s="160">
        <f>+F85+1</f>
        <v>2</v>
      </c>
      <c r="G86" s="160">
        <f>F86</f>
        <v>2</v>
      </c>
      <c r="H86" s="304" t="s">
        <v>2052</v>
      </c>
      <c r="I86" s="160">
        <v>2200</v>
      </c>
      <c r="J86" s="160">
        <v>1</v>
      </c>
      <c r="S86" s="353"/>
      <c r="T86" s="160" t="s">
        <v>1922</v>
      </c>
      <c r="U86" s="160" t="s">
        <v>377</v>
      </c>
      <c r="V86" s="160" t="s">
        <v>1934</v>
      </c>
      <c r="W86" s="276" t="s">
        <v>310</v>
      </c>
      <c r="X86" s="360" t="s">
        <v>1935</v>
      </c>
      <c r="Y86" s="246" t="s">
        <v>311</v>
      </c>
      <c r="Z86" s="360" t="s">
        <v>1935</v>
      </c>
      <c r="AA86" s="208" t="s">
        <v>315</v>
      </c>
      <c r="AB86" s="360" t="s">
        <v>1935</v>
      </c>
      <c r="AC86" s="210" t="s">
        <v>338</v>
      </c>
      <c r="AD86" s="360" t="s">
        <v>1935</v>
      </c>
      <c r="AE86" s="341" t="s">
        <v>128</v>
      </c>
      <c r="AF86" s="360" t="s">
        <v>1996</v>
      </c>
      <c r="AG86" s="160">
        <f t="shared" si="60"/>
        <v>3</v>
      </c>
      <c r="AH86" s="360" t="s">
        <v>2020</v>
      </c>
      <c r="AI86" s="160">
        <f t="shared" si="61"/>
        <v>3</v>
      </c>
      <c r="AJ86" s="360" t="s">
        <v>1936</v>
      </c>
      <c r="AK86" s="160" t="str">
        <f t="shared" si="62"/>
        <v>Réalisation, Fabrication et pose des elements validés à la phase 2, indication éventuelle date de livraison</v>
      </c>
      <c r="AL86" s="360" t="s">
        <v>1938</v>
      </c>
      <c r="AM86" s="160">
        <f t="shared" si="63"/>
        <v>3500</v>
      </c>
      <c r="AN86" s="360" t="s">
        <v>2020</v>
      </c>
      <c r="AO86" s="160">
        <f t="shared" si="64"/>
        <v>1</v>
      </c>
      <c r="AP86" s="160" t="s">
        <v>2021</v>
      </c>
      <c r="AQ86" s="160" t="str">
        <f t="shared" si="65"/>
        <v>INSERT INTO LIGDEVFORFAIT(`idLigDevForfait`,`numLigDevForfait`,`designationLigDevForfait`,`montantLigDevForfait`,`idDevis`) VALUES (3,3,"Réalisation, Fabrication et pose des elements validés à la phase 2, indication éventuelle date de livraison",3500,1);</v>
      </c>
      <c r="AR86" s="160" t="s">
        <v>2056</v>
      </c>
    </row>
    <row r="87" spans="5:44" ht="52.45" customHeight="1" thickBot="1" x14ac:dyDescent="0.35">
      <c r="F87" s="160">
        <f t="shared" ref="F87:F96" si="66">+F86+1</f>
        <v>3</v>
      </c>
      <c r="G87" s="160">
        <f>F87</f>
        <v>3</v>
      </c>
      <c r="H87" s="304" t="s">
        <v>2053</v>
      </c>
      <c r="I87" s="160">
        <v>3500</v>
      </c>
      <c r="J87" s="160">
        <v>1</v>
      </c>
      <c r="S87" s="353"/>
      <c r="T87" s="160" t="s">
        <v>1922</v>
      </c>
      <c r="U87" s="160" t="s">
        <v>377</v>
      </c>
      <c r="V87" s="160" t="s">
        <v>1934</v>
      </c>
      <c r="W87" s="276" t="s">
        <v>310</v>
      </c>
      <c r="X87" s="360" t="s">
        <v>1935</v>
      </c>
      <c r="Y87" s="246" t="s">
        <v>311</v>
      </c>
      <c r="Z87" s="360" t="s">
        <v>1935</v>
      </c>
      <c r="AA87" s="208" t="s">
        <v>315</v>
      </c>
      <c r="AB87" s="360" t="s">
        <v>1935</v>
      </c>
      <c r="AC87" s="210" t="s">
        <v>338</v>
      </c>
      <c r="AD87" s="360" t="s">
        <v>1935</v>
      </c>
      <c r="AE87" s="341" t="s">
        <v>128</v>
      </c>
      <c r="AF87" s="360" t="s">
        <v>1996</v>
      </c>
      <c r="AG87" s="160">
        <f t="shared" si="60"/>
        <v>4</v>
      </c>
      <c r="AH87" s="360" t="s">
        <v>2020</v>
      </c>
      <c r="AI87" s="160">
        <f t="shared" si="61"/>
        <v>1</v>
      </c>
      <c r="AJ87" s="360" t="s">
        <v>1936</v>
      </c>
      <c r="AK87" s="160" t="str">
        <f t="shared" si="62"/>
        <v>Ligne prise des exigences test Forfait 1</v>
      </c>
      <c r="AL87" s="360" t="s">
        <v>1938</v>
      </c>
      <c r="AM87" s="160">
        <f t="shared" si="63"/>
        <v>400</v>
      </c>
      <c r="AN87" s="360" t="s">
        <v>2020</v>
      </c>
      <c r="AO87" s="160">
        <f t="shared" si="64"/>
        <v>5</v>
      </c>
      <c r="AP87" s="160" t="s">
        <v>2021</v>
      </c>
      <c r="AQ87" s="160" t="str">
        <f t="shared" si="65"/>
        <v>INSERT INTO LIGDEVFORFAIT(`idLigDevForfait`,`numLigDevForfait`,`designationLigDevForfait`,`montantLigDevForfait`,`idDevis`) VALUES (4,1,"Ligne prise des exigences test Forfait 1",400,5);</v>
      </c>
      <c r="AR87" s="160" t="s">
        <v>2036</v>
      </c>
    </row>
    <row r="88" spans="5:44" ht="52.45" customHeight="1" thickBot="1" x14ac:dyDescent="0.35">
      <c r="F88" s="160">
        <f t="shared" si="66"/>
        <v>4</v>
      </c>
      <c r="G88" s="160">
        <v>1</v>
      </c>
      <c r="H88" s="304" t="s">
        <v>1817</v>
      </c>
      <c r="I88" s="160">
        <v>400</v>
      </c>
      <c r="J88" s="160">
        <v>5</v>
      </c>
      <c r="S88" s="353"/>
      <c r="T88" s="160" t="s">
        <v>1922</v>
      </c>
      <c r="U88" s="160" t="s">
        <v>377</v>
      </c>
      <c r="V88" s="160" t="s">
        <v>1934</v>
      </c>
      <c r="W88" s="276" t="s">
        <v>310</v>
      </c>
      <c r="X88" s="360" t="s">
        <v>1935</v>
      </c>
      <c r="Y88" s="246" t="s">
        <v>311</v>
      </c>
      <c r="Z88" s="360" t="s">
        <v>1935</v>
      </c>
      <c r="AA88" s="208" t="s">
        <v>315</v>
      </c>
      <c r="AB88" s="360" t="s">
        <v>1935</v>
      </c>
      <c r="AC88" s="210" t="s">
        <v>338</v>
      </c>
      <c r="AD88" s="360" t="s">
        <v>1935</v>
      </c>
      <c r="AE88" s="341" t="s">
        <v>128</v>
      </c>
      <c r="AF88" s="360" t="s">
        <v>1996</v>
      </c>
      <c r="AG88" s="160">
        <f t="shared" si="60"/>
        <v>5</v>
      </c>
      <c r="AH88" s="360" t="s">
        <v>2020</v>
      </c>
      <c r="AI88" s="160">
        <f t="shared" si="61"/>
        <v>2</v>
      </c>
      <c r="AJ88" s="360" t="s">
        <v>1936</v>
      </c>
      <c r="AK88" s="160" t="str">
        <f t="shared" si="62"/>
        <v>Ligne de la conception test Forfait1</v>
      </c>
      <c r="AL88" s="360" t="s">
        <v>1938</v>
      </c>
      <c r="AM88" s="160">
        <f t="shared" si="63"/>
        <v>2300</v>
      </c>
      <c r="AN88" s="360" t="s">
        <v>2020</v>
      </c>
      <c r="AO88" s="160">
        <f t="shared" si="64"/>
        <v>5</v>
      </c>
      <c r="AP88" s="160" t="s">
        <v>2021</v>
      </c>
      <c r="AQ88" s="160" t="str">
        <f t="shared" si="65"/>
        <v>INSERT INTO LIGDEVFORFAIT(`idLigDevForfait`,`numLigDevForfait`,`designationLigDevForfait`,`montantLigDevForfait`,`idDevis`) VALUES (5,2,"Ligne de la conception test Forfait1",2300,5);</v>
      </c>
      <c r="AR88" s="160" t="s">
        <v>2037</v>
      </c>
    </row>
    <row r="89" spans="5:44" ht="52.45" customHeight="1" thickBot="1" x14ac:dyDescent="0.35">
      <c r="F89" s="160">
        <f t="shared" si="66"/>
        <v>5</v>
      </c>
      <c r="G89" s="160">
        <v>2</v>
      </c>
      <c r="H89" s="304" t="s">
        <v>1818</v>
      </c>
      <c r="I89" s="160">
        <v>2300</v>
      </c>
      <c r="J89" s="160">
        <v>5</v>
      </c>
      <c r="S89" s="353"/>
      <c r="T89" s="160" t="s">
        <v>1922</v>
      </c>
      <c r="U89" s="160" t="s">
        <v>377</v>
      </c>
      <c r="V89" s="160" t="s">
        <v>1934</v>
      </c>
      <c r="W89" s="276" t="s">
        <v>310</v>
      </c>
      <c r="X89" s="360" t="s">
        <v>1935</v>
      </c>
      <c r="Y89" s="246" t="s">
        <v>311</v>
      </c>
      <c r="Z89" s="360" t="s">
        <v>1935</v>
      </c>
      <c r="AA89" s="208" t="s">
        <v>315</v>
      </c>
      <c r="AB89" s="360" t="s">
        <v>1935</v>
      </c>
      <c r="AC89" s="210" t="s">
        <v>338</v>
      </c>
      <c r="AD89" s="360" t="s">
        <v>1935</v>
      </c>
      <c r="AE89" s="341" t="s">
        <v>128</v>
      </c>
      <c r="AF89" s="360" t="s">
        <v>1996</v>
      </c>
      <c r="AG89" s="160">
        <f t="shared" si="60"/>
        <v>6</v>
      </c>
      <c r="AH89" s="360" t="s">
        <v>2020</v>
      </c>
      <c r="AI89" s="160">
        <f t="shared" si="61"/>
        <v>3</v>
      </c>
      <c r="AJ89" s="360" t="s">
        <v>1936</v>
      </c>
      <c r="AK89" s="160" t="str">
        <f t="shared" si="62"/>
        <v>Ligne réalisation et indication date butoir projet test Forfait 1</v>
      </c>
      <c r="AL89" s="360" t="s">
        <v>1938</v>
      </c>
      <c r="AM89" s="160">
        <f t="shared" si="63"/>
        <v>3600</v>
      </c>
      <c r="AN89" s="360" t="s">
        <v>2020</v>
      </c>
      <c r="AO89" s="160">
        <f t="shared" si="64"/>
        <v>5</v>
      </c>
      <c r="AP89" s="160" t="s">
        <v>2021</v>
      </c>
      <c r="AQ89" s="160" t="str">
        <f t="shared" si="65"/>
        <v>INSERT INTO LIGDEVFORFAIT(`idLigDevForfait`,`numLigDevForfait`,`designationLigDevForfait`,`montantLigDevForfait`,`idDevis`) VALUES (6,3,"Ligne réalisation et indication date butoir projet test Forfait 1",3600,5);</v>
      </c>
      <c r="AR89" s="160" t="s">
        <v>2038</v>
      </c>
    </row>
    <row r="90" spans="5:44" ht="52.45" customHeight="1" thickBot="1" x14ac:dyDescent="0.35">
      <c r="F90" s="160">
        <f t="shared" si="66"/>
        <v>6</v>
      </c>
      <c r="G90" s="160">
        <v>3</v>
      </c>
      <c r="H90" s="304" t="s">
        <v>1819</v>
      </c>
      <c r="I90" s="160">
        <v>3600</v>
      </c>
      <c r="J90" s="160">
        <v>5</v>
      </c>
      <c r="S90" s="353"/>
      <c r="T90" s="160" t="s">
        <v>1922</v>
      </c>
      <c r="U90" s="160" t="s">
        <v>377</v>
      </c>
      <c r="V90" s="160" t="s">
        <v>1934</v>
      </c>
      <c r="W90" s="276" t="s">
        <v>310</v>
      </c>
      <c r="X90" s="360" t="s">
        <v>1935</v>
      </c>
      <c r="Y90" s="246" t="s">
        <v>311</v>
      </c>
      <c r="Z90" s="360" t="s">
        <v>1935</v>
      </c>
      <c r="AA90" s="208" t="s">
        <v>315</v>
      </c>
      <c r="AB90" s="360" t="s">
        <v>1935</v>
      </c>
      <c r="AC90" s="210" t="s">
        <v>338</v>
      </c>
      <c r="AD90" s="360" t="s">
        <v>1935</v>
      </c>
      <c r="AE90" s="341" t="s">
        <v>128</v>
      </c>
      <c r="AF90" s="360" t="s">
        <v>1996</v>
      </c>
      <c r="AG90" s="160">
        <f t="shared" si="60"/>
        <v>7</v>
      </c>
      <c r="AH90" s="360" t="s">
        <v>2020</v>
      </c>
      <c r="AI90" s="160">
        <f t="shared" si="61"/>
        <v>1</v>
      </c>
      <c r="AJ90" s="360" t="s">
        <v>1936</v>
      </c>
      <c r="AK90" s="160" t="str">
        <f t="shared" si="62"/>
        <v>Ligne prise des exigences test Forfait 2</v>
      </c>
      <c r="AL90" s="360" t="s">
        <v>1938</v>
      </c>
      <c r="AM90" s="160">
        <f t="shared" si="63"/>
        <v>500</v>
      </c>
      <c r="AN90" s="360" t="s">
        <v>2020</v>
      </c>
      <c r="AO90" s="160">
        <f t="shared" si="64"/>
        <v>6</v>
      </c>
      <c r="AP90" s="160" t="s">
        <v>2021</v>
      </c>
      <c r="AQ90" s="160" t="str">
        <f t="shared" si="65"/>
        <v>INSERT INTO LIGDEVFORFAIT(`idLigDevForfait`,`numLigDevForfait`,`designationLigDevForfait`,`montantLigDevForfait`,`idDevis`) VALUES (7,1,"Ligne prise des exigences test Forfait 2",500,6);</v>
      </c>
      <c r="AR90" s="160" t="s">
        <v>2039</v>
      </c>
    </row>
    <row r="91" spans="5:44" ht="52.45" customHeight="1" thickBot="1" x14ac:dyDescent="0.35">
      <c r="F91" s="160">
        <f t="shared" si="66"/>
        <v>7</v>
      </c>
      <c r="G91" s="160">
        <v>1</v>
      </c>
      <c r="H91" s="304" t="s">
        <v>1826</v>
      </c>
      <c r="I91" s="160">
        <v>500</v>
      </c>
      <c r="J91" s="160">
        <v>6</v>
      </c>
      <c r="S91" s="353"/>
      <c r="T91" s="160" t="s">
        <v>1922</v>
      </c>
      <c r="U91" s="160" t="s">
        <v>377</v>
      </c>
      <c r="V91" s="160" t="s">
        <v>1934</v>
      </c>
      <c r="W91" s="276" t="s">
        <v>310</v>
      </c>
      <c r="X91" s="360" t="s">
        <v>1935</v>
      </c>
      <c r="Y91" s="246" t="s">
        <v>311</v>
      </c>
      <c r="Z91" s="360" t="s">
        <v>1935</v>
      </c>
      <c r="AA91" s="208" t="s">
        <v>315</v>
      </c>
      <c r="AB91" s="360" t="s">
        <v>1935</v>
      </c>
      <c r="AC91" s="210" t="s">
        <v>338</v>
      </c>
      <c r="AD91" s="360" t="s">
        <v>1935</v>
      </c>
      <c r="AE91" s="341" t="s">
        <v>128</v>
      </c>
      <c r="AF91" s="360" t="s">
        <v>1996</v>
      </c>
      <c r="AG91" s="160">
        <f t="shared" si="60"/>
        <v>8</v>
      </c>
      <c r="AH91" s="360" t="s">
        <v>2020</v>
      </c>
      <c r="AI91" s="160">
        <f t="shared" si="61"/>
        <v>2</v>
      </c>
      <c r="AJ91" s="360" t="s">
        <v>1936</v>
      </c>
      <c r="AK91" s="160" t="str">
        <f t="shared" si="62"/>
        <v>Ligne de la conception test Forfait2</v>
      </c>
      <c r="AL91" s="360" t="s">
        <v>1938</v>
      </c>
      <c r="AM91" s="160">
        <f t="shared" si="63"/>
        <v>2500</v>
      </c>
      <c r="AN91" s="360" t="s">
        <v>2020</v>
      </c>
      <c r="AO91" s="160">
        <f t="shared" si="64"/>
        <v>6</v>
      </c>
      <c r="AP91" s="160" t="s">
        <v>2021</v>
      </c>
      <c r="AQ91" s="160" t="str">
        <f t="shared" si="65"/>
        <v>INSERT INTO LIGDEVFORFAIT(`idLigDevForfait`,`numLigDevForfait`,`designationLigDevForfait`,`montantLigDevForfait`,`idDevis`) VALUES (8,2,"Ligne de la conception test Forfait2",2500,6);</v>
      </c>
      <c r="AR91" s="160" t="s">
        <v>2040</v>
      </c>
    </row>
    <row r="92" spans="5:44" ht="52.45" customHeight="1" thickBot="1" x14ac:dyDescent="0.35">
      <c r="F92" s="160">
        <f t="shared" si="66"/>
        <v>8</v>
      </c>
      <c r="G92" s="160">
        <v>2</v>
      </c>
      <c r="H92" s="304" t="s">
        <v>1827</v>
      </c>
      <c r="I92" s="160">
        <v>2500</v>
      </c>
      <c r="J92" s="160">
        <v>6</v>
      </c>
      <c r="S92" s="353" t="str">
        <f t="shared" ref="S92:S101" si="67">"INSERT INTO "&amp;$E$84&amp;"("&amp;$F$84&amp;", "&amp;$G$84&amp;", "&amp;$H$84&amp;", "&amp;$I$84&amp;", "&amp;$J$84&amp;") VALUES ("&amp;F92&amp;", "&amp;G92&amp;", "&amp;H92&amp;", "&amp;I92&amp;", "&amp;J92&amp;");"</f>
        <v>INSERT INTO LIGDEVFORFAIT(idLigDevForfait, numLigDevForfait, designationLigDevForfait, montantLigDevForfait, idDevis) VALUES (8, 2, Ligne de la conception test Forfait2, 2500, 6);</v>
      </c>
      <c r="T92" s="160" t="s">
        <v>1922</v>
      </c>
      <c r="U92" s="160" t="s">
        <v>377</v>
      </c>
      <c r="V92" s="160" t="s">
        <v>1934</v>
      </c>
      <c r="W92" s="276" t="s">
        <v>310</v>
      </c>
      <c r="X92" s="360" t="s">
        <v>1935</v>
      </c>
      <c r="Y92" s="246" t="s">
        <v>311</v>
      </c>
      <c r="Z92" s="360" t="s">
        <v>1935</v>
      </c>
      <c r="AA92" s="208" t="s">
        <v>315</v>
      </c>
      <c r="AB92" s="360" t="s">
        <v>1935</v>
      </c>
      <c r="AC92" s="210" t="s">
        <v>338</v>
      </c>
      <c r="AD92" s="360" t="s">
        <v>1935</v>
      </c>
      <c r="AE92" s="341" t="s">
        <v>128</v>
      </c>
      <c r="AF92" s="360" t="s">
        <v>1996</v>
      </c>
      <c r="AG92" s="160">
        <f t="shared" si="60"/>
        <v>9</v>
      </c>
      <c r="AH92" s="360" t="s">
        <v>2020</v>
      </c>
      <c r="AI92" s="160">
        <f t="shared" si="61"/>
        <v>3</v>
      </c>
      <c r="AJ92" s="360" t="s">
        <v>1936</v>
      </c>
      <c r="AK92" s="160" t="str">
        <f t="shared" si="62"/>
        <v>Ligne réalisation et indication date butoir projet test Forfait 2</v>
      </c>
      <c r="AL92" s="360" t="s">
        <v>1938</v>
      </c>
      <c r="AM92" s="160">
        <f t="shared" si="63"/>
        <v>3000</v>
      </c>
      <c r="AN92" s="360" t="s">
        <v>2020</v>
      </c>
      <c r="AO92" s="160">
        <f t="shared" si="64"/>
        <v>6</v>
      </c>
      <c r="AP92" s="160" t="s">
        <v>2021</v>
      </c>
      <c r="AQ92" s="160" t="str">
        <f t="shared" si="65"/>
        <v>INSERT INTO LIGDEVFORFAIT(`idLigDevForfait`,`numLigDevForfait`,`designationLigDevForfait`,`montantLigDevForfait`,`idDevis`) VALUES (9,3,"Ligne réalisation et indication date butoir projet test Forfait 2",3000,6);</v>
      </c>
      <c r="AR92" s="160" t="s">
        <v>2041</v>
      </c>
    </row>
    <row r="93" spans="5:44" ht="52.45" customHeight="1" thickBot="1" x14ac:dyDescent="0.35">
      <c r="F93" s="160">
        <f t="shared" si="66"/>
        <v>9</v>
      </c>
      <c r="G93" s="160">
        <v>3</v>
      </c>
      <c r="H93" s="304" t="s">
        <v>1828</v>
      </c>
      <c r="I93" s="160">
        <v>3000</v>
      </c>
      <c r="J93" s="160">
        <v>6</v>
      </c>
      <c r="S93" s="353" t="str">
        <f t="shared" si="67"/>
        <v>INSERT INTO LIGDEVFORFAIT(idLigDevForfait, numLigDevForfait, designationLigDevForfait, montantLigDevForfait, idDevis) VALUES (9, 3, Ligne réalisation et indication date butoir projet test Forfait 2, 3000, 6);</v>
      </c>
      <c r="T93" s="160" t="s">
        <v>1922</v>
      </c>
      <c r="U93" s="160" t="s">
        <v>377</v>
      </c>
      <c r="V93" s="160" t="s">
        <v>1934</v>
      </c>
      <c r="W93" s="276" t="s">
        <v>310</v>
      </c>
      <c r="X93" s="360" t="s">
        <v>1935</v>
      </c>
      <c r="Y93" s="246" t="s">
        <v>311</v>
      </c>
      <c r="Z93" s="360" t="s">
        <v>1935</v>
      </c>
      <c r="AA93" s="208" t="s">
        <v>315</v>
      </c>
      <c r="AB93" s="360" t="s">
        <v>1935</v>
      </c>
      <c r="AC93" s="210" t="s">
        <v>338</v>
      </c>
      <c r="AD93" s="360" t="s">
        <v>1935</v>
      </c>
      <c r="AE93" s="341" t="s">
        <v>128</v>
      </c>
      <c r="AF93" s="360" t="s">
        <v>1996</v>
      </c>
      <c r="AG93" s="160">
        <f t="shared" si="60"/>
        <v>10</v>
      </c>
      <c r="AH93" s="360" t="s">
        <v>2020</v>
      </c>
      <c r="AI93" s="160">
        <f t="shared" si="61"/>
        <v>1</v>
      </c>
      <c r="AJ93" s="360" t="s">
        <v>1936</v>
      </c>
      <c r="AK93" s="160" t="str">
        <f t="shared" si="62"/>
        <v>Ligne prise des exigences test Forfait 3</v>
      </c>
      <c r="AL93" s="360" t="s">
        <v>1938</v>
      </c>
      <c r="AM93" s="160">
        <f t="shared" si="63"/>
        <v>300</v>
      </c>
      <c r="AN93" s="360" t="s">
        <v>2020</v>
      </c>
      <c r="AO93" s="160">
        <f t="shared" si="64"/>
        <v>7</v>
      </c>
      <c r="AP93" s="160" t="s">
        <v>2021</v>
      </c>
      <c r="AQ93" s="160" t="str">
        <f t="shared" si="65"/>
        <v>INSERT INTO LIGDEVFORFAIT(`idLigDevForfait`,`numLigDevForfait`,`designationLigDevForfait`,`montantLigDevForfait`,`idDevis`) VALUES (10,1,"Ligne prise des exigences test Forfait 3",300,7);</v>
      </c>
      <c r="AR93" s="160" t="s">
        <v>2042</v>
      </c>
    </row>
    <row r="94" spans="5:44" ht="52.45" customHeight="1" thickBot="1" x14ac:dyDescent="0.35">
      <c r="F94" s="160">
        <f t="shared" si="66"/>
        <v>10</v>
      </c>
      <c r="G94" s="160">
        <v>1</v>
      </c>
      <c r="H94" s="304" t="s">
        <v>1829</v>
      </c>
      <c r="I94" s="160">
        <v>300</v>
      </c>
      <c r="J94" s="160">
        <v>7</v>
      </c>
      <c r="S94" s="353" t="str">
        <f t="shared" si="67"/>
        <v>INSERT INTO LIGDEVFORFAIT(idLigDevForfait, numLigDevForfait, designationLigDevForfait, montantLigDevForfait, idDevis) VALUES (10, 1, Ligne prise des exigences test Forfait 3, 300, 7);</v>
      </c>
      <c r="T94" s="160" t="s">
        <v>1922</v>
      </c>
      <c r="U94" s="160" t="s">
        <v>377</v>
      </c>
      <c r="V94" s="160" t="s">
        <v>1934</v>
      </c>
      <c r="W94" s="276" t="s">
        <v>310</v>
      </c>
      <c r="X94" s="360" t="s">
        <v>1935</v>
      </c>
      <c r="Y94" s="246" t="s">
        <v>311</v>
      </c>
      <c r="Z94" s="360" t="s">
        <v>1935</v>
      </c>
      <c r="AA94" s="208" t="s">
        <v>315</v>
      </c>
      <c r="AB94" s="360" t="s">
        <v>1935</v>
      </c>
      <c r="AC94" s="210" t="s">
        <v>338</v>
      </c>
      <c r="AD94" s="360" t="s">
        <v>1935</v>
      </c>
      <c r="AE94" s="341" t="s">
        <v>128</v>
      </c>
      <c r="AF94" s="360" t="s">
        <v>1996</v>
      </c>
      <c r="AG94" s="160">
        <f t="shared" si="60"/>
        <v>11</v>
      </c>
      <c r="AH94" s="360" t="s">
        <v>2020</v>
      </c>
      <c r="AI94" s="160">
        <f t="shared" si="61"/>
        <v>2</v>
      </c>
      <c r="AJ94" s="360" t="s">
        <v>1936</v>
      </c>
      <c r="AK94" s="160" t="str">
        <f t="shared" si="62"/>
        <v>Ligne de la conception test Forfait3</v>
      </c>
      <c r="AL94" s="360" t="s">
        <v>1938</v>
      </c>
      <c r="AM94" s="160">
        <f t="shared" si="63"/>
        <v>2600</v>
      </c>
      <c r="AN94" s="360" t="s">
        <v>2020</v>
      </c>
      <c r="AO94" s="160">
        <f t="shared" si="64"/>
        <v>7</v>
      </c>
      <c r="AP94" s="160" t="s">
        <v>2021</v>
      </c>
      <c r="AQ94" s="160" t="str">
        <f t="shared" si="65"/>
        <v>INSERT INTO LIGDEVFORFAIT(`idLigDevForfait`,`numLigDevForfait`,`designationLigDevForfait`,`montantLigDevForfait`,`idDevis`) VALUES (11,2,"Ligne de la conception test Forfait3",2600,7);</v>
      </c>
      <c r="AR94" s="160" t="s">
        <v>2043</v>
      </c>
    </row>
    <row r="95" spans="5:44" ht="52.45" customHeight="1" thickBot="1" x14ac:dyDescent="0.35">
      <c r="F95" s="160">
        <f t="shared" si="66"/>
        <v>11</v>
      </c>
      <c r="G95" s="160">
        <v>2</v>
      </c>
      <c r="H95" s="304" t="s">
        <v>1830</v>
      </c>
      <c r="I95" s="160">
        <v>2600</v>
      </c>
      <c r="J95" s="160">
        <v>7</v>
      </c>
      <c r="S95" s="353" t="str">
        <f t="shared" si="67"/>
        <v>INSERT INTO LIGDEVFORFAIT(idLigDevForfait, numLigDevForfait, designationLigDevForfait, montantLigDevForfait, idDevis) VALUES (11, 2, Ligne de la conception test Forfait3, 2600, 7);</v>
      </c>
      <c r="T95" s="160" t="s">
        <v>1922</v>
      </c>
      <c r="U95" s="160" t="s">
        <v>377</v>
      </c>
      <c r="V95" s="160" t="s">
        <v>1934</v>
      </c>
      <c r="W95" s="276" t="s">
        <v>310</v>
      </c>
      <c r="X95" s="360" t="s">
        <v>1935</v>
      </c>
      <c r="Y95" s="246" t="s">
        <v>311</v>
      </c>
      <c r="Z95" s="360" t="s">
        <v>1935</v>
      </c>
      <c r="AA95" s="208" t="s">
        <v>315</v>
      </c>
      <c r="AB95" s="360" t="s">
        <v>1935</v>
      </c>
      <c r="AC95" s="210" t="s">
        <v>338</v>
      </c>
      <c r="AD95" s="360" t="s">
        <v>1935</v>
      </c>
      <c r="AE95" s="341" t="s">
        <v>128</v>
      </c>
      <c r="AF95" s="360" t="s">
        <v>1996</v>
      </c>
      <c r="AG95" s="160">
        <f t="shared" si="60"/>
        <v>12</v>
      </c>
      <c r="AH95" s="360" t="s">
        <v>2020</v>
      </c>
      <c r="AI95" s="160">
        <f t="shared" si="61"/>
        <v>3</v>
      </c>
      <c r="AJ95" s="360" t="s">
        <v>1936</v>
      </c>
      <c r="AK95" s="160" t="str">
        <f t="shared" si="62"/>
        <v>Ligne réalisation et indication date butoir projet test Forfait 3</v>
      </c>
      <c r="AL95" s="360" t="s">
        <v>1938</v>
      </c>
      <c r="AM95" s="160">
        <f t="shared" si="63"/>
        <v>4200</v>
      </c>
      <c r="AN95" s="360" t="s">
        <v>2020</v>
      </c>
      <c r="AO95" s="160">
        <f t="shared" si="64"/>
        <v>7</v>
      </c>
      <c r="AP95" s="160" t="s">
        <v>2021</v>
      </c>
      <c r="AQ95" s="160" t="str">
        <f t="shared" si="65"/>
        <v>INSERT INTO LIGDEVFORFAIT(`idLigDevForfait`,`numLigDevForfait`,`designationLigDevForfait`,`montantLigDevForfait`,`idDevis`) VALUES (12,3,"Ligne réalisation et indication date butoir projet test Forfait 3",4200,7);</v>
      </c>
      <c r="AR95" s="160" t="s">
        <v>2044</v>
      </c>
    </row>
    <row r="96" spans="5:44" ht="52.45" customHeight="1" thickBot="1" x14ac:dyDescent="0.35">
      <c r="F96" s="160">
        <f t="shared" si="66"/>
        <v>12</v>
      </c>
      <c r="G96" s="160">
        <v>3</v>
      </c>
      <c r="H96" s="304" t="s">
        <v>1831</v>
      </c>
      <c r="I96" s="160">
        <v>4200</v>
      </c>
      <c r="J96" s="160">
        <v>7</v>
      </c>
      <c r="S96" s="353" t="str">
        <f t="shared" si="67"/>
        <v>INSERT INTO LIGDEVFORFAIT(idLigDevForfait, numLigDevForfait, designationLigDevForfait, montantLigDevForfait, idDevis) VALUES (12, 3, Ligne réalisation et indication date butoir projet test Forfait 3, 4200, 7);</v>
      </c>
      <c r="T96" s="160" t="s">
        <v>1922</v>
      </c>
      <c r="U96" s="160" t="s">
        <v>377</v>
      </c>
      <c r="V96" s="160" t="s">
        <v>1934</v>
      </c>
      <c r="W96" s="276" t="s">
        <v>310</v>
      </c>
      <c r="X96" s="360" t="s">
        <v>1935</v>
      </c>
      <c r="Y96" s="246" t="s">
        <v>311</v>
      </c>
      <c r="Z96" s="360" t="s">
        <v>1935</v>
      </c>
      <c r="AA96" s="208" t="s">
        <v>315</v>
      </c>
      <c r="AB96" s="360" t="s">
        <v>1935</v>
      </c>
      <c r="AC96" s="210" t="s">
        <v>338</v>
      </c>
      <c r="AD96" s="360" t="s">
        <v>1935</v>
      </c>
      <c r="AE96" s="341" t="s">
        <v>128</v>
      </c>
      <c r="AF96" s="360" t="s">
        <v>1996</v>
      </c>
      <c r="AG96" s="160">
        <f t="shared" si="60"/>
        <v>13</v>
      </c>
      <c r="AH96" s="360" t="s">
        <v>2020</v>
      </c>
      <c r="AI96" s="160">
        <f t="shared" si="61"/>
        <v>1</v>
      </c>
      <c r="AJ96" s="360" t="s">
        <v>1936</v>
      </c>
      <c r="AK96" s="160" t="str">
        <f t="shared" si="62"/>
        <v>Ligne prise des exigences test Forfait 4</v>
      </c>
      <c r="AL96" s="360" t="s">
        <v>1938</v>
      </c>
      <c r="AM96" s="160">
        <f t="shared" si="63"/>
        <v>500</v>
      </c>
      <c r="AN96" s="360" t="s">
        <v>2020</v>
      </c>
      <c r="AO96" s="160">
        <f t="shared" si="64"/>
        <v>8</v>
      </c>
      <c r="AP96" s="160" t="s">
        <v>2021</v>
      </c>
      <c r="AQ96" s="160" t="str">
        <f t="shared" si="65"/>
        <v>INSERT INTO LIGDEVFORFAIT(`idLigDevForfait`,`numLigDevForfait`,`designationLigDevForfait`,`montantLigDevForfait`,`idDevis`) VALUES (13,1,"Ligne prise des exigences test Forfait 4",500,8);</v>
      </c>
      <c r="AR96" s="160" t="s">
        <v>2045</v>
      </c>
    </row>
    <row r="97" spans="5:48" ht="52.45" customHeight="1" thickBot="1" x14ac:dyDescent="0.35">
      <c r="F97" s="160">
        <f t="shared" ref="F97:F102" si="68">+F96+1</f>
        <v>13</v>
      </c>
      <c r="G97" s="160">
        <v>1</v>
      </c>
      <c r="H97" s="304" t="s">
        <v>1832</v>
      </c>
      <c r="I97" s="160">
        <v>500</v>
      </c>
      <c r="J97" s="160">
        <v>8</v>
      </c>
      <c r="S97" s="353" t="str">
        <f t="shared" si="67"/>
        <v>INSERT INTO LIGDEVFORFAIT(idLigDevForfait, numLigDevForfait, designationLigDevForfait, montantLigDevForfait, idDevis) VALUES (13, 1, Ligne prise des exigences test Forfait 4, 500, 8);</v>
      </c>
      <c r="T97" s="160" t="s">
        <v>1922</v>
      </c>
      <c r="U97" s="160" t="s">
        <v>377</v>
      </c>
      <c r="V97" s="160" t="s">
        <v>1934</v>
      </c>
      <c r="W97" s="276" t="s">
        <v>310</v>
      </c>
      <c r="X97" s="360" t="s">
        <v>1935</v>
      </c>
      <c r="Y97" s="246" t="s">
        <v>311</v>
      </c>
      <c r="Z97" s="360" t="s">
        <v>1935</v>
      </c>
      <c r="AA97" s="208" t="s">
        <v>315</v>
      </c>
      <c r="AB97" s="360" t="s">
        <v>1935</v>
      </c>
      <c r="AC97" s="210" t="s">
        <v>338</v>
      </c>
      <c r="AD97" s="360" t="s">
        <v>1935</v>
      </c>
      <c r="AE97" s="341" t="s">
        <v>128</v>
      </c>
      <c r="AF97" s="360" t="s">
        <v>1996</v>
      </c>
      <c r="AG97" s="160">
        <f t="shared" si="60"/>
        <v>14</v>
      </c>
      <c r="AH97" s="360" t="s">
        <v>2020</v>
      </c>
      <c r="AI97" s="160">
        <f t="shared" si="61"/>
        <v>2</v>
      </c>
      <c r="AJ97" s="360" t="s">
        <v>1936</v>
      </c>
      <c r="AK97" s="160" t="str">
        <f t="shared" si="62"/>
        <v>Ligne de la conception test Forfait4</v>
      </c>
      <c r="AL97" s="360" t="s">
        <v>1938</v>
      </c>
      <c r="AM97" s="160">
        <f t="shared" si="63"/>
        <v>3000</v>
      </c>
      <c r="AN97" s="360" t="s">
        <v>2020</v>
      </c>
      <c r="AO97" s="160">
        <f t="shared" si="64"/>
        <v>8</v>
      </c>
      <c r="AP97" s="160" t="s">
        <v>2021</v>
      </c>
      <c r="AQ97" s="160" t="str">
        <f t="shared" si="65"/>
        <v>INSERT INTO LIGDEVFORFAIT(`idLigDevForfait`,`numLigDevForfait`,`designationLigDevForfait`,`montantLigDevForfait`,`idDevis`) VALUES (14,2,"Ligne de la conception test Forfait4",3000,8);</v>
      </c>
      <c r="AR97" s="160" t="s">
        <v>2046</v>
      </c>
    </row>
    <row r="98" spans="5:48" ht="52.45" customHeight="1" thickBot="1" x14ac:dyDescent="0.35">
      <c r="F98" s="160">
        <f t="shared" si="68"/>
        <v>14</v>
      </c>
      <c r="G98" s="160">
        <v>2</v>
      </c>
      <c r="H98" s="304" t="s">
        <v>1833</v>
      </c>
      <c r="I98" s="160">
        <v>3000</v>
      </c>
      <c r="J98" s="160">
        <v>8</v>
      </c>
      <c r="S98" s="353" t="str">
        <f t="shared" si="67"/>
        <v>INSERT INTO LIGDEVFORFAIT(idLigDevForfait, numLigDevForfait, designationLigDevForfait, montantLigDevForfait, idDevis) VALUES (14, 2, Ligne de la conception test Forfait4, 3000, 8);</v>
      </c>
      <c r="T98" s="160" t="s">
        <v>1922</v>
      </c>
      <c r="U98" s="160" t="s">
        <v>377</v>
      </c>
      <c r="V98" s="160" t="s">
        <v>1934</v>
      </c>
      <c r="W98" s="276" t="s">
        <v>310</v>
      </c>
      <c r="X98" s="360" t="s">
        <v>1935</v>
      </c>
      <c r="Y98" s="246" t="s">
        <v>311</v>
      </c>
      <c r="Z98" s="360" t="s">
        <v>1935</v>
      </c>
      <c r="AA98" s="208" t="s">
        <v>315</v>
      </c>
      <c r="AB98" s="360" t="s">
        <v>1935</v>
      </c>
      <c r="AC98" s="210" t="s">
        <v>338</v>
      </c>
      <c r="AD98" s="360" t="s">
        <v>1935</v>
      </c>
      <c r="AE98" s="341" t="s">
        <v>128</v>
      </c>
      <c r="AF98" s="360" t="s">
        <v>1996</v>
      </c>
      <c r="AG98" s="160">
        <f t="shared" si="60"/>
        <v>15</v>
      </c>
      <c r="AH98" s="360" t="s">
        <v>2020</v>
      </c>
      <c r="AI98" s="160">
        <f t="shared" si="61"/>
        <v>3</v>
      </c>
      <c r="AJ98" s="360" t="s">
        <v>1936</v>
      </c>
      <c r="AK98" s="160" t="str">
        <f t="shared" si="62"/>
        <v>Ligne réalisation et indication date butoir projet test Forfait 4</v>
      </c>
      <c r="AL98" s="360" t="s">
        <v>1938</v>
      </c>
      <c r="AM98" s="160">
        <f t="shared" si="63"/>
        <v>4000</v>
      </c>
      <c r="AN98" s="360" t="s">
        <v>2020</v>
      </c>
      <c r="AO98" s="160">
        <f t="shared" si="64"/>
        <v>8</v>
      </c>
      <c r="AP98" s="160" t="s">
        <v>2021</v>
      </c>
      <c r="AQ98" s="160" t="str">
        <f t="shared" si="65"/>
        <v>INSERT INTO LIGDEVFORFAIT(`idLigDevForfait`,`numLigDevForfait`,`designationLigDevForfait`,`montantLigDevForfait`,`idDevis`) VALUES (15,3,"Ligne réalisation et indication date butoir projet test Forfait 4",4000,8);</v>
      </c>
      <c r="AR98" s="160" t="s">
        <v>2047</v>
      </c>
    </row>
    <row r="99" spans="5:48" ht="52.45" customHeight="1" thickBot="1" x14ac:dyDescent="0.35">
      <c r="F99" s="160">
        <f t="shared" si="68"/>
        <v>15</v>
      </c>
      <c r="G99" s="160">
        <v>3</v>
      </c>
      <c r="H99" s="304" t="s">
        <v>1834</v>
      </c>
      <c r="I99" s="160">
        <v>4000</v>
      </c>
      <c r="J99" s="160">
        <v>8</v>
      </c>
      <c r="S99" s="353" t="str">
        <f t="shared" si="67"/>
        <v>INSERT INTO LIGDEVFORFAIT(idLigDevForfait, numLigDevForfait, designationLigDevForfait, montantLigDevForfait, idDevis) VALUES (15, 3, Ligne réalisation et indication date butoir projet test Forfait 4, 4000, 8);</v>
      </c>
      <c r="T99" s="160" t="s">
        <v>1922</v>
      </c>
      <c r="U99" s="160" t="s">
        <v>377</v>
      </c>
      <c r="V99" s="160" t="s">
        <v>1934</v>
      </c>
      <c r="W99" s="276" t="s">
        <v>310</v>
      </c>
      <c r="X99" s="360" t="s">
        <v>1935</v>
      </c>
      <c r="Y99" s="246" t="s">
        <v>311</v>
      </c>
      <c r="Z99" s="360" t="s">
        <v>1935</v>
      </c>
      <c r="AA99" s="208" t="s">
        <v>315</v>
      </c>
      <c r="AB99" s="360" t="s">
        <v>1935</v>
      </c>
      <c r="AC99" s="210" t="s">
        <v>338</v>
      </c>
      <c r="AD99" s="360" t="s">
        <v>1935</v>
      </c>
      <c r="AE99" s="341" t="s">
        <v>128</v>
      </c>
      <c r="AF99" s="360" t="s">
        <v>1996</v>
      </c>
      <c r="AG99" s="160">
        <f t="shared" si="60"/>
        <v>16</v>
      </c>
      <c r="AH99" s="360" t="s">
        <v>2020</v>
      </c>
      <c r="AI99" s="160">
        <f t="shared" si="61"/>
        <v>1</v>
      </c>
      <c r="AJ99" s="360" t="s">
        <v>1936</v>
      </c>
      <c r="AK99" s="160" t="str">
        <f t="shared" si="62"/>
        <v>Ligne prise des exigences test Forfait 5</v>
      </c>
      <c r="AL99" s="360" t="s">
        <v>1938</v>
      </c>
      <c r="AM99" s="160">
        <f t="shared" si="63"/>
        <v>800</v>
      </c>
      <c r="AN99" s="360" t="s">
        <v>2020</v>
      </c>
      <c r="AO99" s="160">
        <f t="shared" si="64"/>
        <v>9</v>
      </c>
      <c r="AP99" s="160" t="s">
        <v>2021</v>
      </c>
      <c r="AQ99" s="160" t="str">
        <f t="shared" si="65"/>
        <v>INSERT INTO LIGDEVFORFAIT(`idLigDevForfait`,`numLigDevForfait`,`designationLigDevForfait`,`montantLigDevForfait`,`idDevis`) VALUES (16,1,"Ligne prise des exigences test Forfait 5",800,9);</v>
      </c>
      <c r="AR99" s="160" t="s">
        <v>2048</v>
      </c>
    </row>
    <row r="100" spans="5:48" ht="52.45" customHeight="1" thickBot="1" x14ac:dyDescent="0.35">
      <c r="F100" s="160">
        <f t="shared" si="68"/>
        <v>16</v>
      </c>
      <c r="G100" s="160">
        <v>1</v>
      </c>
      <c r="H100" s="304" t="s">
        <v>1847</v>
      </c>
      <c r="I100" s="160">
        <v>800</v>
      </c>
      <c r="J100" s="160">
        <v>9</v>
      </c>
      <c r="S100" s="353" t="str">
        <f t="shared" si="67"/>
        <v>INSERT INTO LIGDEVFORFAIT(idLigDevForfait, numLigDevForfait, designationLigDevForfait, montantLigDevForfait, idDevis) VALUES (16, 1, Ligne prise des exigences test Forfait 5, 800, 9);</v>
      </c>
      <c r="T100" s="160" t="s">
        <v>1922</v>
      </c>
      <c r="U100" s="160" t="s">
        <v>377</v>
      </c>
      <c r="V100" s="160" t="s">
        <v>1934</v>
      </c>
      <c r="W100" s="276" t="s">
        <v>310</v>
      </c>
      <c r="X100" s="360" t="s">
        <v>1935</v>
      </c>
      <c r="Y100" s="246" t="s">
        <v>311</v>
      </c>
      <c r="Z100" s="360" t="s">
        <v>1935</v>
      </c>
      <c r="AA100" s="208" t="s">
        <v>315</v>
      </c>
      <c r="AB100" s="360" t="s">
        <v>1935</v>
      </c>
      <c r="AC100" s="210" t="s">
        <v>338</v>
      </c>
      <c r="AD100" s="360" t="s">
        <v>1935</v>
      </c>
      <c r="AE100" s="341" t="s">
        <v>128</v>
      </c>
      <c r="AF100" s="360" t="s">
        <v>1996</v>
      </c>
      <c r="AG100" s="160">
        <f t="shared" si="60"/>
        <v>17</v>
      </c>
      <c r="AH100" s="360" t="s">
        <v>2020</v>
      </c>
      <c r="AI100" s="160">
        <f t="shared" si="61"/>
        <v>2</v>
      </c>
      <c r="AJ100" s="360" t="s">
        <v>1936</v>
      </c>
      <c r="AK100" s="160" t="str">
        <f t="shared" si="62"/>
        <v>Ligne de la conception test Forfait5</v>
      </c>
      <c r="AL100" s="360" t="s">
        <v>1938</v>
      </c>
      <c r="AM100" s="160">
        <f t="shared" si="63"/>
        <v>5200</v>
      </c>
      <c r="AN100" s="360" t="s">
        <v>2020</v>
      </c>
      <c r="AO100" s="160">
        <f t="shared" si="64"/>
        <v>9</v>
      </c>
      <c r="AP100" s="160" t="s">
        <v>2021</v>
      </c>
      <c r="AQ100" s="160" t="str">
        <f t="shared" si="65"/>
        <v>INSERT INTO LIGDEVFORFAIT(`idLigDevForfait`,`numLigDevForfait`,`designationLigDevForfait`,`montantLigDevForfait`,`idDevis`) VALUES (17,2,"Ligne de la conception test Forfait5",5200,9);</v>
      </c>
      <c r="AR100" s="160" t="s">
        <v>2049</v>
      </c>
    </row>
    <row r="101" spans="5:48" ht="52.45" customHeight="1" x14ac:dyDescent="0.3">
      <c r="F101" s="160">
        <f t="shared" si="68"/>
        <v>17</v>
      </c>
      <c r="G101" s="160">
        <v>2</v>
      </c>
      <c r="H101" s="304" t="s">
        <v>1848</v>
      </c>
      <c r="I101" s="160">
        <v>5200</v>
      </c>
      <c r="J101" s="160">
        <v>9</v>
      </c>
      <c r="S101" s="353" t="str">
        <f t="shared" si="67"/>
        <v>INSERT INTO LIGDEVFORFAIT(idLigDevForfait, numLigDevForfait, designationLigDevForfait, montantLigDevForfait, idDevis) VALUES (17, 2, Ligne de la conception test Forfait5, 5200, 9);</v>
      </c>
      <c r="T101" s="160" t="s">
        <v>1922</v>
      </c>
      <c r="U101" s="160" t="s">
        <v>377</v>
      </c>
      <c r="V101" s="160" t="s">
        <v>1934</v>
      </c>
      <c r="W101" s="365" t="s">
        <v>310</v>
      </c>
      <c r="X101" s="360" t="s">
        <v>1935</v>
      </c>
      <c r="Y101" s="366" t="s">
        <v>311</v>
      </c>
      <c r="Z101" s="360" t="s">
        <v>1935</v>
      </c>
      <c r="AA101" s="367" t="s">
        <v>315</v>
      </c>
      <c r="AB101" s="360" t="s">
        <v>1935</v>
      </c>
      <c r="AC101" s="367" t="s">
        <v>338</v>
      </c>
      <c r="AD101" s="360" t="s">
        <v>1935</v>
      </c>
      <c r="AE101" s="341" t="s">
        <v>128</v>
      </c>
      <c r="AF101" s="360" t="s">
        <v>1996</v>
      </c>
      <c r="AG101" s="160">
        <f t="shared" si="60"/>
        <v>18</v>
      </c>
      <c r="AH101" s="360" t="s">
        <v>2020</v>
      </c>
      <c r="AI101" s="160">
        <f t="shared" si="61"/>
        <v>3</v>
      </c>
      <c r="AJ101" s="360" t="s">
        <v>1936</v>
      </c>
      <c r="AK101" s="160" t="str">
        <f t="shared" si="62"/>
        <v>Ligne réalisation et indication date butoir projet test Forfait 5</v>
      </c>
      <c r="AL101" s="360" t="s">
        <v>1938</v>
      </c>
      <c r="AM101" s="160">
        <f t="shared" si="63"/>
        <v>8300</v>
      </c>
      <c r="AN101" s="360" t="s">
        <v>2020</v>
      </c>
      <c r="AO101" s="160">
        <f t="shared" si="64"/>
        <v>9</v>
      </c>
      <c r="AP101" s="160" t="s">
        <v>2021</v>
      </c>
      <c r="AQ101" s="160" t="str">
        <f t="shared" si="65"/>
        <v>INSERT INTO LIGDEVFORFAIT(`idLigDevForfait`,`numLigDevForfait`,`designationLigDevForfait`,`montantLigDevForfait`,`idDevis`) VALUES (18,3,"Ligne réalisation et indication date butoir projet test Forfait 5",8300,9);</v>
      </c>
      <c r="AR101" s="160" t="s">
        <v>2050</v>
      </c>
    </row>
    <row r="102" spans="5:48" ht="20.05" customHeight="1" x14ac:dyDescent="0.3">
      <c r="F102" s="160">
        <f t="shared" si="68"/>
        <v>18</v>
      </c>
      <c r="G102" s="160">
        <v>3</v>
      </c>
      <c r="H102" s="304" t="s">
        <v>1849</v>
      </c>
      <c r="I102" s="160">
        <v>8300</v>
      </c>
      <c r="J102" s="160">
        <v>9</v>
      </c>
      <c r="S102" s="353"/>
      <c r="W102" s="368"/>
      <c r="X102" s="360"/>
      <c r="Y102" s="322"/>
      <c r="Z102" s="360"/>
      <c r="AA102" s="322"/>
      <c r="AB102" s="360"/>
      <c r="AC102" s="322"/>
      <c r="AD102" s="360"/>
      <c r="AE102" s="294"/>
      <c r="AF102" s="360"/>
      <c r="AH102" s="360"/>
      <c r="AJ102" s="360"/>
      <c r="AL102" s="360"/>
      <c r="AN102" s="360"/>
    </row>
    <row r="103" spans="5:48" ht="20.05" customHeight="1" x14ac:dyDescent="0.3"/>
    <row r="104" spans="5:48" ht="20.05" customHeight="1" thickBot="1" x14ac:dyDescent="0.35"/>
    <row r="105" spans="5:48" ht="20.05" customHeight="1" thickBot="1" x14ac:dyDescent="0.35">
      <c r="E105" s="160" t="s">
        <v>378</v>
      </c>
      <c r="F105" s="277" t="s">
        <v>221</v>
      </c>
      <c r="G105" s="250" t="s">
        <v>313</v>
      </c>
      <c r="H105" s="214" t="s">
        <v>222</v>
      </c>
      <c r="I105" s="214" t="s">
        <v>342</v>
      </c>
      <c r="J105" s="216" t="s">
        <v>357</v>
      </c>
      <c r="K105" s="340" t="s">
        <v>128</v>
      </c>
      <c r="T105" s="160" t="s">
        <v>1922</v>
      </c>
      <c r="U105" s="160" t="s">
        <v>2076</v>
      </c>
      <c r="V105" s="160" t="s">
        <v>1934</v>
      </c>
      <c r="W105" s="277" t="s">
        <v>221</v>
      </c>
      <c r="X105" s="360" t="s">
        <v>1935</v>
      </c>
      <c r="Y105" s="250" t="s">
        <v>313</v>
      </c>
      <c r="Z105" s="360" t="s">
        <v>1935</v>
      </c>
      <c r="AA105" s="214" t="s">
        <v>222</v>
      </c>
      <c r="AB105" s="360" t="s">
        <v>1935</v>
      </c>
      <c r="AC105" s="214" t="s">
        <v>342</v>
      </c>
      <c r="AD105" s="360" t="s">
        <v>1935</v>
      </c>
      <c r="AE105" s="216" t="s">
        <v>357</v>
      </c>
      <c r="AF105" s="360" t="s">
        <v>1935</v>
      </c>
      <c r="AG105" s="340" t="s">
        <v>128</v>
      </c>
      <c r="AH105" s="360" t="s">
        <v>1996</v>
      </c>
    </row>
    <row r="106" spans="5:48" ht="48.25" customHeight="1" thickBot="1" x14ac:dyDescent="0.35">
      <c r="F106" s="160">
        <v>1</v>
      </c>
      <c r="G106" s="160">
        <v>1</v>
      </c>
      <c r="H106" s="304" t="s">
        <v>2051</v>
      </c>
      <c r="I106" s="160">
        <v>3</v>
      </c>
      <c r="J106" s="160">
        <v>100</v>
      </c>
      <c r="K106" s="160">
        <v>2</v>
      </c>
      <c r="S106" s="353"/>
      <c r="T106" s="160" t="s">
        <v>1922</v>
      </c>
      <c r="U106" s="160" t="s">
        <v>2076</v>
      </c>
      <c r="V106" s="160" t="s">
        <v>1934</v>
      </c>
      <c r="W106" s="277" t="s">
        <v>221</v>
      </c>
      <c r="X106" s="360" t="s">
        <v>1935</v>
      </c>
      <c r="Y106" s="250" t="s">
        <v>313</v>
      </c>
      <c r="Z106" s="360" t="s">
        <v>1935</v>
      </c>
      <c r="AA106" s="214" t="s">
        <v>222</v>
      </c>
      <c r="AB106" s="360" t="s">
        <v>1935</v>
      </c>
      <c r="AC106" s="214" t="s">
        <v>342</v>
      </c>
      <c r="AD106" s="360" t="s">
        <v>1935</v>
      </c>
      <c r="AE106" s="216" t="s">
        <v>357</v>
      </c>
      <c r="AF106" s="360" t="s">
        <v>1935</v>
      </c>
      <c r="AG106" s="340" t="s">
        <v>128</v>
      </c>
      <c r="AH106" s="360" t="s">
        <v>1996</v>
      </c>
      <c r="AI106" s="160">
        <f>F106</f>
        <v>1</v>
      </c>
      <c r="AJ106" s="360" t="s">
        <v>2020</v>
      </c>
      <c r="AK106" s="160">
        <f>G106</f>
        <v>1</v>
      </c>
      <c r="AL106" s="360" t="s">
        <v>1936</v>
      </c>
      <c r="AM106" s="160" t="str">
        <f>H106</f>
        <v>Echanges Rdv, prise de cotes, reportage photos</v>
      </c>
      <c r="AN106" s="360" t="s">
        <v>1938</v>
      </c>
      <c r="AO106" s="160">
        <f>I106</f>
        <v>3</v>
      </c>
      <c r="AP106" s="360" t="s">
        <v>2020</v>
      </c>
      <c r="AQ106" s="160">
        <f>J106</f>
        <v>100</v>
      </c>
      <c r="AR106" s="360" t="s">
        <v>2020</v>
      </c>
      <c r="AS106" s="160">
        <f>K106</f>
        <v>2</v>
      </c>
      <c r="AT106" s="160" t="s">
        <v>2021</v>
      </c>
      <c r="AU106" s="160" t="str">
        <f>T106&amp;U106&amp;V106&amp;W106&amp;X106&amp;Y106&amp;Z106&amp;AA106&amp;AB106&amp;AC106&amp;AD106&amp;AE106&amp;AF106&amp;AG106&amp;AH106&amp;AI106&amp;AJ106&amp;AK106&amp;AL106&amp;AM106&amp;AN106&amp;AO106&amp;AP106&amp;AQ106&amp;AR106&amp;AS106&amp;AT106</f>
        <v>INSERT INTO LIGDEVQPU(`idLigDevQPU`,`numLigDevQPU`,`designationLigDevQPU`,`qLigDevQPU`,`montantLigDevQPU`,`idDevis`) VALUES (1,1,"Echanges Rdv, prise de cotes, reportage photos",3,100,2);</v>
      </c>
      <c r="AV106" s="160" t="s">
        <v>2072</v>
      </c>
    </row>
    <row r="107" spans="5:48" ht="48.25" customHeight="1" thickBot="1" x14ac:dyDescent="0.35">
      <c r="F107" s="160">
        <v>2</v>
      </c>
      <c r="G107" s="160">
        <v>2</v>
      </c>
      <c r="H107" s="304" t="s">
        <v>2052</v>
      </c>
      <c r="I107" s="160">
        <v>2</v>
      </c>
      <c r="J107" s="160">
        <v>1100</v>
      </c>
      <c r="K107" s="160">
        <v>2</v>
      </c>
      <c r="S107" s="353"/>
      <c r="T107" s="160" t="s">
        <v>1922</v>
      </c>
      <c r="U107" s="160" t="s">
        <v>2076</v>
      </c>
      <c r="V107" s="160" t="s">
        <v>1934</v>
      </c>
      <c r="W107" s="277" t="s">
        <v>221</v>
      </c>
      <c r="X107" s="360" t="s">
        <v>1935</v>
      </c>
      <c r="Y107" s="250" t="s">
        <v>313</v>
      </c>
      <c r="Z107" s="360" t="s">
        <v>1935</v>
      </c>
      <c r="AA107" s="214" t="s">
        <v>222</v>
      </c>
      <c r="AB107" s="360" t="s">
        <v>1935</v>
      </c>
      <c r="AC107" s="214" t="s">
        <v>342</v>
      </c>
      <c r="AD107" s="360" t="s">
        <v>1935</v>
      </c>
      <c r="AE107" s="216" t="s">
        <v>357</v>
      </c>
      <c r="AF107" s="360" t="s">
        <v>1935</v>
      </c>
      <c r="AG107" s="340" t="s">
        <v>128</v>
      </c>
      <c r="AH107" s="360" t="s">
        <v>1996</v>
      </c>
      <c r="AI107" s="160">
        <f t="shared" ref="AI107:AI114" si="69">F107</f>
        <v>2</v>
      </c>
      <c r="AJ107" s="360" t="s">
        <v>2020</v>
      </c>
      <c r="AK107" s="160">
        <f t="shared" ref="AK107:AK114" si="70">G107</f>
        <v>2</v>
      </c>
      <c r="AL107" s="360" t="s">
        <v>1936</v>
      </c>
      <c r="AM107" s="160" t="str">
        <f t="shared" ref="AM107:AM114" si="71">H107</f>
        <v>Etude et propositions, Description de la partie a réaliser, Enumération des fournitures</v>
      </c>
      <c r="AN107" s="360" t="s">
        <v>1938</v>
      </c>
      <c r="AO107" s="160">
        <f t="shared" ref="AO107:AO114" si="72">I107</f>
        <v>2</v>
      </c>
      <c r="AP107" s="360" t="s">
        <v>2020</v>
      </c>
      <c r="AQ107" s="160">
        <f t="shared" ref="AQ107:AQ114" si="73">J107</f>
        <v>1100</v>
      </c>
      <c r="AR107" s="360" t="s">
        <v>2020</v>
      </c>
      <c r="AS107" s="160">
        <f t="shared" ref="AS107:AS114" si="74">K107</f>
        <v>2</v>
      </c>
      <c r="AT107" s="160" t="s">
        <v>2021</v>
      </c>
      <c r="AU107" s="160" t="str">
        <f t="shared" ref="AU107:AU114" si="75">T107&amp;U107&amp;V107&amp;W107&amp;X107&amp;Y107&amp;Z107&amp;AA107&amp;AB107&amp;AC107&amp;AD107&amp;AE107&amp;AF107&amp;AG107&amp;AH107&amp;AI107&amp;AJ107&amp;AK107&amp;AL107&amp;AM107&amp;AN107&amp;AO107&amp;AP107&amp;AQ107&amp;AR107&amp;AS107&amp;AT107</f>
        <v>INSERT INTO LIGDEVQPU(`idLigDevQPU`,`numLigDevQPU`,`designationLigDevQPU`,`qLigDevQPU`,`montantLigDevQPU`,`idDevis`) VALUES (2,2,"Etude et propositions, Description de la partie a réaliser, Enumération des fournitures",2,1100,2);</v>
      </c>
      <c r="AV107" s="160" t="s">
        <v>2074</v>
      </c>
    </row>
    <row r="108" spans="5:48" ht="48.25" customHeight="1" thickBot="1" x14ac:dyDescent="0.35">
      <c r="F108" s="160">
        <v>3</v>
      </c>
      <c r="G108" s="160">
        <v>3</v>
      </c>
      <c r="H108" s="304" t="s">
        <v>2073</v>
      </c>
      <c r="I108" s="160">
        <v>4</v>
      </c>
      <c r="J108" s="160">
        <v>1000</v>
      </c>
      <c r="K108" s="160">
        <v>2</v>
      </c>
      <c r="S108" s="353"/>
      <c r="T108" s="160" t="s">
        <v>1922</v>
      </c>
      <c r="U108" s="160" t="s">
        <v>2076</v>
      </c>
      <c r="V108" s="160" t="s">
        <v>1934</v>
      </c>
      <c r="W108" s="277" t="s">
        <v>221</v>
      </c>
      <c r="X108" s="360" t="s">
        <v>1935</v>
      </c>
      <c r="Y108" s="250" t="s">
        <v>313</v>
      </c>
      <c r="Z108" s="360" t="s">
        <v>1935</v>
      </c>
      <c r="AA108" s="214" t="s">
        <v>222</v>
      </c>
      <c r="AB108" s="360" t="s">
        <v>1935</v>
      </c>
      <c r="AC108" s="214" t="s">
        <v>342</v>
      </c>
      <c r="AD108" s="360" t="s">
        <v>1935</v>
      </c>
      <c r="AE108" s="216" t="s">
        <v>357</v>
      </c>
      <c r="AF108" s="360" t="s">
        <v>1935</v>
      </c>
      <c r="AG108" s="340" t="s">
        <v>128</v>
      </c>
      <c r="AH108" s="360" t="s">
        <v>1996</v>
      </c>
      <c r="AI108" s="160">
        <f t="shared" si="69"/>
        <v>3</v>
      </c>
      <c r="AJ108" s="360" t="s">
        <v>2020</v>
      </c>
      <c r="AK108" s="160">
        <f t="shared" si="70"/>
        <v>3</v>
      </c>
      <c r="AL108" s="360" t="s">
        <v>1936</v>
      </c>
      <c r="AM108" s="160" t="str">
        <f t="shared" si="71"/>
        <v>Réalisation, Fabrication et pose des elements validés à la phase 2 , indication éventuelle date de livraison</v>
      </c>
      <c r="AN108" s="360" t="s">
        <v>1938</v>
      </c>
      <c r="AO108" s="160">
        <f t="shared" si="72"/>
        <v>4</v>
      </c>
      <c r="AP108" s="360" t="s">
        <v>2020</v>
      </c>
      <c r="AQ108" s="160">
        <f t="shared" si="73"/>
        <v>1000</v>
      </c>
      <c r="AR108" s="360" t="s">
        <v>2020</v>
      </c>
      <c r="AS108" s="160">
        <f t="shared" si="74"/>
        <v>2</v>
      </c>
      <c r="AT108" s="160" t="s">
        <v>2021</v>
      </c>
      <c r="AU108" s="160" t="str">
        <f t="shared" si="75"/>
        <v>INSERT INTO LIGDEVQPU(`idLigDevQPU`,`numLigDevQPU`,`designationLigDevQPU`,`qLigDevQPU`,`montantLigDevQPU`,`idDevis`) VALUES (3,3,"Réalisation, Fabrication et pose des elements validés à la phase 2 , indication éventuelle date de livraison",4,1000,2);</v>
      </c>
      <c r="AV108" s="160" t="s">
        <v>2075</v>
      </c>
    </row>
    <row r="109" spans="5:48" ht="20.05" customHeight="1" thickBot="1" x14ac:dyDescent="0.35">
      <c r="F109" s="160">
        <f t="shared" ref="F109:F114" si="76">F108+1</f>
        <v>4</v>
      </c>
      <c r="G109" s="160">
        <v>1</v>
      </c>
      <c r="H109" s="304" t="s">
        <v>1820</v>
      </c>
      <c r="I109" s="160">
        <v>4</v>
      </c>
      <c r="J109" s="160">
        <v>100</v>
      </c>
      <c r="K109" s="160">
        <v>3</v>
      </c>
      <c r="S109" s="353"/>
      <c r="T109" s="160" t="s">
        <v>1922</v>
      </c>
      <c r="U109" s="160" t="s">
        <v>2076</v>
      </c>
      <c r="V109" s="160" t="s">
        <v>1934</v>
      </c>
      <c r="W109" s="277" t="s">
        <v>221</v>
      </c>
      <c r="X109" s="360" t="s">
        <v>1935</v>
      </c>
      <c r="Y109" s="250" t="s">
        <v>313</v>
      </c>
      <c r="Z109" s="360" t="s">
        <v>1935</v>
      </c>
      <c r="AA109" s="214" t="s">
        <v>222</v>
      </c>
      <c r="AB109" s="360" t="s">
        <v>1935</v>
      </c>
      <c r="AC109" s="214" t="s">
        <v>342</v>
      </c>
      <c r="AD109" s="360" t="s">
        <v>1935</v>
      </c>
      <c r="AE109" s="216" t="s">
        <v>357</v>
      </c>
      <c r="AF109" s="360" t="s">
        <v>1935</v>
      </c>
      <c r="AG109" s="340" t="s">
        <v>128</v>
      </c>
      <c r="AH109" s="360" t="s">
        <v>1996</v>
      </c>
      <c r="AI109" s="160">
        <f t="shared" si="69"/>
        <v>4</v>
      </c>
      <c r="AJ109" s="360" t="s">
        <v>2020</v>
      </c>
      <c r="AK109" s="160">
        <f t="shared" si="70"/>
        <v>1</v>
      </c>
      <c r="AL109" s="360" t="s">
        <v>1936</v>
      </c>
      <c r="AM109" s="160" t="str">
        <f t="shared" si="71"/>
        <v>Ligne prise des exigences test QPU 1</v>
      </c>
      <c r="AN109" s="360" t="s">
        <v>1938</v>
      </c>
      <c r="AO109" s="160">
        <f t="shared" si="72"/>
        <v>4</v>
      </c>
      <c r="AP109" s="360" t="s">
        <v>2020</v>
      </c>
      <c r="AQ109" s="160">
        <f t="shared" si="73"/>
        <v>100</v>
      </c>
      <c r="AR109" s="360" t="s">
        <v>2020</v>
      </c>
      <c r="AS109" s="160">
        <f t="shared" si="74"/>
        <v>3</v>
      </c>
      <c r="AT109" s="160" t="s">
        <v>2021</v>
      </c>
      <c r="AU109" s="160" t="str">
        <f t="shared" si="75"/>
        <v>INSERT INTO LIGDEVQPU(`idLigDevQPU`,`numLigDevQPU`,`designationLigDevQPU`,`qLigDevQPU`,`montantLigDevQPU`,`idDevis`) VALUES (4,1,"Ligne prise des exigences test QPU 1",4,100,3);</v>
      </c>
      <c r="AV109" s="160" t="s">
        <v>2066</v>
      </c>
    </row>
    <row r="110" spans="5:48" ht="20.05" customHeight="1" thickBot="1" x14ac:dyDescent="0.35">
      <c r="F110" s="160">
        <f t="shared" si="76"/>
        <v>5</v>
      </c>
      <c r="G110" s="160">
        <v>2</v>
      </c>
      <c r="H110" s="304" t="s">
        <v>1821</v>
      </c>
      <c r="I110" s="160">
        <v>2</v>
      </c>
      <c r="J110" s="160">
        <v>1150</v>
      </c>
      <c r="K110" s="160">
        <v>3</v>
      </c>
      <c r="S110" s="353"/>
      <c r="T110" s="160" t="s">
        <v>1922</v>
      </c>
      <c r="U110" s="160" t="s">
        <v>2076</v>
      </c>
      <c r="V110" s="160" t="s">
        <v>1934</v>
      </c>
      <c r="W110" s="277" t="s">
        <v>221</v>
      </c>
      <c r="X110" s="360" t="s">
        <v>1935</v>
      </c>
      <c r="Y110" s="250" t="s">
        <v>313</v>
      </c>
      <c r="Z110" s="360" t="s">
        <v>1935</v>
      </c>
      <c r="AA110" s="214" t="s">
        <v>222</v>
      </c>
      <c r="AB110" s="360" t="s">
        <v>1935</v>
      </c>
      <c r="AC110" s="214" t="s">
        <v>342</v>
      </c>
      <c r="AD110" s="360" t="s">
        <v>1935</v>
      </c>
      <c r="AE110" s="216" t="s">
        <v>357</v>
      </c>
      <c r="AF110" s="360" t="s">
        <v>1935</v>
      </c>
      <c r="AG110" s="340" t="s">
        <v>128</v>
      </c>
      <c r="AH110" s="360" t="s">
        <v>1996</v>
      </c>
      <c r="AI110" s="160">
        <f t="shared" si="69"/>
        <v>5</v>
      </c>
      <c r="AJ110" s="360" t="s">
        <v>2020</v>
      </c>
      <c r="AK110" s="160">
        <f t="shared" si="70"/>
        <v>2</v>
      </c>
      <c r="AL110" s="360" t="s">
        <v>1936</v>
      </c>
      <c r="AM110" s="160" t="str">
        <f t="shared" si="71"/>
        <v>Ligne de la conception test QPU 1</v>
      </c>
      <c r="AN110" s="360" t="s">
        <v>1938</v>
      </c>
      <c r="AO110" s="160">
        <f t="shared" si="72"/>
        <v>2</v>
      </c>
      <c r="AP110" s="360" t="s">
        <v>2020</v>
      </c>
      <c r="AQ110" s="160">
        <f t="shared" si="73"/>
        <v>1150</v>
      </c>
      <c r="AR110" s="360" t="s">
        <v>2020</v>
      </c>
      <c r="AS110" s="160">
        <f t="shared" si="74"/>
        <v>3</v>
      </c>
      <c r="AT110" s="160" t="s">
        <v>2021</v>
      </c>
      <c r="AU110" s="160" t="str">
        <f t="shared" si="75"/>
        <v>INSERT INTO LIGDEVQPU(`idLigDevQPU`,`numLigDevQPU`,`designationLigDevQPU`,`qLigDevQPU`,`montantLigDevQPU`,`idDevis`) VALUES (5,2,"Ligne de la conception test QPU 1",2,1150,3);</v>
      </c>
      <c r="AV110" s="160" t="s">
        <v>2067</v>
      </c>
    </row>
    <row r="111" spans="5:48" ht="20.05" customHeight="1" thickBot="1" x14ac:dyDescent="0.35">
      <c r="F111" s="160">
        <f t="shared" si="76"/>
        <v>6</v>
      </c>
      <c r="G111" s="160">
        <v>3</v>
      </c>
      <c r="H111" s="304" t="s">
        <v>1822</v>
      </c>
      <c r="I111" s="160">
        <v>3</v>
      </c>
      <c r="J111" s="160">
        <v>1200</v>
      </c>
      <c r="K111" s="160">
        <v>3</v>
      </c>
      <c r="S111" s="353"/>
      <c r="T111" s="160" t="s">
        <v>1922</v>
      </c>
      <c r="U111" s="160" t="s">
        <v>2076</v>
      </c>
      <c r="V111" s="160" t="s">
        <v>1934</v>
      </c>
      <c r="W111" s="277" t="s">
        <v>221</v>
      </c>
      <c r="X111" s="360" t="s">
        <v>1935</v>
      </c>
      <c r="Y111" s="250" t="s">
        <v>313</v>
      </c>
      <c r="Z111" s="360" t="s">
        <v>1935</v>
      </c>
      <c r="AA111" s="214" t="s">
        <v>222</v>
      </c>
      <c r="AB111" s="360" t="s">
        <v>1935</v>
      </c>
      <c r="AC111" s="214" t="s">
        <v>342</v>
      </c>
      <c r="AD111" s="360" t="s">
        <v>1935</v>
      </c>
      <c r="AE111" s="216" t="s">
        <v>357</v>
      </c>
      <c r="AF111" s="360" t="s">
        <v>1935</v>
      </c>
      <c r="AG111" s="340" t="s">
        <v>128</v>
      </c>
      <c r="AH111" s="360" t="s">
        <v>1996</v>
      </c>
      <c r="AI111" s="160">
        <f t="shared" si="69"/>
        <v>6</v>
      </c>
      <c r="AJ111" s="360" t="s">
        <v>2020</v>
      </c>
      <c r="AK111" s="160">
        <f t="shared" si="70"/>
        <v>3</v>
      </c>
      <c r="AL111" s="360" t="s">
        <v>1936</v>
      </c>
      <c r="AM111" s="160" t="str">
        <f t="shared" si="71"/>
        <v>Ligne réalisation et indication date butoir projet test QPU 1</v>
      </c>
      <c r="AN111" s="360" t="s">
        <v>1938</v>
      </c>
      <c r="AO111" s="160">
        <f t="shared" si="72"/>
        <v>3</v>
      </c>
      <c r="AP111" s="360" t="s">
        <v>2020</v>
      </c>
      <c r="AQ111" s="160">
        <f t="shared" si="73"/>
        <v>1200</v>
      </c>
      <c r="AR111" s="360" t="s">
        <v>2020</v>
      </c>
      <c r="AS111" s="160">
        <f t="shared" si="74"/>
        <v>3</v>
      </c>
      <c r="AT111" s="160" t="s">
        <v>2021</v>
      </c>
      <c r="AU111" s="160" t="str">
        <f t="shared" si="75"/>
        <v>INSERT INTO LIGDEVQPU(`idLigDevQPU`,`numLigDevQPU`,`designationLigDevQPU`,`qLigDevQPU`,`montantLigDevQPU`,`idDevis`) VALUES (6,3,"Ligne réalisation et indication date butoir projet test QPU 1",3,1200,3);</v>
      </c>
      <c r="AV111" s="160" t="s">
        <v>2068</v>
      </c>
    </row>
    <row r="112" spans="5:48" ht="20.05" customHeight="1" thickBot="1" x14ac:dyDescent="0.35">
      <c r="F112" s="160">
        <f t="shared" si="76"/>
        <v>7</v>
      </c>
      <c r="G112" s="160">
        <v>1</v>
      </c>
      <c r="H112" s="304" t="s">
        <v>1823</v>
      </c>
      <c r="I112" s="160">
        <v>5</v>
      </c>
      <c r="J112" s="160">
        <v>100</v>
      </c>
      <c r="K112" s="160">
        <v>4</v>
      </c>
      <c r="S112" s="353"/>
      <c r="T112" s="160" t="s">
        <v>1922</v>
      </c>
      <c r="U112" s="160" t="s">
        <v>2076</v>
      </c>
      <c r="V112" s="160" t="s">
        <v>1934</v>
      </c>
      <c r="W112" s="277" t="s">
        <v>221</v>
      </c>
      <c r="X112" s="360" t="s">
        <v>1935</v>
      </c>
      <c r="Y112" s="250" t="s">
        <v>313</v>
      </c>
      <c r="Z112" s="360" t="s">
        <v>1935</v>
      </c>
      <c r="AA112" s="214" t="s">
        <v>222</v>
      </c>
      <c r="AB112" s="360" t="s">
        <v>1935</v>
      </c>
      <c r="AC112" s="214" t="s">
        <v>342</v>
      </c>
      <c r="AD112" s="360" t="s">
        <v>1935</v>
      </c>
      <c r="AE112" s="216" t="s">
        <v>357</v>
      </c>
      <c r="AF112" s="360" t="s">
        <v>1935</v>
      </c>
      <c r="AG112" s="340" t="s">
        <v>128</v>
      </c>
      <c r="AH112" s="360" t="s">
        <v>1996</v>
      </c>
      <c r="AI112" s="160">
        <f t="shared" si="69"/>
        <v>7</v>
      </c>
      <c r="AJ112" s="360" t="s">
        <v>2020</v>
      </c>
      <c r="AK112" s="160">
        <f t="shared" si="70"/>
        <v>1</v>
      </c>
      <c r="AL112" s="360" t="s">
        <v>1936</v>
      </c>
      <c r="AM112" s="160" t="str">
        <f t="shared" si="71"/>
        <v>Ligne prise des exigences test QPU 2</v>
      </c>
      <c r="AN112" s="360" t="s">
        <v>1938</v>
      </c>
      <c r="AO112" s="160">
        <f t="shared" si="72"/>
        <v>5</v>
      </c>
      <c r="AP112" s="360" t="s">
        <v>2020</v>
      </c>
      <c r="AQ112" s="160">
        <f t="shared" si="73"/>
        <v>100</v>
      </c>
      <c r="AR112" s="360" t="s">
        <v>2020</v>
      </c>
      <c r="AS112" s="160">
        <f t="shared" si="74"/>
        <v>4</v>
      </c>
      <c r="AT112" s="160" t="s">
        <v>2021</v>
      </c>
      <c r="AU112" s="160" t="str">
        <f t="shared" si="75"/>
        <v>INSERT INTO LIGDEVQPU(`idLigDevQPU`,`numLigDevQPU`,`designationLigDevQPU`,`qLigDevQPU`,`montantLigDevQPU`,`idDevis`) VALUES (7,1,"Ligne prise des exigences test QPU 2",5,100,4);</v>
      </c>
      <c r="AV112" s="160" t="s">
        <v>2069</v>
      </c>
    </row>
    <row r="113" spans="5:76" ht="20.05" customHeight="1" thickBot="1" x14ac:dyDescent="0.35">
      <c r="F113" s="160">
        <f t="shared" si="76"/>
        <v>8</v>
      </c>
      <c r="G113" s="160">
        <v>2</v>
      </c>
      <c r="H113" s="304" t="s">
        <v>1824</v>
      </c>
      <c r="I113" s="160">
        <v>6</v>
      </c>
      <c r="J113" s="160">
        <v>1100</v>
      </c>
      <c r="K113" s="160">
        <v>4</v>
      </c>
      <c r="S113" s="353"/>
      <c r="T113" s="160" t="s">
        <v>1922</v>
      </c>
      <c r="U113" s="160" t="s">
        <v>2076</v>
      </c>
      <c r="V113" s="160" t="s">
        <v>1934</v>
      </c>
      <c r="W113" s="277" t="s">
        <v>221</v>
      </c>
      <c r="X113" s="360" t="s">
        <v>1935</v>
      </c>
      <c r="Y113" s="250" t="s">
        <v>313</v>
      </c>
      <c r="Z113" s="360" t="s">
        <v>1935</v>
      </c>
      <c r="AA113" s="214" t="s">
        <v>222</v>
      </c>
      <c r="AB113" s="360" t="s">
        <v>1935</v>
      </c>
      <c r="AC113" s="214" t="s">
        <v>342</v>
      </c>
      <c r="AD113" s="360" t="s">
        <v>1935</v>
      </c>
      <c r="AE113" s="216" t="s">
        <v>357</v>
      </c>
      <c r="AF113" s="360" t="s">
        <v>1935</v>
      </c>
      <c r="AG113" s="340" t="s">
        <v>128</v>
      </c>
      <c r="AH113" s="360" t="s">
        <v>1996</v>
      </c>
      <c r="AI113" s="160">
        <f t="shared" si="69"/>
        <v>8</v>
      </c>
      <c r="AJ113" s="360" t="s">
        <v>2020</v>
      </c>
      <c r="AK113" s="160">
        <f t="shared" si="70"/>
        <v>2</v>
      </c>
      <c r="AL113" s="360" t="s">
        <v>1936</v>
      </c>
      <c r="AM113" s="160" t="str">
        <f t="shared" si="71"/>
        <v>Ligne de la conception test QPU 2</v>
      </c>
      <c r="AN113" s="360" t="s">
        <v>1938</v>
      </c>
      <c r="AO113" s="160">
        <f t="shared" si="72"/>
        <v>6</v>
      </c>
      <c r="AP113" s="360" t="s">
        <v>2020</v>
      </c>
      <c r="AQ113" s="160">
        <f t="shared" si="73"/>
        <v>1100</v>
      </c>
      <c r="AR113" s="360" t="s">
        <v>2020</v>
      </c>
      <c r="AS113" s="160">
        <f t="shared" si="74"/>
        <v>4</v>
      </c>
      <c r="AT113" s="160" t="s">
        <v>2021</v>
      </c>
      <c r="AU113" s="160" t="str">
        <f t="shared" si="75"/>
        <v>INSERT INTO LIGDEVQPU(`idLigDevQPU`,`numLigDevQPU`,`designationLigDevQPU`,`qLigDevQPU`,`montantLigDevQPU`,`idDevis`) VALUES (8,2,"Ligne de la conception test QPU 2",6,1100,4);</v>
      </c>
      <c r="AV113" s="160" t="s">
        <v>2070</v>
      </c>
    </row>
    <row r="114" spans="5:76" ht="20.05" customHeight="1" thickBot="1" x14ac:dyDescent="0.35">
      <c r="F114" s="160">
        <f t="shared" si="76"/>
        <v>9</v>
      </c>
      <c r="G114" s="160">
        <v>3</v>
      </c>
      <c r="H114" s="304" t="s">
        <v>1825</v>
      </c>
      <c r="I114" s="160">
        <v>6</v>
      </c>
      <c r="J114" s="160">
        <v>1000</v>
      </c>
      <c r="K114" s="160">
        <v>4</v>
      </c>
      <c r="S114" s="353"/>
      <c r="T114" s="160" t="s">
        <v>1922</v>
      </c>
      <c r="U114" s="160" t="s">
        <v>2076</v>
      </c>
      <c r="V114" s="160" t="s">
        <v>1934</v>
      </c>
      <c r="W114" s="277" t="s">
        <v>221</v>
      </c>
      <c r="X114" s="360" t="s">
        <v>1935</v>
      </c>
      <c r="Y114" s="250" t="s">
        <v>313</v>
      </c>
      <c r="Z114" s="360" t="s">
        <v>1935</v>
      </c>
      <c r="AA114" s="214" t="s">
        <v>222</v>
      </c>
      <c r="AB114" s="360" t="s">
        <v>1935</v>
      </c>
      <c r="AC114" s="214" t="s">
        <v>342</v>
      </c>
      <c r="AD114" s="360" t="s">
        <v>1935</v>
      </c>
      <c r="AE114" s="216" t="s">
        <v>357</v>
      </c>
      <c r="AF114" s="360" t="s">
        <v>1935</v>
      </c>
      <c r="AG114" s="340" t="s">
        <v>128</v>
      </c>
      <c r="AH114" s="360" t="s">
        <v>1996</v>
      </c>
      <c r="AI114" s="160">
        <f t="shared" si="69"/>
        <v>9</v>
      </c>
      <c r="AJ114" s="360" t="s">
        <v>2020</v>
      </c>
      <c r="AK114" s="160">
        <f t="shared" si="70"/>
        <v>3</v>
      </c>
      <c r="AL114" s="360" t="s">
        <v>1936</v>
      </c>
      <c r="AM114" s="160" t="str">
        <f t="shared" si="71"/>
        <v>Ligne réalisation et indication date butoir projet test QPU 2</v>
      </c>
      <c r="AN114" s="360" t="s">
        <v>1938</v>
      </c>
      <c r="AO114" s="160">
        <f t="shared" si="72"/>
        <v>6</v>
      </c>
      <c r="AP114" s="360" t="s">
        <v>2020</v>
      </c>
      <c r="AQ114" s="160">
        <f t="shared" si="73"/>
        <v>1000</v>
      </c>
      <c r="AR114" s="360" t="s">
        <v>2020</v>
      </c>
      <c r="AS114" s="160">
        <f t="shared" si="74"/>
        <v>4</v>
      </c>
      <c r="AT114" s="160" t="s">
        <v>2021</v>
      </c>
      <c r="AU114" s="160" t="str">
        <f t="shared" si="75"/>
        <v>INSERT INTO LIGDEVQPU(`idLigDevQPU`,`numLigDevQPU`,`designationLigDevQPU`,`qLigDevQPU`,`montantLigDevQPU`,`idDevis`) VALUES (9,3,"Ligne réalisation et indication date butoir projet test QPU 2",6,1000,4);</v>
      </c>
      <c r="AV114" s="160" t="s">
        <v>2071</v>
      </c>
    </row>
    <row r="115" spans="5:76" ht="20.05" customHeight="1" x14ac:dyDescent="0.3"/>
    <row r="116" spans="5:76" ht="20.05" customHeight="1" x14ac:dyDescent="0.3"/>
    <row r="117" spans="5:76" ht="20.05" customHeight="1" x14ac:dyDescent="0.3"/>
    <row r="119" spans="5:76" x14ac:dyDescent="0.3">
      <c r="BI119" s="360" t="s">
        <v>1937</v>
      </c>
      <c r="BJ119" s="360" t="s">
        <v>2020</v>
      </c>
      <c r="BK119" s="360" t="s">
        <v>1936</v>
      </c>
      <c r="BL119" s="360" t="s">
        <v>1938</v>
      </c>
      <c r="BM119" s="160" t="s">
        <v>2021</v>
      </c>
    </row>
    <row r="120" spans="5:76" ht="28.05" customHeight="1" thickBot="1" x14ac:dyDescent="0.35">
      <c r="AW120" s="160" t="s">
        <v>2077</v>
      </c>
    </row>
    <row r="121" spans="5:76" s="322" customFormat="1" ht="30.05" customHeight="1" thickBot="1" x14ac:dyDescent="0.35">
      <c r="E121" s="160" t="s">
        <v>372</v>
      </c>
      <c r="F121" s="272" t="s">
        <v>287</v>
      </c>
      <c r="G121" s="181" t="s">
        <v>81</v>
      </c>
      <c r="H121" s="181" t="s">
        <v>288</v>
      </c>
      <c r="I121" s="181" t="s">
        <v>341</v>
      </c>
      <c r="J121" s="181" t="s">
        <v>289</v>
      </c>
      <c r="K121" s="181" t="s">
        <v>290</v>
      </c>
      <c r="L121" s="181" t="s">
        <v>291</v>
      </c>
      <c r="M121" s="181" t="s">
        <v>292</v>
      </c>
      <c r="N121" s="185" t="s">
        <v>293</v>
      </c>
      <c r="O121" s="322" t="s">
        <v>2086</v>
      </c>
      <c r="P121" s="342" t="s">
        <v>128</v>
      </c>
      <c r="Q121" s="342" t="s">
        <v>269</v>
      </c>
      <c r="R121" s="342" t="s">
        <v>383</v>
      </c>
      <c r="T121" s="160" t="s">
        <v>1922</v>
      </c>
      <c r="U121" s="160" t="s">
        <v>372</v>
      </c>
      <c r="V121" s="160" t="s">
        <v>1934</v>
      </c>
      <c r="W121" s="272" t="s">
        <v>287</v>
      </c>
      <c r="X121" s="360" t="s">
        <v>1935</v>
      </c>
      <c r="Y121" s="181" t="s">
        <v>81</v>
      </c>
      <c r="Z121" s="360" t="s">
        <v>1935</v>
      </c>
      <c r="AA121" s="181" t="s">
        <v>288</v>
      </c>
      <c r="AB121" s="360" t="s">
        <v>1935</v>
      </c>
      <c r="AC121" s="181" t="s">
        <v>341</v>
      </c>
      <c r="AD121" s="360" t="s">
        <v>1935</v>
      </c>
      <c r="AE121" s="181" t="s">
        <v>289</v>
      </c>
      <c r="AF121" s="360" t="s">
        <v>1935</v>
      </c>
      <c r="AG121" s="181" t="s">
        <v>290</v>
      </c>
      <c r="AH121" s="360" t="s">
        <v>1935</v>
      </c>
      <c r="AI121" s="181" t="s">
        <v>291</v>
      </c>
      <c r="AJ121" s="360" t="s">
        <v>1935</v>
      </c>
      <c r="AK121" s="181" t="s">
        <v>292</v>
      </c>
      <c r="AL121" s="360" t="s">
        <v>1935</v>
      </c>
      <c r="AM121" s="185" t="s">
        <v>293</v>
      </c>
      <c r="AN121" s="360" t="s">
        <v>1935</v>
      </c>
      <c r="AO121" s="322" t="s">
        <v>2086</v>
      </c>
      <c r="AP121" s="360" t="s">
        <v>1935</v>
      </c>
      <c r="AQ121" s="342" t="s">
        <v>128</v>
      </c>
      <c r="AR121" s="360" t="s">
        <v>1935</v>
      </c>
      <c r="AS121" s="342" t="s">
        <v>269</v>
      </c>
      <c r="AT121" s="360" t="s">
        <v>1935</v>
      </c>
      <c r="AU121" s="342" t="s">
        <v>383</v>
      </c>
      <c r="AV121" s="360" t="s">
        <v>1996</v>
      </c>
      <c r="AW121" s="322">
        <f>F122</f>
        <v>1</v>
      </c>
      <c r="AX121" s="360" t="s">
        <v>1936</v>
      </c>
      <c r="AY121" s="322" t="str">
        <f>G122</f>
        <v>Municipalité de Paris 11e - Proj231</v>
      </c>
      <c r="AZ121" s="360" t="s">
        <v>1937</v>
      </c>
      <c r="BA121" s="322" t="str">
        <f>H122</f>
        <v>Municipalité de Paris 11e</v>
      </c>
      <c r="BB121" s="360" t="s">
        <v>1937</v>
      </c>
      <c r="BC121" s="322" t="str">
        <f>I122</f>
        <v>Agencement salle municipal congrès des débranchés 2023</v>
      </c>
      <c r="BD121" s="360" t="s">
        <v>1937</v>
      </c>
      <c r="BE121" s="327" t="str">
        <f>TEXT(J122,"aaaa/mm/jj")</f>
        <v>2023/01/02</v>
      </c>
      <c r="BF121" s="360" t="s">
        <v>1937</v>
      </c>
      <c r="BG121" s="327" t="str">
        <f>TEXT(K122,"aaaa/mm/jj")</f>
        <v>2023/01/17</v>
      </c>
      <c r="BH121" s="360" t="s">
        <v>1937</v>
      </c>
      <c r="BI121" s="327" t="str">
        <f>TEXT(L122,"aaaa/mm/jj")</f>
        <v>2023/01/17</v>
      </c>
      <c r="BJ121" s="360" t="s">
        <v>1937</v>
      </c>
      <c r="BK121" s="322">
        <f>M122</f>
        <v>0</v>
      </c>
      <c r="BL121" s="360" t="s">
        <v>1937</v>
      </c>
      <c r="BM121" s="322" t="str">
        <f ca="1">N122</f>
        <v>Terminé</v>
      </c>
      <c r="BN121" s="360" t="s">
        <v>1938</v>
      </c>
      <c r="BO121" s="322">
        <f>O122</f>
        <v>6000</v>
      </c>
      <c r="BP121" s="360" t="s">
        <v>2020</v>
      </c>
      <c r="BQ121" s="322">
        <f>P122</f>
        <v>1</v>
      </c>
      <c r="BR121" s="360" t="s">
        <v>2020</v>
      </c>
      <c r="BS121" s="322">
        <f>Q122</f>
        <v>1</v>
      </c>
      <c r="BT121" s="360" t="s">
        <v>2020</v>
      </c>
      <c r="BU121" s="322">
        <f>R122</f>
        <v>1</v>
      </c>
      <c r="BV121" s="160" t="s">
        <v>2021</v>
      </c>
      <c r="BW121" s="322" t="str">
        <f ca="1">T121&amp;U121&amp;V121&amp;W121&amp;X121&amp;Y121&amp;Z121&amp;AA121&amp;AB121&amp;AC121&amp;AD121&amp;AE121&amp;AF121&amp;AG121&amp;AH121&amp;AI121&amp;AJ121&amp;AK121&amp;AL121&amp;AM121&amp;AN121&amp;AO121&amp;AP121&amp;AQ121&amp;AR121&amp;AS121&amp;AT121&amp;AU121&amp;AV121&amp;AW121&amp;AX121&amp;AY121&amp;AZ121&amp;BA121&amp;BB121&amp;BC121&amp;BD121&amp;BE121&amp;BF121&amp;BG121&amp;BH121&amp;BI121&amp;BJ121&amp;BK121&amp;BL121&amp;BM121&amp;BN121&amp;BO121&amp;BP121&amp;BQ121&amp;BR121&amp;BS121&amp;BT121&amp;BU121&amp;BV121</f>
        <v>INSERT INTO PROJETS(`idProjet`,`numProj`,`nameProj`,`descriptionProj`,`dateStartProj`,`dateEndThProj`,`dateEndRealProj`,`placeProj`,`stateAdvancementProj`,`CAProj`,`idDevis`,`idPersonne`,`idPersonneUtilisateur`) VALUES (1,"Municipalité de Paris 11e - Proj231","Municipalité de Paris 11e","Agencement salle municipal congrès des débranchés 2023","2023/01/02","2023/01/17","2023/01/17","0","Terminé",6000,1,1,1);</v>
      </c>
      <c r="BX121" s="322" t="s">
        <v>2078</v>
      </c>
    </row>
    <row r="122" spans="5:76" s="322" customFormat="1" ht="20.05" customHeight="1" thickBot="1" x14ac:dyDescent="0.35">
      <c r="F122" s="322">
        <v>1</v>
      </c>
      <c r="G122" s="322" t="str">
        <f>H122&amp;" - Proj"&amp;MID(YEAR(J122),3,2)&amp;F122</f>
        <v>Municipalité de Paris 11e - Proj231</v>
      </c>
      <c r="H122" s="322" t="s">
        <v>1792</v>
      </c>
      <c r="I122" s="322" t="s">
        <v>1890</v>
      </c>
      <c r="J122" s="327">
        <v>44928</v>
      </c>
      <c r="K122" s="327">
        <v>44943</v>
      </c>
      <c r="L122" s="327">
        <v>44943</v>
      </c>
      <c r="M122" s="328"/>
      <c r="N122" s="322" t="str">
        <f t="shared" ref="N122:N129" ca="1" si="77">IF(L122&lt;&gt;"","Terminé",IF((J122&lt;TODAY()),"EnCours","Créé"))</f>
        <v>Terminé</v>
      </c>
      <c r="O122" s="322">
        <f>_xlfn.XLOOKUP(P122,F$71:F$79,L$71:L$79)</f>
        <v>6000</v>
      </c>
      <c r="P122" s="322">
        <v>1</v>
      </c>
      <c r="Q122" s="322">
        <v>1</v>
      </c>
      <c r="R122" s="322">
        <v>1</v>
      </c>
      <c r="S122" s="353"/>
      <c r="T122" s="160" t="s">
        <v>1922</v>
      </c>
      <c r="U122" s="160" t="s">
        <v>372</v>
      </c>
      <c r="V122" s="160" t="s">
        <v>1934</v>
      </c>
      <c r="W122" s="272" t="s">
        <v>287</v>
      </c>
      <c r="X122" s="360" t="s">
        <v>1935</v>
      </c>
      <c r="Y122" s="181" t="s">
        <v>81</v>
      </c>
      <c r="Z122" s="360" t="s">
        <v>1935</v>
      </c>
      <c r="AA122" s="181" t="s">
        <v>288</v>
      </c>
      <c r="AB122" s="360" t="s">
        <v>1935</v>
      </c>
      <c r="AC122" s="181" t="s">
        <v>341</v>
      </c>
      <c r="AD122" s="360" t="s">
        <v>1935</v>
      </c>
      <c r="AE122" s="181" t="s">
        <v>289</v>
      </c>
      <c r="AF122" s="360" t="s">
        <v>1935</v>
      </c>
      <c r="AG122" s="181" t="s">
        <v>290</v>
      </c>
      <c r="AH122" s="360" t="s">
        <v>1935</v>
      </c>
      <c r="AI122" s="181" t="s">
        <v>291</v>
      </c>
      <c r="AJ122" s="360" t="s">
        <v>1935</v>
      </c>
      <c r="AK122" s="181" t="s">
        <v>292</v>
      </c>
      <c r="AL122" s="360" t="s">
        <v>1935</v>
      </c>
      <c r="AM122" s="185" t="s">
        <v>293</v>
      </c>
      <c r="AN122" s="360" t="s">
        <v>1935</v>
      </c>
      <c r="AO122" s="322" t="s">
        <v>2086</v>
      </c>
      <c r="AP122" s="360" t="s">
        <v>1935</v>
      </c>
      <c r="AQ122" s="342" t="s">
        <v>128</v>
      </c>
      <c r="AR122" s="360" t="s">
        <v>1935</v>
      </c>
      <c r="AS122" s="342" t="s">
        <v>269</v>
      </c>
      <c r="AT122" s="360" t="s">
        <v>1935</v>
      </c>
      <c r="AU122" s="342" t="s">
        <v>383</v>
      </c>
      <c r="AV122" s="360" t="s">
        <v>1996</v>
      </c>
      <c r="AW122" s="322">
        <f t="shared" ref="AW122:AW128" si="78">F123</f>
        <v>2</v>
      </c>
      <c r="AX122" s="360" t="s">
        <v>1936</v>
      </c>
      <c r="AY122" s="322" t="str">
        <f t="shared" ref="AY122:AY128" si="79">G123</f>
        <v>BoisdeLux - Proj232</v>
      </c>
      <c r="AZ122" s="360" t="s">
        <v>1937</v>
      </c>
      <c r="BA122" s="322" t="str">
        <f t="shared" ref="BA122:BA128" si="80">H123</f>
        <v>BoisdeLux</v>
      </c>
      <c r="BB122" s="360" t="s">
        <v>1937</v>
      </c>
      <c r="BC122" s="322" t="str">
        <f t="shared" ref="BC122:BC128" si="81">I123</f>
        <v>Agencement hall Ets en mini musée</v>
      </c>
      <c r="BD122" s="360" t="s">
        <v>1937</v>
      </c>
      <c r="BE122" s="327" t="str">
        <f t="shared" ref="BE122:BE128" si="82">TEXT(J123,"aaaa/mm/jj")</f>
        <v>2023/01/16</v>
      </c>
      <c r="BF122" s="360" t="s">
        <v>1937</v>
      </c>
      <c r="BG122" s="327" t="str">
        <f t="shared" ref="BG122:BG126" si="83">TEXT(K123,"aaaa/mm/jj")</f>
        <v>2023/02/03</v>
      </c>
      <c r="BH122" s="360" t="s">
        <v>1937</v>
      </c>
      <c r="BI122" s="327" t="str">
        <f t="shared" ref="BI122:BI125" si="84">TEXT(L123,"aaaa/mm/jj")</f>
        <v>2023/02/03</v>
      </c>
      <c r="BJ122" s="360" t="s">
        <v>1937</v>
      </c>
      <c r="BK122" s="322">
        <f t="shared" ref="BK122:BK128" si="85">M123</f>
        <v>0</v>
      </c>
      <c r="BL122" s="360" t="s">
        <v>1937</v>
      </c>
      <c r="BM122" s="322" t="str">
        <f t="shared" ref="BM122:BM128" ca="1" si="86">N123</f>
        <v>Terminé</v>
      </c>
      <c r="BN122" s="360" t="s">
        <v>1938</v>
      </c>
      <c r="BO122" s="322">
        <f t="shared" ref="BO122:BO128" si="87">O123</f>
        <v>6500</v>
      </c>
      <c r="BP122" s="360" t="s">
        <v>2020</v>
      </c>
      <c r="BQ122" s="322">
        <f t="shared" ref="BQ122:BQ128" si="88">P123</f>
        <v>2</v>
      </c>
      <c r="BR122" s="360" t="s">
        <v>2020</v>
      </c>
      <c r="BS122" s="322">
        <f t="shared" ref="BS122:BS128" si="89">Q123</f>
        <v>1</v>
      </c>
      <c r="BT122" s="360" t="s">
        <v>2020</v>
      </c>
      <c r="BU122" s="322">
        <f t="shared" ref="BU122:BU128" si="90">R123</f>
        <v>1</v>
      </c>
      <c r="BV122" s="160" t="s">
        <v>2021</v>
      </c>
      <c r="BW122" s="322" t="str">
        <f t="shared" ref="BW122:BW128" ca="1" si="91">T122&amp;U122&amp;V122&amp;W122&amp;X122&amp;Y122&amp;Z122&amp;AA122&amp;AB122&amp;AC122&amp;AD122&amp;AE122&amp;AF122&amp;AG122&amp;AH122&amp;AI122&amp;AJ122&amp;AK122&amp;AL122&amp;AM122&amp;AN122&amp;AO122&amp;AP122&amp;AQ122&amp;AR122&amp;AS122&amp;AT122&amp;AU122&amp;AV122&amp;AW122&amp;AX122&amp;AY122&amp;AZ122&amp;BA122&amp;BB122&amp;BC122&amp;BD122&amp;BE122&amp;BF122&amp;BG122&amp;BH122&amp;BI122&amp;BJ122&amp;BK122&amp;BL122&amp;BM122&amp;BN122&amp;BO122&amp;BP122&amp;BQ122&amp;BR122&amp;BS122&amp;BT122&amp;BU122&amp;BV122</f>
        <v>INSERT INTO PROJETS(`idProjet`,`numProj`,`nameProj`,`descriptionProj`,`dateStartProj`,`dateEndThProj`,`dateEndRealProj`,`placeProj`,`stateAdvancementProj`,`CAProj`,`idDevis`,`idPersonne`,`idPersonneUtilisateur`) VALUES (2,"BoisdeLux - Proj232","BoisdeLux","Agencement hall Ets en mini musée","2023/01/16","2023/02/03","2023/02/03","0","Terminé",6500,2,1,1);</v>
      </c>
      <c r="BX122" s="322" t="s">
        <v>2079</v>
      </c>
    </row>
    <row r="123" spans="5:76" s="322" customFormat="1" ht="20.05" customHeight="1" thickBot="1" x14ac:dyDescent="0.35">
      <c r="F123" s="322">
        <v>2</v>
      </c>
      <c r="G123" s="322" t="str">
        <f t="shared" ref="G123:G129" si="92">H123&amp;" - Proj"&amp;MID(YEAR(J123),3,2)&amp;F123</f>
        <v>BoisdeLux - Proj232</v>
      </c>
      <c r="H123" s="322" t="s">
        <v>1793</v>
      </c>
      <c r="I123" s="322" t="s">
        <v>1796</v>
      </c>
      <c r="J123" s="327">
        <v>44942</v>
      </c>
      <c r="K123" s="327">
        <v>44960</v>
      </c>
      <c r="L123" s="327">
        <f>K123</f>
        <v>44960</v>
      </c>
      <c r="N123" s="322" t="str">
        <f t="shared" ca="1" si="77"/>
        <v>Terminé</v>
      </c>
      <c r="O123" s="322">
        <f t="shared" ref="O123:O129" si="93">_xlfn.XLOOKUP(P123,F$71:F$79,L$71:L$79)</f>
        <v>6500</v>
      </c>
      <c r="P123" s="322">
        <v>2</v>
      </c>
      <c r="Q123" s="322">
        <v>1</v>
      </c>
      <c r="R123" s="322">
        <v>1</v>
      </c>
      <c r="S123" s="353"/>
      <c r="T123" s="160" t="s">
        <v>1922</v>
      </c>
      <c r="U123" s="160" t="s">
        <v>372</v>
      </c>
      <c r="V123" s="160" t="s">
        <v>1934</v>
      </c>
      <c r="W123" s="272" t="s">
        <v>287</v>
      </c>
      <c r="X123" s="360" t="s">
        <v>1935</v>
      </c>
      <c r="Y123" s="181" t="s">
        <v>81</v>
      </c>
      <c r="Z123" s="360" t="s">
        <v>1935</v>
      </c>
      <c r="AA123" s="181" t="s">
        <v>288</v>
      </c>
      <c r="AB123" s="360" t="s">
        <v>1935</v>
      </c>
      <c r="AC123" s="181" t="s">
        <v>341</v>
      </c>
      <c r="AD123" s="360" t="s">
        <v>1935</v>
      </c>
      <c r="AE123" s="181" t="s">
        <v>289</v>
      </c>
      <c r="AF123" s="360" t="s">
        <v>1935</v>
      </c>
      <c r="AG123" s="181" t="s">
        <v>290</v>
      </c>
      <c r="AH123" s="360" t="s">
        <v>1935</v>
      </c>
      <c r="AI123" s="181" t="s">
        <v>291</v>
      </c>
      <c r="AJ123" s="360" t="s">
        <v>1935</v>
      </c>
      <c r="AK123" s="181" t="s">
        <v>292</v>
      </c>
      <c r="AL123" s="360" t="s">
        <v>1935</v>
      </c>
      <c r="AM123" s="185" t="s">
        <v>293</v>
      </c>
      <c r="AN123" s="360" t="s">
        <v>1935</v>
      </c>
      <c r="AO123" s="322" t="s">
        <v>2086</v>
      </c>
      <c r="AP123" s="360" t="s">
        <v>1935</v>
      </c>
      <c r="AQ123" s="342" t="s">
        <v>128</v>
      </c>
      <c r="AR123" s="360" t="s">
        <v>1935</v>
      </c>
      <c r="AS123" s="342" t="s">
        <v>269</v>
      </c>
      <c r="AT123" s="360" t="s">
        <v>1935</v>
      </c>
      <c r="AU123" s="342" t="s">
        <v>383</v>
      </c>
      <c r="AV123" s="360" t="s">
        <v>1996</v>
      </c>
      <c r="AW123" s="322">
        <f t="shared" si="78"/>
        <v>3</v>
      </c>
      <c r="AX123" s="360" t="s">
        <v>1936</v>
      </c>
      <c r="AY123" s="322" t="str">
        <f t="shared" si="79"/>
        <v>RameneTaFraise - Proj233</v>
      </c>
      <c r="AZ123" s="360" t="s">
        <v>1937</v>
      </c>
      <c r="BA123" s="322" t="str">
        <f t="shared" si="80"/>
        <v>RameneTaFraise</v>
      </c>
      <c r="BB123" s="360" t="s">
        <v>1937</v>
      </c>
      <c r="BC123" s="322" t="str">
        <f t="shared" si="81"/>
        <v>Agencement show room 2023</v>
      </c>
      <c r="BD123" s="360" t="s">
        <v>1937</v>
      </c>
      <c r="BE123" s="327" t="str">
        <f t="shared" si="82"/>
        <v>2023/02/06</v>
      </c>
      <c r="BF123" s="360" t="s">
        <v>1937</v>
      </c>
      <c r="BG123" s="327" t="str">
        <f t="shared" si="83"/>
        <v>2023/02/24</v>
      </c>
      <c r="BH123" s="360" t="s">
        <v>1937</v>
      </c>
      <c r="BI123" s="327" t="str">
        <f t="shared" si="84"/>
        <v>2023/02/24</v>
      </c>
      <c r="BJ123" s="360" t="s">
        <v>1937</v>
      </c>
      <c r="BK123" s="322">
        <f t="shared" si="85"/>
        <v>0</v>
      </c>
      <c r="BL123" s="360" t="s">
        <v>1937</v>
      </c>
      <c r="BM123" s="322" t="str">
        <f t="shared" ca="1" si="86"/>
        <v>Terminé</v>
      </c>
      <c r="BN123" s="360" t="s">
        <v>1938</v>
      </c>
      <c r="BO123" s="322">
        <f t="shared" si="87"/>
        <v>6300</v>
      </c>
      <c r="BP123" s="360" t="s">
        <v>2020</v>
      </c>
      <c r="BQ123" s="322">
        <f t="shared" si="88"/>
        <v>3</v>
      </c>
      <c r="BR123" s="360" t="s">
        <v>2020</v>
      </c>
      <c r="BS123" s="322">
        <f t="shared" si="89"/>
        <v>1</v>
      </c>
      <c r="BT123" s="360" t="s">
        <v>2020</v>
      </c>
      <c r="BU123" s="322">
        <f t="shared" si="90"/>
        <v>1</v>
      </c>
      <c r="BV123" s="160" t="s">
        <v>2021</v>
      </c>
      <c r="BW123" s="322" t="str">
        <f t="shared" ca="1" si="91"/>
        <v>INSERT INTO PROJETS(`idProjet`,`numProj`,`nameProj`,`descriptionProj`,`dateStartProj`,`dateEndThProj`,`dateEndRealProj`,`placeProj`,`stateAdvancementProj`,`CAProj`,`idDevis`,`idPersonne`,`idPersonneUtilisateur`) VALUES (3,"RameneTaFraise - Proj233","RameneTaFraise","Agencement show room 2023","2023/02/06","2023/02/24","2023/02/24","0","Terminé",6300,3,1,1);</v>
      </c>
      <c r="BX123" s="322" t="s">
        <v>2080</v>
      </c>
    </row>
    <row r="124" spans="5:76" s="322" customFormat="1" ht="20.05" customHeight="1" thickBot="1" x14ac:dyDescent="0.35">
      <c r="F124" s="322">
        <v>3</v>
      </c>
      <c r="G124" s="322" t="str">
        <f t="shared" si="92"/>
        <v>RameneTaFraise - Proj233</v>
      </c>
      <c r="H124" s="322" t="s">
        <v>1794</v>
      </c>
      <c r="I124" s="322" t="s">
        <v>1795</v>
      </c>
      <c r="J124" s="327">
        <v>44963</v>
      </c>
      <c r="K124" s="327">
        <v>44981</v>
      </c>
      <c r="L124" s="327">
        <f>K124</f>
        <v>44981</v>
      </c>
      <c r="N124" s="322" t="str">
        <f t="shared" ca="1" si="77"/>
        <v>Terminé</v>
      </c>
      <c r="O124" s="322">
        <f t="shared" si="93"/>
        <v>6300</v>
      </c>
      <c r="P124" s="322">
        <v>3</v>
      </c>
      <c r="Q124" s="322">
        <v>1</v>
      </c>
      <c r="R124" s="322">
        <v>1</v>
      </c>
      <c r="S124" s="353"/>
      <c r="T124" s="160" t="s">
        <v>1922</v>
      </c>
      <c r="U124" s="160" t="s">
        <v>372</v>
      </c>
      <c r="V124" s="160" t="s">
        <v>1934</v>
      </c>
      <c r="W124" s="272" t="s">
        <v>287</v>
      </c>
      <c r="X124" s="360" t="s">
        <v>1935</v>
      </c>
      <c r="Y124" s="181" t="s">
        <v>81</v>
      </c>
      <c r="Z124" s="360" t="s">
        <v>1935</v>
      </c>
      <c r="AA124" s="181" t="s">
        <v>288</v>
      </c>
      <c r="AB124" s="360" t="s">
        <v>1935</v>
      </c>
      <c r="AC124" s="181" t="s">
        <v>341</v>
      </c>
      <c r="AD124" s="360" t="s">
        <v>1935</v>
      </c>
      <c r="AE124" s="181" t="s">
        <v>289</v>
      </c>
      <c r="AF124" s="360" t="s">
        <v>1935</v>
      </c>
      <c r="AG124" s="181" t="s">
        <v>290</v>
      </c>
      <c r="AH124" s="360" t="s">
        <v>1935</v>
      </c>
      <c r="AI124" s="181" t="s">
        <v>291</v>
      </c>
      <c r="AJ124" s="360" t="s">
        <v>1935</v>
      </c>
      <c r="AK124" s="181" t="s">
        <v>292</v>
      </c>
      <c r="AL124" s="360" t="s">
        <v>1935</v>
      </c>
      <c r="AM124" s="185" t="s">
        <v>293</v>
      </c>
      <c r="AN124" s="360" t="s">
        <v>1935</v>
      </c>
      <c r="AO124" s="322" t="s">
        <v>2086</v>
      </c>
      <c r="AP124" s="360" t="s">
        <v>1935</v>
      </c>
      <c r="AQ124" s="342" t="s">
        <v>128</v>
      </c>
      <c r="AR124" s="360" t="s">
        <v>1935</v>
      </c>
      <c r="AS124" s="342" t="s">
        <v>269</v>
      </c>
      <c r="AT124" s="360" t="s">
        <v>1935</v>
      </c>
      <c r="AU124" s="342" t="s">
        <v>383</v>
      </c>
      <c r="AV124" s="360" t="s">
        <v>1996</v>
      </c>
      <c r="AW124" s="322">
        <f t="shared" si="78"/>
        <v>4</v>
      </c>
      <c r="AX124" s="360" t="s">
        <v>1936</v>
      </c>
      <c r="AY124" s="322" t="str">
        <f t="shared" si="79"/>
        <v>TaPudFuite - Proj234</v>
      </c>
      <c r="AZ124" s="360" t="s">
        <v>1937</v>
      </c>
      <c r="BA124" s="322" t="str">
        <f t="shared" si="80"/>
        <v>TaPudFuite</v>
      </c>
      <c r="BB124" s="360" t="s">
        <v>1937</v>
      </c>
      <c r="BC124" s="322" t="str">
        <f t="shared" si="81"/>
        <v>Agencement showRoom SdBs</v>
      </c>
      <c r="BD124" s="360" t="s">
        <v>1937</v>
      </c>
      <c r="BE124" s="327" t="str">
        <f t="shared" si="82"/>
        <v>2023/02/27</v>
      </c>
      <c r="BF124" s="360" t="s">
        <v>1937</v>
      </c>
      <c r="BG124" s="327" t="str">
        <f t="shared" si="83"/>
        <v>2023/03/10</v>
      </c>
      <c r="BH124" s="360" t="s">
        <v>1937</v>
      </c>
      <c r="BI124" s="327" t="str">
        <f t="shared" si="84"/>
        <v>2023/03/10</v>
      </c>
      <c r="BJ124" s="360" t="s">
        <v>1937</v>
      </c>
      <c r="BK124" s="322">
        <f t="shared" si="85"/>
        <v>0</v>
      </c>
      <c r="BL124" s="360" t="s">
        <v>1937</v>
      </c>
      <c r="BM124" s="322" t="str">
        <f t="shared" ca="1" si="86"/>
        <v>Terminé</v>
      </c>
      <c r="BN124" s="360" t="s">
        <v>1938</v>
      </c>
      <c r="BO124" s="322">
        <f t="shared" si="87"/>
        <v>12100</v>
      </c>
      <c r="BP124" s="360" t="s">
        <v>2020</v>
      </c>
      <c r="BQ124" s="322">
        <f t="shared" si="88"/>
        <v>4</v>
      </c>
      <c r="BR124" s="360" t="s">
        <v>2020</v>
      </c>
      <c r="BS124" s="322">
        <f t="shared" si="89"/>
        <v>1</v>
      </c>
      <c r="BT124" s="360" t="s">
        <v>2020</v>
      </c>
      <c r="BU124" s="322">
        <f t="shared" si="90"/>
        <v>1</v>
      </c>
      <c r="BV124" s="160" t="s">
        <v>2021</v>
      </c>
      <c r="BW124" s="322" t="str">
        <f t="shared" ca="1" si="91"/>
        <v>INSERT INTO PROJETS(`idProjet`,`numProj`,`nameProj`,`descriptionProj`,`dateStartProj`,`dateEndThProj`,`dateEndRealProj`,`placeProj`,`stateAdvancementProj`,`CAProj`,`idDevis`,`idPersonne`,`idPersonneUtilisateur`) VALUES (4,"TaPudFuite - Proj234","TaPudFuite","Agencement showRoom SdBs","2023/02/27","2023/03/10","2023/03/10","0","Terminé",12100,4,1,1);</v>
      </c>
      <c r="BX124" s="322" t="s">
        <v>2081</v>
      </c>
    </row>
    <row r="125" spans="5:76" s="322" customFormat="1" ht="20.05" customHeight="1" thickBot="1" x14ac:dyDescent="0.35">
      <c r="F125" s="322">
        <v>4</v>
      </c>
      <c r="G125" s="322" t="str">
        <f t="shared" si="92"/>
        <v>TaPudFuite - Proj234</v>
      </c>
      <c r="H125" s="322" t="s">
        <v>1797</v>
      </c>
      <c r="I125" s="322" t="s">
        <v>1801</v>
      </c>
      <c r="J125" s="327">
        <v>44984</v>
      </c>
      <c r="K125" s="327">
        <v>44995</v>
      </c>
      <c r="L125" s="327">
        <f>K125</f>
        <v>44995</v>
      </c>
      <c r="N125" s="322" t="str">
        <f t="shared" ca="1" si="77"/>
        <v>Terminé</v>
      </c>
      <c r="O125" s="322">
        <f t="shared" si="93"/>
        <v>12100</v>
      </c>
      <c r="P125" s="322">
        <v>4</v>
      </c>
      <c r="Q125" s="322">
        <v>1</v>
      </c>
      <c r="R125" s="322">
        <v>1</v>
      </c>
      <c r="S125" s="353"/>
      <c r="T125" s="160" t="s">
        <v>1922</v>
      </c>
      <c r="U125" s="160" t="s">
        <v>372</v>
      </c>
      <c r="V125" s="160" t="s">
        <v>1934</v>
      </c>
      <c r="W125" s="272" t="s">
        <v>287</v>
      </c>
      <c r="X125" s="360" t="s">
        <v>1935</v>
      </c>
      <c r="Y125" s="181" t="s">
        <v>81</v>
      </c>
      <c r="Z125" s="360" t="s">
        <v>1935</v>
      </c>
      <c r="AA125" s="181" t="s">
        <v>288</v>
      </c>
      <c r="AB125" s="360" t="s">
        <v>1935</v>
      </c>
      <c r="AC125" s="181" t="s">
        <v>341</v>
      </c>
      <c r="AD125" s="360" t="s">
        <v>1935</v>
      </c>
      <c r="AE125" s="181" t="s">
        <v>289</v>
      </c>
      <c r="AF125" s="360" t="s">
        <v>1935</v>
      </c>
      <c r="AG125" s="181" t="s">
        <v>290</v>
      </c>
      <c r="AH125" s="360" t="s">
        <v>1935</v>
      </c>
      <c r="AI125" s="181" t="s">
        <v>291</v>
      </c>
      <c r="AJ125" s="360" t="s">
        <v>1935</v>
      </c>
      <c r="AK125" s="181" t="s">
        <v>292</v>
      </c>
      <c r="AL125" s="360" t="s">
        <v>1935</v>
      </c>
      <c r="AM125" s="185" t="s">
        <v>293</v>
      </c>
      <c r="AN125" s="360" t="s">
        <v>1935</v>
      </c>
      <c r="AO125" s="322" t="s">
        <v>2086</v>
      </c>
      <c r="AP125" s="360" t="s">
        <v>1935</v>
      </c>
      <c r="AQ125" s="342" t="s">
        <v>128</v>
      </c>
      <c r="AR125" s="360" t="s">
        <v>1935</v>
      </c>
      <c r="AS125" s="342" t="s">
        <v>269</v>
      </c>
      <c r="AT125" s="360" t="s">
        <v>1935</v>
      </c>
      <c r="AU125" s="342" t="s">
        <v>383</v>
      </c>
      <c r="AV125" s="360" t="s">
        <v>1996</v>
      </c>
      <c r="AW125" s="322">
        <f t="shared" si="78"/>
        <v>5</v>
      </c>
      <c r="AX125" s="360" t="s">
        <v>1936</v>
      </c>
      <c r="AY125" s="322" t="str">
        <f t="shared" si="79"/>
        <v>LaBonneBaguette - Proj235</v>
      </c>
      <c r="AZ125" s="360" t="s">
        <v>1937</v>
      </c>
      <c r="BA125" s="322" t="str">
        <f t="shared" si="80"/>
        <v>LaBonneBaguette</v>
      </c>
      <c r="BB125" s="360" t="s">
        <v>1937</v>
      </c>
      <c r="BC125" s="322" t="str">
        <f t="shared" si="81"/>
        <v>Agencement de la boulangerie</v>
      </c>
      <c r="BD125" s="360" t="s">
        <v>1937</v>
      </c>
      <c r="BE125" s="327" t="str">
        <f t="shared" si="82"/>
        <v>2023/03/13</v>
      </c>
      <c r="BF125" s="360" t="s">
        <v>1937</v>
      </c>
      <c r="BG125" s="327" t="str">
        <f t="shared" si="83"/>
        <v>2023/03/31</v>
      </c>
      <c r="BH125" s="360" t="s">
        <v>1937</v>
      </c>
      <c r="BI125" s="327" t="str">
        <f t="shared" si="84"/>
        <v>2023/04/04</v>
      </c>
      <c r="BJ125" s="360" t="s">
        <v>1937</v>
      </c>
      <c r="BK125" s="322">
        <f t="shared" si="85"/>
        <v>0</v>
      </c>
      <c r="BL125" s="360" t="s">
        <v>1937</v>
      </c>
      <c r="BM125" s="322" t="str">
        <f t="shared" ca="1" si="86"/>
        <v>Terminé</v>
      </c>
      <c r="BN125" s="360" t="s">
        <v>1938</v>
      </c>
      <c r="BO125" s="322">
        <f t="shared" si="87"/>
        <v>6300</v>
      </c>
      <c r="BP125" s="360" t="s">
        <v>2020</v>
      </c>
      <c r="BQ125" s="322">
        <f t="shared" si="88"/>
        <v>5</v>
      </c>
      <c r="BR125" s="360" t="s">
        <v>2020</v>
      </c>
      <c r="BS125" s="322">
        <f t="shared" si="89"/>
        <v>1</v>
      </c>
      <c r="BT125" s="360" t="s">
        <v>2020</v>
      </c>
      <c r="BU125" s="322">
        <f t="shared" si="90"/>
        <v>1</v>
      </c>
      <c r="BV125" s="160" t="s">
        <v>2021</v>
      </c>
      <c r="BW125" s="322" t="str">
        <f t="shared" ca="1" si="91"/>
        <v>INSERT INTO PROJETS(`idProjet`,`numProj`,`nameProj`,`descriptionProj`,`dateStartProj`,`dateEndThProj`,`dateEndRealProj`,`placeProj`,`stateAdvancementProj`,`CAProj`,`idDevis`,`idPersonne`,`idPersonneUtilisateur`) VALUES (5,"LaBonneBaguette - Proj235","LaBonneBaguette","Agencement de la boulangerie","2023/03/13","2023/03/31","2023/04/04","0","Terminé",6300,5,1,1);</v>
      </c>
      <c r="BX125" s="322" t="s">
        <v>2082</v>
      </c>
    </row>
    <row r="126" spans="5:76" s="322" customFormat="1" ht="20.05" customHeight="1" thickBot="1" x14ac:dyDescent="0.35">
      <c r="F126" s="322">
        <v>5</v>
      </c>
      <c r="G126" s="322" t="str">
        <f t="shared" si="92"/>
        <v>LaBonneBaguette - Proj235</v>
      </c>
      <c r="H126" s="322" t="s">
        <v>1798</v>
      </c>
      <c r="I126" s="322" t="s">
        <v>1802</v>
      </c>
      <c r="J126" s="327">
        <v>44998</v>
      </c>
      <c r="K126" s="327">
        <v>45016</v>
      </c>
      <c r="L126" s="327">
        <v>45020</v>
      </c>
      <c r="N126" s="322" t="str">
        <f t="shared" ca="1" si="77"/>
        <v>Terminé</v>
      </c>
      <c r="O126" s="322">
        <f t="shared" si="93"/>
        <v>6300</v>
      </c>
      <c r="P126" s="322">
        <v>5</v>
      </c>
      <c r="Q126" s="322">
        <v>1</v>
      </c>
      <c r="R126" s="322">
        <v>1</v>
      </c>
      <c r="S126" s="353"/>
      <c r="T126" s="160" t="s">
        <v>1922</v>
      </c>
      <c r="U126" s="160" t="s">
        <v>372</v>
      </c>
      <c r="V126" s="160" t="s">
        <v>1934</v>
      </c>
      <c r="W126" s="272" t="s">
        <v>287</v>
      </c>
      <c r="X126" s="360" t="s">
        <v>1935</v>
      </c>
      <c r="Y126" s="181" t="s">
        <v>81</v>
      </c>
      <c r="Z126" s="360" t="s">
        <v>1935</v>
      </c>
      <c r="AA126" s="181" t="s">
        <v>288</v>
      </c>
      <c r="AB126" s="360" t="s">
        <v>1935</v>
      </c>
      <c r="AC126" s="181" t="s">
        <v>341</v>
      </c>
      <c r="AD126" s="360" t="s">
        <v>1935</v>
      </c>
      <c r="AE126" s="181" t="s">
        <v>289</v>
      </c>
      <c r="AF126" s="360" t="s">
        <v>1935</v>
      </c>
      <c r="AG126" s="181" t="s">
        <v>290</v>
      </c>
      <c r="AH126" s="360" t="s">
        <v>1935</v>
      </c>
      <c r="AI126" s="181" t="s">
        <v>291</v>
      </c>
      <c r="AJ126" s="360" t="s">
        <v>1935</v>
      </c>
      <c r="AK126" s="181" t="s">
        <v>292</v>
      </c>
      <c r="AL126" s="360" t="s">
        <v>1935</v>
      </c>
      <c r="AM126" s="185" t="s">
        <v>293</v>
      </c>
      <c r="AN126" s="360" t="s">
        <v>1935</v>
      </c>
      <c r="AO126" s="322" t="s">
        <v>2086</v>
      </c>
      <c r="AP126" s="360" t="s">
        <v>1935</v>
      </c>
      <c r="AQ126" s="342" t="s">
        <v>128</v>
      </c>
      <c r="AR126" s="360" t="s">
        <v>1935</v>
      </c>
      <c r="AS126" s="342" t="s">
        <v>269</v>
      </c>
      <c r="AT126" s="360" t="s">
        <v>1935</v>
      </c>
      <c r="AU126" s="342" t="s">
        <v>383</v>
      </c>
      <c r="AV126" s="360" t="s">
        <v>1996</v>
      </c>
      <c r="AW126" s="322">
        <f t="shared" si="78"/>
        <v>6</v>
      </c>
      <c r="AX126" s="360" t="s">
        <v>1936</v>
      </c>
      <c r="AY126" s="322" t="str">
        <f t="shared" si="79"/>
        <v>GlesBoules - Proj236</v>
      </c>
      <c r="AZ126" s="360" t="s">
        <v>1937</v>
      </c>
      <c r="BA126" s="322" t="str">
        <f t="shared" si="80"/>
        <v>GlesBoules</v>
      </c>
      <c r="BB126" s="360" t="s">
        <v>1937</v>
      </c>
      <c r="BC126" s="322" t="str">
        <f t="shared" si="81"/>
        <v>Réfection de la surface de vente de confiserie</v>
      </c>
      <c r="BD126" s="360" t="s">
        <v>1937</v>
      </c>
      <c r="BE126" s="327" t="str">
        <f t="shared" si="82"/>
        <v>2023/04/03</v>
      </c>
      <c r="BF126" s="360" t="s">
        <v>1937</v>
      </c>
      <c r="BG126" s="327" t="str">
        <f t="shared" si="83"/>
        <v>2023/04/28</v>
      </c>
      <c r="BH126" s="360" t="s">
        <v>1937</v>
      </c>
      <c r="BI126" s="327"/>
      <c r="BJ126" s="360" t="s">
        <v>1937</v>
      </c>
      <c r="BK126" s="322">
        <f t="shared" si="85"/>
        <v>0</v>
      </c>
      <c r="BL126" s="360" t="s">
        <v>1937</v>
      </c>
      <c r="BM126" s="322" t="str">
        <f t="shared" ca="1" si="86"/>
        <v>EnCours</v>
      </c>
      <c r="BN126" s="360" t="s">
        <v>1938</v>
      </c>
      <c r="BO126" s="322">
        <f t="shared" si="87"/>
        <v>6000</v>
      </c>
      <c r="BP126" s="360" t="s">
        <v>2020</v>
      </c>
      <c r="BQ126" s="322">
        <f t="shared" si="88"/>
        <v>6</v>
      </c>
      <c r="BR126" s="360" t="s">
        <v>2020</v>
      </c>
      <c r="BS126" s="322">
        <f t="shared" si="89"/>
        <v>1</v>
      </c>
      <c r="BT126" s="360" t="s">
        <v>2020</v>
      </c>
      <c r="BU126" s="322">
        <f t="shared" si="90"/>
        <v>1</v>
      </c>
      <c r="BV126" s="160" t="s">
        <v>2021</v>
      </c>
      <c r="BW126" s="322" t="str">
        <f t="shared" ca="1" si="91"/>
        <v>INSERT INTO PROJETS(`idProjet`,`numProj`,`nameProj`,`descriptionProj`,`dateStartProj`,`dateEndThProj`,`dateEndRealProj`,`placeProj`,`stateAdvancementProj`,`CAProj`,`idDevis`,`idPersonne`,`idPersonneUtilisateur`) VALUES (6,"GlesBoules - Proj236","GlesBoules","Réfection de la surface de vente de confiserie","2023/04/03","2023/04/28","","0","EnCours",6000,6,1,1);</v>
      </c>
      <c r="BX126" s="322" t="s">
        <v>2083</v>
      </c>
    </row>
    <row r="127" spans="5:76" s="322" customFormat="1" ht="20.05" customHeight="1" thickBot="1" x14ac:dyDescent="0.35">
      <c r="F127" s="322">
        <v>6</v>
      </c>
      <c r="G127" s="322" t="str">
        <f t="shared" si="92"/>
        <v>GlesBoules - Proj236</v>
      </c>
      <c r="H127" s="322" t="s">
        <v>1799</v>
      </c>
      <c r="I127" s="322" t="s">
        <v>1803</v>
      </c>
      <c r="J127" s="327">
        <v>45019</v>
      </c>
      <c r="K127" s="327">
        <v>45044</v>
      </c>
      <c r="L127" s="327"/>
      <c r="N127" s="322" t="str">
        <f ca="1">IF(L127&lt;&gt;"","Terminé",IF((J127&lt;TODAY()),"EnCours","Créé"))</f>
        <v>EnCours</v>
      </c>
      <c r="O127" s="322">
        <f t="shared" si="93"/>
        <v>6000</v>
      </c>
      <c r="P127" s="322">
        <v>6</v>
      </c>
      <c r="Q127" s="322">
        <v>1</v>
      </c>
      <c r="R127" s="322">
        <v>1</v>
      </c>
      <c r="S127" s="353"/>
      <c r="T127" s="160" t="s">
        <v>1922</v>
      </c>
      <c r="U127" s="160" t="s">
        <v>372</v>
      </c>
      <c r="V127" s="160" t="s">
        <v>1934</v>
      </c>
      <c r="W127" s="272" t="s">
        <v>287</v>
      </c>
      <c r="X127" s="360" t="s">
        <v>1935</v>
      </c>
      <c r="Y127" s="181" t="s">
        <v>81</v>
      </c>
      <c r="Z127" s="360" t="s">
        <v>1935</v>
      </c>
      <c r="AA127" s="181" t="s">
        <v>288</v>
      </c>
      <c r="AB127" s="360" t="s">
        <v>1935</v>
      </c>
      <c r="AC127" s="181" t="s">
        <v>341</v>
      </c>
      <c r="AD127" s="360" t="s">
        <v>1935</v>
      </c>
      <c r="AE127" s="181" t="s">
        <v>289</v>
      </c>
      <c r="AF127" s="360" t="s">
        <v>1935</v>
      </c>
      <c r="AG127" s="181" t="s">
        <v>290</v>
      </c>
      <c r="AH127" s="360" t="s">
        <v>1935</v>
      </c>
      <c r="AI127" s="181" t="s">
        <v>291</v>
      </c>
      <c r="AJ127" s="360" t="s">
        <v>1935</v>
      </c>
      <c r="AK127" s="181" t="s">
        <v>292</v>
      </c>
      <c r="AL127" s="360" t="s">
        <v>1935</v>
      </c>
      <c r="AM127" s="185" t="s">
        <v>293</v>
      </c>
      <c r="AN127" s="360" t="s">
        <v>1935</v>
      </c>
      <c r="AO127" s="322" t="s">
        <v>2086</v>
      </c>
      <c r="AP127" s="360" t="s">
        <v>1935</v>
      </c>
      <c r="AQ127" s="342" t="s">
        <v>128</v>
      </c>
      <c r="AR127" s="360" t="s">
        <v>1935</v>
      </c>
      <c r="AS127" s="342" t="s">
        <v>269</v>
      </c>
      <c r="AT127" s="360" t="s">
        <v>1935</v>
      </c>
      <c r="AU127" s="342" t="s">
        <v>383</v>
      </c>
      <c r="AV127" s="360" t="s">
        <v>1996</v>
      </c>
      <c r="AW127" s="322">
        <f t="shared" si="78"/>
        <v>7</v>
      </c>
      <c r="AX127" s="360" t="s">
        <v>1936</v>
      </c>
      <c r="AY127" s="322" t="str">
        <f t="shared" si="79"/>
        <v>AuPirate - Proj237</v>
      </c>
      <c r="AZ127" s="360" t="s">
        <v>1937</v>
      </c>
      <c r="BA127" s="322" t="str">
        <f t="shared" si="80"/>
        <v>AuPirate</v>
      </c>
      <c r="BB127" s="360" t="s">
        <v>1937</v>
      </c>
      <c r="BC127" s="322" t="str">
        <f t="shared" si="81"/>
        <v>Agencement de l'environnement de Bar</v>
      </c>
      <c r="BD127" s="360" t="s">
        <v>1937</v>
      </c>
      <c r="BE127" s="327" t="str">
        <f t="shared" si="82"/>
        <v>2023/05/02</v>
      </c>
      <c r="BF127" s="360" t="s">
        <v>1937</v>
      </c>
      <c r="BG127" s="327"/>
      <c r="BH127" s="360" t="s">
        <v>1937</v>
      </c>
      <c r="BI127" s="327"/>
      <c r="BJ127" s="360" t="s">
        <v>1937</v>
      </c>
      <c r="BK127" s="322">
        <f t="shared" si="85"/>
        <v>0</v>
      </c>
      <c r="BL127" s="360" t="s">
        <v>1937</v>
      </c>
      <c r="BM127" s="322" t="str">
        <f t="shared" ca="1" si="86"/>
        <v>EnCours</v>
      </c>
      <c r="BN127" s="360" t="s">
        <v>1938</v>
      </c>
      <c r="BO127" s="322">
        <f t="shared" si="87"/>
        <v>7100</v>
      </c>
      <c r="BP127" s="360" t="s">
        <v>2020</v>
      </c>
      <c r="BQ127" s="322">
        <f t="shared" si="88"/>
        <v>7</v>
      </c>
      <c r="BR127" s="360" t="s">
        <v>2020</v>
      </c>
      <c r="BS127" s="322">
        <f t="shared" si="89"/>
        <v>1</v>
      </c>
      <c r="BT127" s="360" t="s">
        <v>2020</v>
      </c>
      <c r="BU127" s="322">
        <f t="shared" si="90"/>
        <v>1</v>
      </c>
      <c r="BV127" s="160" t="s">
        <v>2021</v>
      </c>
      <c r="BW127" s="322" t="str">
        <f t="shared" ca="1" si="91"/>
        <v>INSERT INTO PROJETS(`idProjet`,`numProj`,`nameProj`,`descriptionProj`,`dateStartProj`,`dateEndThProj`,`dateEndRealProj`,`placeProj`,`stateAdvancementProj`,`CAProj`,`idDevis`,`idPersonne`,`idPersonneUtilisateur`) VALUES (7,"AuPirate - Proj237","AuPirate","Agencement de l'environnement de Bar","2023/05/02","","","0","EnCours",7100,7,1,1);</v>
      </c>
      <c r="BX127" s="322" t="s">
        <v>2084</v>
      </c>
    </row>
    <row r="128" spans="5:76" s="322" customFormat="1" ht="20.05" customHeight="1" thickBot="1" x14ac:dyDescent="0.35">
      <c r="F128" s="322">
        <v>7</v>
      </c>
      <c r="G128" s="322" t="str">
        <f t="shared" si="92"/>
        <v>AuPirate - Proj237</v>
      </c>
      <c r="H128" s="322" t="s">
        <v>1800</v>
      </c>
      <c r="I128" s="322" t="s">
        <v>1804</v>
      </c>
      <c r="J128" s="327">
        <v>45048</v>
      </c>
      <c r="N128" s="322" t="str">
        <f t="shared" ca="1" si="77"/>
        <v>EnCours</v>
      </c>
      <c r="O128" s="322">
        <f t="shared" si="93"/>
        <v>7100</v>
      </c>
      <c r="P128" s="322">
        <v>7</v>
      </c>
      <c r="Q128" s="322">
        <v>1</v>
      </c>
      <c r="R128" s="322">
        <v>1</v>
      </c>
      <c r="S128" s="353"/>
      <c r="T128" s="160" t="s">
        <v>1922</v>
      </c>
      <c r="U128" s="160" t="s">
        <v>372</v>
      </c>
      <c r="V128" s="160" t="s">
        <v>1934</v>
      </c>
      <c r="W128" s="272" t="s">
        <v>287</v>
      </c>
      <c r="X128" s="360" t="s">
        <v>1935</v>
      </c>
      <c r="Y128" s="181" t="s">
        <v>81</v>
      </c>
      <c r="Z128" s="360" t="s">
        <v>1935</v>
      </c>
      <c r="AA128" s="181" t="s">
        <v>288</v>
      </c>
      <c r="AB128" s="360" t="s">
        <v>1935</v>
      </c>
      <c r="AC128" s="181" t="s">
        <v>341</v>
      </c>
      <c r="AD128" s="360" t="s">
        <v>1935</v>
      </c>
      <c r="AE128" s="181" t="s">
        <v>289</v>
      </c>
      <c r="AF128" s="360" t="s">
        <v>1935</v>
      </c>
      <c r="AG128" s="181" t="s">
        <v>290</v>
      </c>
      <c r="AH128" s="360" t="s">
        <v>1935</v>
      </c>
      <c r="AI128" s="181" t="s">
        <v>291</v>
      </c>
      <c r="AJ128" s="360" t="s">
        <v>1935</v>
      </c>
      <c r="AK128" s="181" t="s">
        <v>292</v>
      </c>
      <c r="AL128" s="360" t="s">
        <v>1935</v>
      </c>
      <c r="AM128" s="185" t="s">
        <v>293</v>
      </c>
      <c r="AN128" s="360" t="s">
        <v>1935</v>
      </c>
      <c r="AO128" s="322" t="s">
        <v>2086</v>
      </c>
      <c r="AP128" s="360" t="s">
        <v>1935</v>
      </c>
      <c r="AQ128" s="342" t="s">
        <v>128</v>
      </c>
      <c r="AR128" s="360" t="s">
        <v>1935</v>
      </c>
      <c r="AS128" s="342" t="s">
        <v>269</v>
      </c>
      <c r="AT128" s="360" t="s">
        <v>1935</v>
      </c>
      <c r="AU128" s="342" t="s">
        <v>383</v>
      </c>
      <c r="AV128" s="360" t="s">
        <v>1996</v>
      </c>
      <c r="AW128" s="322">
        <f t="shared" si="78"/>
        <v>8</v>
      </c>
      <c r="AX128" s="360" t="s">
        <v>1936</v>
      </c>
      <c r="AY128" s="322" t="str">
        <f t="shared" si="79"/>
        <v>BoisdeLux - Proj238</v>
      </c>
      <c r="AZ128" s="360" t="s">
        <v>1937</v>
      </c>
      <c r="BA128" s="322" t="str">
        <f t="shared" si="80"/>
        <v>BoisdeLux</v>
      </c>
      <c r="BB128" s="360" t="s">
        <v>1937</v>
      </c>
      <c r="BC128" s="322" t="str">
        <f t="shared" si="81"/>
        <v>agencement de la partie administrative de l'Ets</v>
      </c>
      <c r="BD128" s="360" t="s">
        <v>1937</v>
      </c>
      <c r="BE128" s="327" t="str">
        <f t="shared" si="82"/>
        <v>2023/06/12</v>
      </c>
      <c r="BF128" s="360" t="s">
        <v>1937</v>
      </c>
      <c r="BG128" s="327"/>
      <c r="BH128" s="360" t="s">
        <v>1937</v>
      </c>
      <c r="BI128" s="327"/>
      <c r="BJ128" s="360" t="s">
        <v>1937</v>
      </c>
      <c r="BK128" s="322">
        <f t="shared" si="85"/>
        <v>0</v>
      </c>
      <c r="BL128" s="360" t="s">
        <v>1937</v>
      </c>
      <c r="BM128" s="322" t="str">
        <f t="shared" ca="1" si="86"/>
        <v>Créé</v>
      </c>
      <c r="BN128" s="360" t="s">
        <v>1938</v>
      </c>
      <c r="BO128" s="322">
        <f t="shared" si="87"/>
        <v>7500</v>
      </c>
      <c r="BP128" s="360" t="s">
        <v>2020</v>
      </c>
      <c r="BQ128" s="322">
        <f t="shared" si="88"/>
        <v>8</v>
      </c>
      <c r="BR128" s="360" t="s">
        <v>2020</v>
      </c>
      <c r="BS128" s="322">
        <f t="shared" si="89"/>
        <v>1</v>
      </c>
      <c r="BT128" s="360" t="s">
        <v>2020</v>
      </c>
      <c r="BU128" s="322">
        <f t="shared" si="90"/>
        <v>1</v>
      </c>
      <c r="BV128" s="160" t="s">
        <v>2021</v>
      </c>
      <c r="BW128" s="322" t="str">
        <f t="shared" ca="1" si="91"/>
        <v>INSERT INTO PROJETS(`idProjet`,`numProj`,`nameProj`,`descriptionProj`,`dateStartProj`,`dateEndThProj`,`dateEndRealProj`,`placeProj`,`stateAdvancementProj`,`CAProj`,`idDevis`,`idPersonne`,`idPersonneUtilisateur`) VALUES (8,"BoisdeLux - Proj238","BoisdeLux","agencement de la partie administrative de l'Ets","2023/06/12","","","0","Créé",7500,8,1,1);</v>
      </c>
      <c r="BX128" s="322" t="s">
        <v>2085</v>
      </c>
    </row>
    <row r="129" spans="5:74" s="322" customFormat="1" ht="20.05" customHeight="1" thickBot="1" x14ac:dyDescent="0.35">
      <c r="F129" s="322">
        <v>8</v>
      </c>
      <c r="G129" s="322" t="str">
        <f t="shared" si="92"/>
        <v>BoisdeLux - Proj238</v>
      </c>
      <c r="H129" s="322" t="s">
        <v>1793</v>
      </c>
      <c r="I129" s="322" t="s">
        <v>1805</v>
      </c>
      <c r="J129" s="345">
        <v>45089</v>
      </c>
      <c r="N129" s="322" t="str">
        <f t="shared" ca="1" si="77"/>
        <v>Créé</v>
      </c>
      <c r="O129" s="322">
        <f t="shared" si="93"/>
        <v>7500</v>
      </c>
      <c r="P129" s="322">
        <v>8</v>
      </c>
      <c r="Q129" s="322">
        <v>1</v>
      </c>
      <c r="R129" s="322">
        <v>1</v>
      </c>
      <c r="S129" s="353"/>
      <c r="T129" s="160"/>
      <c r="U129" s="160"/>
      <c r="V129" s="160"/>
      <c r="W129" s="272"/>
      <c r="X129" s="360"/>
      <c r="Y129" s="181"/>
      <c r="Z129" s="360"/>
      <c r="AA129" s="181"/>
      <c r="AB129" s="360"/>
      <c r="AC129" s="181"/>
      <c r="AD129" s="360"/>
      <c r="AE129" s="181"/>
      <c r="AF129" s="360"/>
      <c r="AG129" s="181"/>
      <c r="AH129" s="360"/>
      <c r="AI129" s="181"/>
      <c r="AJ129" s="360"/>
      <c r="AK129" s="181"/>
      <c r="AL129" s="360"/>
      <c r="AM129" s="185"/>
      <c r="AN129" s="360"/>
      <c r="AP129" s="360"/>
      <c r="AQ129" s="342"/>
      <c r="AR129" s="360"/>
      <c r="AS129" s="342"/>
      <c r="AT129" s="360"/>
      <c r="AU129" s="342"/>
      <c r="AV129" s="360"/>
      <c r="AX129" s="360"/>
      <c r="AZ129" s="360"/>
      <c r="BB129" s="360"/>
      <c r="BD129" s="360"/>
      <c r="BE129" s="327"/>
      <c r="BF129" s="360"/>
      <c r="BG129" s="327"/>
      <c r="BH129" s="360"/>
      <c r="BI129" s="327"/>
      <c r="BJ129" s="360"/>
      <c r="BL129" s="360"/>
      <c r="BN129" s="360"/>
      <c r="BP129" s="360"/>
      <c r="BR129" s="360"/>
      <c r="BT129" s="360"/>
      <c r="BV129" s="160"/>
    </row>
    <row r="130" spans="5:74" s="322" customFormat="1" ht="25.05" customHeight="1" x14ac:dyDescent="0.3"/>
    <row r="131" spans="5:74" s="322" customFormat="1" ht="25.05" customHeight="1" x14ac:dyDescent="0.3"/>
    <row r="133" spans="5:74" ht="28.05" customHeight="1" thickBot="1" x14ac:dyDescent="0.35">
      <c r="BQ133" s="160">
        <f>YEAR(BE121)</f>
        <v>2023</v>
      </c>
      <c r="BR133" s="160" t="e">
        <f t="shared" ref="BR133:BU133" si="94">YEAR(BF121)</f>
        <v>#VALUE!</v>
      </c>
      <c r="BS133" s="160">
        <f t="shared" si="94"/>
        <v>2023</v>
      </c>
      <c r="BT133" s="160" t="e">
        <f t="shared" si="94"/>
        <v>#VALUE!</v>
      </c>
      <c r="BU133" s="160">
        <f t="shared" si="94"/>
        <v>2023</v>
      </c>
    </row>
    <row r="134" spans="5:74" s="322" customFormat="1" ht="30.05" customHeight="1" thickBot="1" x14ac:dyDescent="0.35">
      <c r="E134" s="160" t="s">
        <v>373</v>
      </c>
      <c r="F134" s="273" t="s">
        <v>72</v>
      </c>
      <c r="G134" s="189" t="s">
        <v>355</v>
      </c>
      <c r="H134" s="189" t="s">
        <v>337</v>
      </c>
      <c r="I134" s="189" t="s">
        <v>340</v>
      </c>
      <c r="J134" s="189" t="s">
        <v>266</v>
      </c>
      <c r="K134" s="189" t="s">
        <v>244</v>
      </c>
      <c r="L134" s="189" t="s">
        <v>296</v>
      </c>
      <c r="M134" s="189" t="s">
        <v>298</v>
      </c>
      <c r="N134" s="189" t="s">
        <v>299</v>
      </c>
      <c r="O134" s="189" t="s">
        <v>300</v>
      </c>
      <c r="P134" s="189" t="s">
        <v>301</v>
      </c>
      <c r="Q134" s="192" t="s">
        <v>302</v>
      </c>
      <c r="R134" s="295" t="s">
        <v>287</v>
      </c>
      <c r="S134" s="322" t="s">
        <v>1912</v>
      </c>
      <c r="BQ134" s="160">
        <f>MONTH(BE121)</f>
        <v>1</v>
      </c>
      <c r="BR134" s="160" t="e">
        <f t="shared" ref="BR134:BU134" si="95">MONTH(BF121)</f>
        <v>#VALUE!</v>
      </c>
      <c r="BS134" s="160">
        <f t="shared" si="95"/>
        <v>1</v>
      </c>
      <c r="BT134" s="160" t="e">
        <f t="shared" si="95"/>
        <v>#VALUE!</v>
      </c>
      <c r="BU134" s="160">
        <f t="shared" si="95"/>
        <v>1</v>
      </c>
    </row>
    <row r="135" spans="5:74" ht="20.05" customHeight="1" outlineLevel="1" x14ac:dyDescent="0.3">
      <c r="F135" s="160">
        <v>1</v>
      </c>
      <c r="G135" s="160">
        <v>1</v>
      </c>
      <c r="H135" s="160" t="s">
        <v>1865</v>
      </c>
      <c r="I135" s="160" t="str">
        <f t="shared" ref="I135:I166" si="96">H135</f>
        <v>Validation du DEVIS</v>
      </c>
      <c r="J135" s="160" t="s">
        <v>1867</v>
      </c>
      <c r="K135" s="160" t="s">
        <v>1874</v>
      </c>
      <c r="L135" s="160" t="s">
        <v>1876</v>
      </c>
      <c r="M135" s="329">
        <v>44905</v>
      </c>
      <c r="N135" s="329">
        <v>44928</v>
      </c>
      <c r="O135" s="329">
        <v>44928</v>
      </c>
      <c r="P135" s="329">
        <v>44928</v>
      </c>
      <c r="Q135" s="329">
        <v>44928</v>
      </c>
      <c r="R135" s="160">
        <v>1</v>
      </c>
      <c r="S135" s="160">
        <f>NETWORKDAYS(N135,Q135)+1</f>
        <v>2</v>
      </c>
      <c r="U135" s="353" t="str">
        <f>"INSERT INTO "&amp;$E$134&amp;"("&amp;$F$134&amp;", "&amp;$G$134&amp;", "&amp;$H$134&amp;", "&amp;$I$134&amp;", "&amp;$J$134&amp;", "&amp;$K$134&amp;", "&amp;$L$134&amp;", "&amp;$M$134&amp;", "&amp;$N$134&amp;", "&amp;$O$134&amp;", "&amp;$P$134&amp;", "&amp;$Q$134&amp;", "&amp;$R$134&amp;") VALUES ("&amp;H135&amp;", "&amp;I135&amp;", "&amp;J135&amp;", "&amp;K135&amp;", "&amp;L135&amp;", "&amp;M135&amp;", "&amp;N135&amp;", "&amp;O135&amp;", "&amp;P135&amp;", "&amp;Q135&amp;", "&amp;R135&amp;");"</f>
        <v>INSERT INTO TACHES(idTache, numTache, nameTache, descriptionTache, prioTache, stateTache, categoryTache, dateCreateTache, dateInProgressTache, dateToTestTache, dateEndThTache, dateEndRealTache, idProjet) VALUES (Validation du DEVIS, Validation du DEVIS, Vitale, Terminée, Initialisation, 44905, 44928, 44928, 44928, 44928, 1);</v>
      </c>
      <c r="BQ135" s="160">
        <f>DAY(BE121)</f>
        <v>2</v>
      </c>
      <c r="BR135" s="160" t="e">
        <f t="shared" ref="BR135:BU135" si="97">DAY(BF121)</f>
        <v>#VALUE!</v>
      </c>
      <c r="BS135" s="160">
        <f t="shared" si="97"/>
        <v>17</v>
      </c>
      <c r="BT135" s="160" t="e">
        <f t="shared" si="97"/>
        <v>#VALUE!</v>
      </c>
      <c r="BU135" s="160">
        <f t="shared" si="97"/>
        <v>17</v>
      </c>
    </row>
    <row r="136" spans="5:74" ht="20.05" customHeight="1" outlineLevel="1" x14ac:dyDescent="0.3">
      <c r="F136" s="160">
        <f>F135+1</f>
        <v>2</v>
      </c>
      <c r="G136" s="160">
        <f>G135+1</f>
        <v>2</v>
      </c>
      <c r="H136" s="160" t="s">
        <v>1851</v>
      </c>
      <c r="I136" s="160" t="str">
        <f t="shared" si="96"/>
        <v>rencontre client preciser projet +elaborer cahier des charges + prise de cotes + photos+etc</v>
      </c>
      <c r="J136" s="160" t="s">
        <v>1867</v>
      </c>
      <c r="K136" s="160" t="s">
        <v>1874</v>
      </c>
      <c r="L136" s="160" t="s">
        <v>1876</v>
      </c>
      <c r="M136" s="329">
        <v>44928</v>
      </c>
      <c r="N136" s="329">
        <v>44928</v>
      </c>
      <c r="O136" s="329">
        <v>44928</v>
      </c>
      <c r="P136" s="329">
        <v>44928</v>
      </c>
      <c r="Q136" s="329">
        <v>44928</v>
      </c>
      <c r="R136" s="160">
        <v>1</v>
      </c>
      <c r="S136" s="160">
        <f t="shared" ref="S136:S199" si="98">NETWORKDAYS(N136,Q136)+1</f>
        <v>2</v>
      </c>
      <c r="U136" s="353" t="str">
        <f t="shared" ref="U136:U199" si="99">"INSERT INTO "&amp;$E$134&amp;"("&amp;$F$134&amp;", "&amp;$G$134&amp;", "&amp;$H$134&amp;", "&amp;$I$134&amp;", "&amp;$J$134&amp;", "&amp;$K$134&amp;", "&amp;$L$134&amp;", "&amp;$M$134&amp;", "&amp;$N$134&amp;", "&amp;$O$134&amp;", "&amp;$P$134&amp;", "&amp;$Q$134&amp;", "&amp;$R$134&amp;") VALUES ("&amp;H136&amp;", "&amp;I136&amp;", "&amp;J136&amp;", "&amp;K136&amp;", "&amp;L136&amp;", "&amp;M136&amp;", "&amp;N136&amp;", "&amp;O136&amp;", "&amp;P136&amp;", "&amp;Q136&amp;", "&amp;R136&amp;");"</f>
        <v>INSERT INTO TACHES(idTache, numTache, nameTache, descriptionTache, prioTache, stateTache, categoryTache, dateCreateTache, dateInProgressTache, dateToTestTache, dateEndThTache, dateEndRealTache, idProjet) VALUES (rencontre client preciser projet +elaborer cahier des charges + prise de cotes + photos+etc, rencontre client preciser projet +elaborer cahier des charges + prise de cotes + photos+etc, Vitale, Terminée, Initialisation, 44928, 44928, 44928, 44928, 44928, 1);</v>
      </c>
      <c r="BQ136" s="160" t="str">
        <f>BQ133&amp;"/"&amp;BQ134&amp;"/"&amp;BQ135</f>
        <v>2023/1/2</v>
      </c>
    </row>
    <row r="137" spans="5:74" ht="20.05" customHeight="1" outlineLevel="1" x14ac:dyDescent="0.3">
      <c r="F137" s="160">
        <f t="shared" ref="F137:F170" si="100">F136+1</f>
        <v>3</v>
      </c>
      <c r="G137" s="160">
        <f t="shared" ref="G137:G152" si="101">G136+1</f>
        <v>3</v>
      </c>
      <c r="H137" s="160" t="s">
        <v>1866</v>
      </c>
      <c r="I137" s="160" t="str">
        <f t="shared" si="96"/>
        <v>analyse 1 des exigence + Plans + obligations</v>
      </c>
      <c r="J137" s="160" t="s">
        <v>1867</v>
      </c>
      <c r="K137" s="160" t="s">
        <v>1874</v>
      </c>
      <c r="L137" s="160" t="s">
        <v>1877</v>
      </c>
      <c r="M137" s="329">
        <v>44928</v>
      </c>
      <c r="N137" s="329">
        <v>44928</v>
      </c>
      <c r="O137" s="329">
        <v>44928</v>
      </c>
      <c r="P137" s="329">
        <v>44928</v>
      </c>
      <c r="Q137" s="329">
        <v>44928</v>
      </c>
      <c r="R137" s="160">
        <v>1</v>
      </c>
      <c r="S137" s="160">
        <f t="shared" si="98"/>
        <v>2</v>
      </c>
      <c r="U137" s="353" t="str">
        <f t="shared" si="99"/>
        <v>INSERT INTO TACHES(idTache, numTache, nameTache, descriptionTache, prioTache, stateTache, categoryTache, dateCreateTache, dateInProgressTache, dateToTestTache, dateEndThTache, dateEndRealTache, idProjet) VALUES (analyse 1 des exigence + Plans + obligations, analyse 1 des exigence + Plans + obligations, Vitale, Terminée, Analyse, 44928, 44928, 44928, 44928, 44928, 1);</v>
      </c>
    </row>
    <row r="138" spans="5:74" ht="20.05" customHeight="1" outlineLevel="1" x14ac:dyDescent="0.3">
      <c r="F138" s="160">
        <f t="shared" si="100"/>
        <v>4</v>
      </c>
      <c r="G138" s="160">
        <f t="shared" si="101"/>
        <v>4</v>
      </c>
      <c r="H138" s="160" t="s">
        <v>1850</v>
      </c>
      <c r="I138" s="160" t="str">
        <f t="shared" si="96"/>
        <v>faire validé la présentation + avec precision clients</v>
      </c>
      <c r="J138" s="160" t="s">
        <v>1867</v>
      </c>
      <c r="K138" s="160" t="s">
        <v>1874</v>
      </c>
      <c r="L138" s="160" t="s">
        <v>1877</v>
      </c>
      <c r="M138" s="329">
        <v>44929</v>
      </c>
      <c r="N138" s="329">
        <v>44929</v>
      </c>
      <c r="O138" s="329">
        <v>44929</v>
      </c>
      <c r="P138" s="329">
        <v>44929</v>
      </c>
      <c r="Q138" s="329">
        <v>44929</v>
      </c>
      <c r="R138" s="160">
        <v>1</v>
      </c>
      <c r="S138" s="160">
        <f t="shared" si="98"/>
        <v>2</v>
      </c>
      <c r="U138" s="353" t="str">
        <f t="shared" si="99"/>
        <v>INSERT INTO TACHES(idTache, numTache, nameTache, descriptionTache, prioTache, stateTache, categoryTache, dateCreateTache, dateInProgressTache, dateToTestTache, dateEndThTache, dateEndRealTache, idProjet) VALUES (faire validé la présentation + avec precision clients, faire validé la présentation + avec precision clients, Vitale, Terminée, Analyse, 44929, 44929, 44929, 44929, 44929, 1);</v>
      </c>
    </row>
    <row r="139" spans="5:74" ht="78.3" customHeight="1" outlineLevel="1" x14ac:dyDescent="0.3">
      <c r="F139" s="160">
        <f t="shared" si="100"/>
        <v>5</v>
      </c>
      <c r="G139" s="160">
        <f t="shared" si="101"/>
        <v>5</v>
      </c>
      <c r="H139" s="160" t="s">
        <v>1881</v>
      </c>
      <c r="I139" s="160" t="str">
        <f t="shared" si="96"/>
        <v>Analyse approfondie de Conception, fonctionnalités, maquettage, cahier des charges à valider</v>
      </c>
      <c r="J139" s="160" t="s">
        <v>1867</v>
      </c>
      <c r="K139" s="160" t="s">
        <v>1874</v>
      </c>
      <c r="L139" s="160" t="s">
        <v>1878</v>
      </c>
      <c r="M139" s="329">
        <v>44929</v>
      </c>
      <c r="N139" s="329">
        <v>44929</v>
      </c>
      <c r="O139" s="329">
        <v>44929</v>
      </c>
      <c r="P139" s="329">
        <v>44930</v>
      </c>
      <c r="Q139" s="329">
        <v>44930</v>
      </c>
      <c r="R139" s="160">
        <v>1</v>
      </c>
      <c r="S139" s="160">
        <f t="shared" si="98"/>
        <v>3</v>
      </c>
      <c r="U139" s="353" t="str">
        <f t="shared" si="99"/>
        <v>INSERT INTO TACHES(idTache, numTache, nameTache, descriptionTache, prioTache, stateTache, categoryTache, dateCreateTache, dateInProgressTache, dateToTestTache, dateEndThTache, dateEndRealTache, idProjet) VALUES (Analyse approfondie de Conception, fonctionnalités, maquettage, cahier des charges à valider, Analyse approfondie de Conception, fonctionnalités, maquettage, cahier des charges à valider, Vitale, Terminée, Conception, 44929, 44929, 44929, 44930, 44930, 1);</v>
      </c>
    </row>
    <row r="140" spans="5:74" ht="90.35" customHeight="1" outlineLevel="1" x14ac:dyDescent="0.3">
      <c r="F140" s="160">
        <f t="shared" si="100"/>
        <v>6</v>
      </c>
      <c r="G140" s="160">
        <f t="shared" si="101"/>
        <v>6</v>
      </c>
      <c r="H140" s="160" t="s">
        <v>1852</v>
      </c>
      <c r="I140" s="160" t="str">
        <f t="shared" si="96"/>
        <v>fonctionnalité 1</v>
      </c>
      <c r="J140" s="160" t="s">
        <v>1867</v>
      </c>
      <c r="K140" s="160" t="s">
        <v>1874</v>
      </c>
      <c r="L140" s="160" t="s">
        <v>1879</v>
      </c>
      <c r="M140" s="329">
        <v>44931</v>
      </c>
      <c r="N140" s="329">
        <v>44931</v>
      </c>
      <c r="O140" s="329">
        <v>44931</v>
      </c>
      <c r="P140" s="329">
        <v>44931</v>
      </c>
      <c r="Q140" s="329">
        <v>44931</v>
      </c>
      <c r="R140" s="160">
        <v>1</v>
      </c>
      <c r="S140" s="160">
        <f t="shared" si="98"/>
        <v>2</v>
      </c>
      <c r="U140" s="353" t="str">
        <f t="shared" si="99"/>
        <v>INSERT INTO TACHES(idTache, numTache, nameTache, descriptionTache, prioTache, stateTache, categoryTache, dateCreateTache, dateInProgressTache, dateToTestTache, dateEndThTache, dateEndRealTache, idProjet) VALUES (fonctionnalité 1, fonctionnalité 1, Vitale, Terminée, Realisation, 44931, 44931, 44931, 44931, 44931, 1);</v>
      </c>
    </row>
    <row r="141" spans="5:74" ht="90.35" customHeight="1" outlineLevel="1" x14ac:dyDescent="0.3">
      <c r="F141" s="160">
        <f t="shared" si="100"/>
        <v>7</v>
      </c>
      <c r="G141" s="160">
        <f t="shared" si="101"/>
        <v>7</v>
      </c>
      <c r="H141" s="160" t="s">
        <v>1853</v>
      </c>
      <c r="I141" s="160" t="str">
        <f t="shared" si="96"/>
        <v>fonctionnalité 2</v>
      </c>
      <c r="J141" s="160" t="s">
        <v>1867</v>
      </c>
      <c r="K141" s="160" t="s">
        <v>1874</v>
      </c>
      <c r="L141" s="160" t="s">
        <v>1879</v>
      </c>
      <c r="M141" s="329">
        <v>44932</v>
      </c>
      <c r="N141" s="329">
        <v>44932</v>
      </c>
      <c r="O141" s="329">
        <v>44932</v>
      </c>
      <c r="P141" s="329">
        <v>44932</v>
      </c>
      <c r="Q141" s="329">
        <v>44932</v>
      </c>
      <c r="R141" s="160">
        <v>1</v>
      </c>
      <c r="S141" s="160">
        <f t="shared" si="98"/>
        <v>2</v>
      </c>
      <c r="U141" s="353" t="str">
        <f t="shared" si="99"/>
        <v>INSERT INTO TACHES(idTache, numTache, nameTache, descriptionTache, prioTache, stateTache, categoryTache, dateCreateTache, dateInProgressTache, dateToTestTache, dateEndThTache, dateEndRealTache, idProjet) VALUES (fonctionnalité 2, fonctionnalité 2, Vitale, Terminée, Realisation, 44932, 44932, 44932, 44932, 44932, 1);</v>
      </c>
    </row>
    <row r="142" spans="5:74" ht="20.05" customHeight="1" outlineLevel="1" x14ac:dyDescent="0.3">
      <c r="F142" s="160">
        <f t="shared" si="100"/>
        <v>8</v>
      </c>
      <c r="G142" s="160">
        <f t="shared" si="101"/>
        <v>8</v>
      </c>
      <c r="H142" s="160" t="s">
        <v>1854</v>
      </c>
      <c r="I142" s="160" t="str">
        <f t="shared" si="96"/>
        <v>fonctionnalité 3</v>
      </c>
      <c r="J142" s="160" t="s">
        <v>1869</v>
      </c>
      <c r="K142" s="160" t="s">
        <v>1874</v>
      </c>
      <c r="L142" s="160" t="s">
        <v>1879</v>
      </c>
      <c r="M142" s="329">
        <v>44939</v>
      </c>
      <c r="N142" s="329">
        <v>44939</v>
      </c>
      <c r="O142" s="329">
        <v>44939</v>
      </c>
      <c r="P142" s="329">
        <v>44939</v>
      </c>
      <c r="Q142" s="329">
        <v>44939</v>
      </c>
      <c r="R142" s="160">
        <v>1</v>
      </c>
      <c r="S142" s="160">
        <f t="shared" si="98"/>
        <v>2</v>
      </c>
      <c r="U142" s="353" t="str">
        <f t="shared" si="99"/>
        <v>INSERT INTO TACHES(idTache, numTache, nameTache, descriptionTache, prioTache, stateTache, categoryTache, dateCreateTache, dateInProgressTache, dateToTestTache, dateEndThTache, dateEndRealTache, idProjet) VALUES (fonctionnalité 3, fonctionnalité 3, Utile, Terminée, Realisation, 44939, 44939, 44939, 44939, 44939, 1);</v>
      </c>
    </row>
    <row r="143" spans="5:74" ht="20.05" customHeight="1" outlineLevel="1" x14ac:dyDescent="0.3">
      <c r="F143" s="160">
        <f t="shared" si="100"/>
        <v>9</v>
      </c>
      <c r="G143" s="160">
        <f t="shared" si="101"/>
        <v>9</v>
      </c>
      <c r="H143" s="160" t="s">
        <v>1858</v>
      </c>
      <c r="I143" s="160" t="str">
        <f t="shared" si="96"/>
        <v>fonctionnalité X</v>
      </c>
      <c r="J143" s="160" t="s">
        <v>1868</v>
      </c>
      <c r="K143" s="160" t="s">
        <v>1874</v>
      </c>
      <c r="L143" s="160" t="s">
        <v>1879</v>
      </c>
      <c r="M143" s="329">
        <v>44937</v>
      </c>
      <c r="N143" s="329">
        <v>44937</v>
      </c>
      <c r="O143" s="329">
        <v>44937</v>
      </c>
      <c r="P143" s="329">
        <v>44937</v>
      </c>
      <c r="Q143" s="329">
        <v>44937</v>
      </c>
      <c r="R143" s="160">
        <v>1</v>
      </c>
      <c r="S143" s="160">
        <f t="shared" si="98"/>
        <v>2</v>
      </c>
      <c r="U143" s="353" t="str">
        <f t="shared" si="99"/>
        <v>INSERT INTO TACHES(idTache, numTache, nameTache, descriptionTache, prioTache, stateTache, categoryTache, dateCreateTache, dateInProgressTache, dateToTestTache, dateEndThTache, dateEndRealTache, idProjet) VALUES (fonctionnalité X, fonctionnalité X, Importante, Terminée, Realisation, 44937, 44937, 44937, 44937, 44937, 1);</v>
      </c>
    </row>
    <row r="144" spans="5:74" ht="20.05" customHeight="1" outlineLevel="1" x14ac:dyDescent="0.3">
      <c r="F144" s="160">
        <f t="shared" si="100"/>
        <v>10</v>
      </c>
      <c r="G144" s="160">
        <f t="shared" si="101"/>
        <v>10</v>
      </c>
      <c r="H144" s="160" t="s">
        <v>1859</v>
      </c>
      <c r="I144" s="160" t="str">
        <f t="shared" si="96"/>
        <v>deplacement</v>
      </c>
      <c r="J144" s="160" t="s">
        <v>1867</v>
      </c>
      <c r="K144" s="160" t="s">
        <v>1874</v>
      </c>
      <c r="L144" s="160" t="s">
        <v>1879</v>
      </c>
      <c r="M144" s="329">
        <v>44933</v>
      </c>
      <c r="N144" s="329">
        <v>44933</v>
      </c>
      <c r="O144" s="329">
        <v>44933</v>
      </c>
      <c r="P144" s="329">
        <v>44933</v>
      </c>
      <c r="Q144" s="329">
        <v>44933</v>
      </c>
      <c r="R144" s="160">
        <v>1</v>
      </c>
      <c r="S144" s="160">
        <f t="shared" si="98"/>
        <v>1</v>
      </c>
      <c r="U144" s="353" t="str">
        <f t="shared" si="99"/>
        <v>INSERT INTO TACHES(idTache, numTache, nameTache, descriptionTache, prioTache, stateTache, categoryTache, dateCreateTache, dateInProgressTache, dateToTestTache, dateEndThTache, dateEndRealTache, idProjet) VALUES (deplacement, deplacement, Vitale, Terminée, Realisation, 44933, 44933, 44933, 44933, 44933, 1);</v>
      </c>
    </row>
    <row r="145" spans="6:21" ht="20.05" customHeight="1" outlineLevel="1" x14ac:dyDescent="0.3">
      <c r="F145" s="160">
        <f t="shared" si="100"/>
        <v>11</v>
      </c>
      <c r="G145" s="160">
        <f t="shared" si="101"/>
        <v>11</v>
      </c>
      <c r="H145" s="160" t="s">
        <v>1860</v>
      </c>
      <c r="I145" s="160" t="str">
        <f t="shared" si="96"/>
        <v>achat des matériaux</v>
      </c>
      <c r="J145" s="160" t="s">
        <v>1867</v>
      </c>
      <c r="K145" s="160" t="s">
        <v>1874</v>
      </c>
      <c r="L145" s="160" t="s">
        <v>1879</v>
      </c>
      <c r="M145" s="329">
        <v>44933</v>
      </c>
      <c r="N145" s="329">
        <v>44933</v>
      </c>
      <c r="O145" s="329">
        <v>44933</v>
      </c>
      <c r="P145" s="329">
        <v>44933</v>
      </c>
      <c r="Q145" s="329">
        <v>44933</v>
      </c>
      <c r="R145" s="160">
        <v>1</v>
      </c>
      <c r="S145" s="160">
        <f t="shared" si="98"/>
        <v>1</v>
      </c>
      <c r="U145" s="353" t="str">
        <f t="shared" si="99"/>
        <v>INSERT INTO TACHES(idTache, numTache, nameTache, descriptionTache, prioTache, stateTache, categoryTache, dateCreateTache, dateInProgressTache, dateToTestTache, dateEndThTache, dateEndRealTache, idProjet) VALUES (achat des matériaux, achat des matériaux, Vitale, Terminée, Realisation, 44933, 44933, 44933, 44933, 44933, 1);</v>
      </c>
    </row>
    <row r="146" spans="6:21" ht="20.05" customHeight="1" outlineLevel="1" x14ac:dyDescent="0.3">
      <c r="F146" s="160">
        <f t="shared" si="100"/>
        <v>12</v>
      </c>
      <c r="G146" s="160">
        <f t="shared" si="101"/>
        <v>12</v>
      </c>
      <c r="H146" s="160" t="s">
        <v>1861</v>
      </c>
      <c r="I146" s="160" t="str">
        <f t="shared" si="96"/>
        <v>recruter équipe</v>
      </c>
      <c r="J146" s="160" t="s">
        <v>1867</v>
      </c>
      <c r="K146" s="160" t="s">
        <v>1874</v>
      </c>
      <c r="L146" s="160" t="s">
        <v>1879</v>
      </c>
      <c r="M146" s="329">
        <v>44933</v>
      </c>
      <c r="N146" s="329">
        <v>44933</v>
      </c>
      <c r="O146" s="329">
        <v>44933</v>
      </c>
      <c r="P146" s="329">
        <v>44933</v>
      </c>
      <c r="Q146" s="329">
        <v>44933</v>
      </c>
      <c r="R146" s="160">
        <v>1</v>
      </c>
      <c r="S146" s="160">
        <f t="shared" si="98"/>
        <v>1</v>
      </c>
      <c r="U146" s="353" t="str">
        <f t="shared" si="99"/>
        <v>INSERT INTO TACHES(idTache, numTache, nameTache, descriptionTache, prioTache, stateTache, categoryTache, dateCreateTache, dateInProgressTache, dateToTestTache, dateEndThTache, dateEndRealTache, idProjet) VALUES (recruter équipe, recruter équipe, Vitale, Terminée, Realisation, 44933, 44933, 44933, 44933, 44933, 1);</v>
      </c>
    </row>
    <row r="147" spans="6:21" outlineLevel="1" x14ac:dyDescent="0.3">
      <c r="F147" s="160">
        <f t="shared" si="100"/>
        <v>13</v>
      </c>
      <c r="G147" s="160">
        <f t="shared" si="101"/>
        <v>13</v>
      </c>
      <c r="H147" s="160" t="s">
        <v>1862</v>
      </c>
      <c r="I147" s="160" t="str">
        <f t="shared" si="96"/>
        <v>coordonner chaque membre</v>
      </c>
      <c r="J147" s="160" t="s">
        <v>1867</v>
      </c>
      <c r="K147" s="160" t="s">
        <v>1874</v>
      </c>
      <c r="L147" s="160" t="s">
        <v>1879</v>
      </c>
      <c r="M147" s="329">
        <v>44934</v>
      </c>
      <c r="N147" s="329">
        <v>44934</v>
      </c>
      <c r="O147" s="329">
        <v>44934</v>
      </c>
      <c r="P147" s="329">
        <v>44934</v>
      </c>
      <c r="Q147" s="329">
        <v>44934</v>
      </c>
      <c r="R147" s="160">
        <v>1</v>
      </c>
      <c r="S147" s="160">
        <f t="shared" si="98"/>
        <v>1</v>
      </c>
      <c r="U147" s="353" t="str">
        <f t="shared" si="99"/>
        <v>INSERT INTO TACHES(idTache, numTache, nameTache, descriptionTache, prioTache, stateTache, categoryTache, dateCreateTache, dateInProgressTache, dateToTestTache, dateEndThTache, dateEndRealTache, idProjet) VALUES (coordonner chaque membre, coordonner chaque membre, Vitale, Terminée, Realisation, 44934, 44934, 44934, 44934, 44934, 1);</v>
      </c>
    </row>
    <row r="148" spans="6:21" ht="28.05" customHeight="1" outlineLevel="1" x14ac:dyDescent="0.3">
      <c r="F148" s="160">
        <f t="shared" si="100"/>
        <v>14</v>
      </c>
      <c r="G148" s="160">
        <f t="shared" si="101"/>
        <v>14</v>
      </c>
      <c r="H148" s="160" t="s">
        <v>1855</v>
      </c>
      <c r="I148" s="160" t="str">
        <f t="shared" si="96"/>
        <v>fonctionnalité 4</v>
      </c>
      <c r="J148" s="160" t="s">
        <v>1867</v>
      </c>
      <c r="K148" s="160" t="s">
        <v>1874</v>
      </c>
      <c r="L148" s="160" t="s">
        <v>1879</v>
      </c>
      <c r="M148" s="329">
        <v>44935</v>
      </c>
      <c r="N148" s="329">
        <v>44935</v>
      </c>
      <c r="O148" s="329">
        <v>44935</v>
      </c>
      <c r="P148" s="329">
        <v>44935</v>
      </c>
      <c r="Q148" s="329">
        <v>44935</v>
      </c>
      <c r="R148" s="160">
        <v>1</v>
      </c>
      <c r="S148" s="160">
        <f t="shared" si="98"/>
        <v>2</v>
      </c>
      <c r="U148" s="353" t="str">
        <f t="shared" si="99"/>
        <v>INSERT INTO TACHES(idTache, numTache, nameTache, descriptionTache, prioTache, stateTache, categoryTache, dateCreateTache, dateInProgressTache, dateToTestTache, dateEndThTache, dateEndRealTache, idProjet) VALUES (fonctionnalité 4, fonctionnalité 4, Vitale, Terminée, Realisation, 44935, 44935, 44935, 44935, 44935, 1);</v>
      </c>
    </row>
    <row r="149" spans="6:21" ht="30.05" customHeight="1" outlineLevel="1" x14ac:dyDescent="0.3">
      <c r="F149" s="160">
        <f t="shared" si="100"/>
        <v>15</v>
      </c>
      <c r="G149" s="160">
        <f t="shared" si="101"/>
        <v>15</v>
      </c>
      <c r="H149" s="160" t="s">
        <v>1856</v>
      </c>
      <c r="I149" s="160" t="str">
        <f t="shared" si="96"/>
        <v>fonctionnalité 5</v>
      </c>
      <c r="J149" s="160" t="s">
        <v>1868</v>
      </c>
      <c r="K149" s="160" t="s">
        <v>1874</v>
      </c>
      <c r="L149" s="160" t="s">
        <v>1879</v>
      </c>
      <c r="M149" s="329">
        <v>44938</v>
      </c>
      <c r="N149" s="329">
        <v>44938</v>
      </c>
      <c r="O149" s="329">
        <v>44938</v>
      </c>
      <c r="P149" s="329">
        <v>44938</v>
      </c>
      <c r="Q149" s="329">
        <v>44938</v>
      </c>
      <c r="R149" s="160">
        <v>1</v>
      </c>
      <c r="S149" s="160">
        <f t="shared" si="98"/>
        <v>2</v>
      </c>
      <c r="U149" s="353" t="str">
        <f t="shared" si="99"/>
        <v>INSERT INTO TACHES(idTache, numTache, nameTache, descriptionTache, prioTache, stateTache, categoryTache, dateCreateTache, dateInProgressTache, dateToTestTache, dateEndThTache, dateEndRealTache, idProjet) VALUES (fonctionnalité 5, fonctionnalité 5, Importante, Terminée, Realisation, 44938, 44938, 44938, 44938, 44938, 1);</v>
      </c>
    </row>
    <row r="150" spans="6:21" ht="20.05" customHeight="1" outlineLevel="1" x14ac:dyDescent="0.3">
      <c r="F150" s="160">
        <f t="shared" si="100"/>
        <v>16</v>
      </c>
      <c r="G150" s="160">
        <f t="shared" si="101"/>
        <v>16</v>
      </c>
      <c r="H150" s="160" t="s">
        <v>1857</v>
      </c>
      <c r="I150" s="160" t="str">
        <f t="shared" si="96"/>
        <v>fonctionnalité 6</v>
      </c>
      <c r="J150" s="160" t="s">
        <v>1870</v>
      </c>
      <c r="K150" s="160" t="s">
        <v>1874</v>
      </c>
      <c r="L150" s="160" t="s">
        <v>1879</v>
      </c>
      <c r="M150" s="329">
        <v>44940</v>
      </c>
      <c r="N150" s="329">
        <v>44940</v>
      </c>
      <c r="O150" s="329">
        <v>44941</v>
      </c>
      <c r="P150" s="329">
        <v>44941</v>
      </c>
      <c r="Q150" s="329">
        <v>44941</v>
      </c>
      <c r="R150" s="160">
        <v>1</v>
      </c>
      <c r="S150" s="160">
        <f t="shared" si="98"/>
        <v>1</v>
      </c>
      <c r="U150" s="353" t="str">
        <f t="shared" si="99"/>
        <v>INSERT INTO TACHES(idTache, numTache, nameTache, descriptionTache, prioTache, stateTache, categoryTache, dateCreateTache, dateInProgressTache, dateToTestTache, dateEndThTache, dateEndRealTache, idProjet) VALUES (fonctionnalité 6, fonctionnalité 6, Confort, Terminée, Realisation, 44940, 44940, 44941, 44941, 44941, 1);</v>
      </c>
    </row>
    <row r="151" spans="6:21" ht="20.05" customHeight="1" outlineLevel="1" x14ac:dyDescent="0.3">
      <c r="F151" s="160">
        <f t="shared" si="100"/>
        <v>17</v>
      </c>
      <c r="G151" s="160">
        <f t="shared" si="101"/>
        <v>17</v>
      </c>
      <c r="H151" s="160" t="s">
        <v>1863</v>
      </c>
      <c r="I151" s="160" t="str">
        <f t="shared" si="96"/>
        <v>fonctionnalité n</v>
      </c>
      <c r="J151" s="160" t="s">
        <v>1867</v>
      </c>
      <c r="K151" s="160" t="s">
        <v>1874</v>
      </c>
      <c r="L151" s="160" t="s">
        <v>1879</v>
      </c>
      <c r="M151" s="329">
        <v>44936</v>
      </c>
      <c r="N151" s="329">
        <v>44936</v>
      </c>
      <c r="O151" s="329">
        <v>44936</v>
      </c>
      <c r="P151" s="329">
        <v>44936</v>
      </c>
      <c r="Q151" s="329">
        <v>44937</v>
      </c>
      <c r="R151" s="160">
        <v>1</v>
      </c>
      <c r="S151" s="160">
        <f t="shared" si="98"/>
        <v>3</v>
      </c>
      <c r="U151" s="353" t="str">
        <f t="shared" si="99"/>
        <v>INSERT INTO TACHES(idTache, numTache, nameTache, descriptionTache, prioTache, stateTache, categoryTache, dateCreateTache, dateInProgressTache, dateToTestTache, dateEndThTache, dateEndRealTache, idProjet) VALUES (fonctionnalité n, fonctionnalité n, Vitale, Terminée, Realisation, 44936, 44936, 44936, 44936, 44937, 1);</v>
      </c>
    </row>
    <row r="152" spans="6:21" ht="28.2" customHeight="1" x14ac:dyDescent="0.3">
      <c r="F152" s="160">
        <f t="shared" si="100"/>
        <v>18</v>
      </c>
      <c r="G152" s="160">
        <f t="shared" si="101"/>
        <v>18</v>
      </c>
      <c r="H152" s="160" t="s">
        <v>1864</v>
      </c>
      <c r="I152" s="160" t="str">
        <f t="shared" si="96"/>
        <v>livraison du projet</v>
      </c>
      <c r="J152" s="160" t="s">
        <v>1867</v>
      </c>
      <c r="K152" s="160" t="s">
        <v>1874</v>
      </c>
      <c r="L152" s="160" t="s">
        <v>1880</v>
      </c>
      <c r="M152" s="329">
        <v>44942</v>
      </c>
      <c r="N152" s="329">
        <v>44942</v>
      </c>
      <c r="O152" s="329">
        <v>44942</v>
      </c>
      <c r="P152" s="329">
        <v>44943</v>
      </c>
      <c r="Q152" s="329">
        <v>44943</v>
      </c>
      <c r="R152" s="160">
        <v>1</v>
      </c>
      <c r="S152" s="160">
        <f t="shared" si="98"/>
        <v>3</v>
      </c>
      <c r="U152" s="353" t="str">
        <f t="shared" si="99"/>
        <v>INSERT INTO TACHES(idTache, numTache, nameTache, descriptionTache, prioTache, stateTache, categoryTache, dateCreateTache, dateInProgressTache, dateToTestTache, dateEndThTache, dateEndRealTache, idProjet) VALUES (livraison du projet, livraison du projet, Vitale, Terminée, Exploitation, 44942, 44942, 44942, 44943, 44943, 1);</v>
      </c>
    </row>
    <row r="153" spans="6:21" ht="20.05" customHeight="1" outlineLevel="1" x14ac:dyDescent="0.3">
      <c r="F153" s="160">
        <f t="shared" si="100"/>
        <v>19</v>
      </c>
      <c r="G153" s="160">
        <v>1</v>
      </c>
      <c r="H153" s="160" t="s">
        <v>1865</v>
      </c>
      <c r="I153" s="160" t="str">
        <f t="shared" si="96"/>
        <v>Validation du DEVIS</v>
      </c>
      <c r="J153" s="160" t="s">
        <v>1867</v>
      </c>
      <c r="K153" s="160" t="s">
        <v>1874</v>
      </c>
      <c r="L153" s="160" t="s">
        <v>1876</v>
      </c>
      <c r="M153" s="329">
        <v>44928</v>
      </c>
      <c r="N153" s="329">
        <f>M153</f>
        <v>44928</v>
      </c>
      <c r="O153" s="329">
        <f>M153</f>
        <v>44928</v>
      </c>
      <c r="P153" s="329">
        <f>M153</f>
        <v>44928</v>
      </c>
      <c r="Q153" s="329">
        <f>M153</f>
        <v>44928</v>
      </c>
      <c r="R153" s="160">
        <v>2</v>
      </c>
      <c r="S153" s="160">
        <f t="shared" si="98"/>
        <v>2</v>
      </c>
      <c r="U153" s="353" t="str">
        <f t="shared" si="99"/>
        <v>INSERT INTO TACHES(idTache, numTache, nameTache, descriptionTache, prioTache, stateTache, categoryTache, dateCreateTache, dateInProgressTache, dateToTestTache, dateEndThTache, dateEndRealTache, idProjet) VALUES (Validation du DEVIS, Validation du DEVIS, Vitale, Terminée, Initialisation, 44928, 44928, 44928, 44928, 44928, 2);</v>
      </c>
    </row>
    <row r="154" spans="6:21" ht="20.05" customHeight="1" outlineLevel="1" x14ac:dyDescent="0.3">
      <c r="F154" s="160">
        <f t="shared" si="100"/>
        <v>20</v>
      </c>
      <c r="G154" s="160">
        <f>G153+1</f>
        <v>2</v>
      </c>
      <c r="H154" s="160" t="s">
        <v>1851</v>
      </c>
      <c r="I154" s="160" t="str">
        <f t="shared" si="96"/>
        <v>rencontre client preciser projet +elaborer cahier des charges + prise de cotes + photos+etc</v>
      </c>
      <c r="J154" s="160" t="s">
        <v>1867</v>
      </c>
      <c r="K154" s="160" t="s">
        <v>1874</v>
      </c>
      <c r="L154" s="160" t="s">
        <v>1876</v>
      </c>
      <c r="M154" s="329">
        <f>Q153</f>
        <v>44928</v>
      </c>
      <c r="N154" s="329">
        <f t="shared" ref="N154:N217" si="102">M154</f>
        <v>44928</v>
      </c>
      <c r="O154" s="329">
        <f>M154</f>
        <v>44928</v>
      </c>
      <c r="P154" s="329">
        <f>M154</f>
        <v>44928</v>
      </c>
      <c r="Q154" s="329">
        <f>M154</f>
        <v>44928</v>
      </c>
      <c r="R154" s="160">
        <v>2</v>
      </c>
      <c r="S154" s="160">
        <f t="shared" si="98"/>
        <v>2</v>
      </c>
      <c r="U154" s="353" t="str">
        <f t="shared" si="99"/>
        <v>INSERT INTO TACHES(idTache, numTache, nameTache, descriptionTache, prioTache, stateTache, categoryTache, dateCreateTache, dateInProgressTache, dateToTestTache, dateEndThTache, dateEndRealTache, idProjet) VALUES (rencontre client preciser projet +elaborer cahier des charges + prise de cotes + photos+etc, rencontre client preciser projet +elaborer cahier des charges + prise de cotes + photos+etc, Vitale, Terminée, Initialisation, 44928, 44928, 44928, 44928, 44928, 2);</v>
      </c>
    </row>
    <row r="155" spans="6:21" ht="20.05" customHeight="1" outlineLevel="1" x14ac:dyDescent="0.3">
      <c r="F155" s="160">
        <f t="shared" si="100"/>
        <v>21</v>
      </c>
      <c r="G155" s="160">
        <f t="shared" ref="G155:G170" si="103">G154+1</f>
        <v>3</v>
      </c>
      <c r="H155" s="160" t="s">
        <v>1866</v>
      </c>
      <c r="I155" s="160" t="str">
        <f t="shared" si="96"/>
        <v>analyse 1 des exigence + Plans + obligations</v>
      </c>
      <c r="J155" s="160" t="s">
        <v>1867</v>
      </c>
      <c r="K155" s="160" t="s">
        <v>1874</v>
      </c>
      <c r="L155" s="160" t="s">
        <v>1877</v>
      </c>
      <c r="M155" s="329">
        <f>Q154</f>
        <v>44928</v>
      </c>
      <c r="N155" s="329">
        <f t="shared" si="102"/>
        <v>44928</v>
      </c>
      <c r="O155" s="329">
        <f>M155</f>
        <v>44928</v>
      </c>
      <c r="P155" s="329">
        <f>M155</f>
        <v>44928</v>
      </c>
      <c r="Q155" s="329">
        <f>M155</f>
        <v>44928</v>
      </c>
      <c r="R155" s="160">
        <v>2</v>
      </c>
      <c r="S155" s="160">
        <f t="shared" si="98"/>
        <v>2</v>
      </c>
      <c r="U155" s="353" t="str">
        <f t="shared" si="99"/>
        <v>INSERT INTO TACHES(idTache, numTache, nameTache, descriptionTache, prioTache, stateTache, categoryTache, dateCreateTache, dateInProgressTache, dateToTestTache, dateEndThTache, dateEndRealTache, idProjet) VALUES (analyse 1 des exigence + Plans + obligations, analyse 1 des exigence + Plans + obligations, Vitale, Terminée, Analyse, 44928, 44928, 44928, 44928, 44928, 2);</v>
      </c>
    </row>
    <row r="156" spans="6:21" ht="20.05" customHeight="1" outlineLevel="1" x14ac:dyDescent="0.3">
      <c r="F156" s="160">
        <f t="shared" si="100"/>
        <v>22</v>
      </c>
      <c r="G156" s="160">
        <f t="shared" si="103"/>
        <v>4</v>
      </c>
      <c r="H156" s="160" t="s">
        <v>1850</v>
      </c>
      <c r="I156" s="160" t="str">
        <f t="shared" si="96"/>
        <v>faire validé la présentation + avec precision clients</v>
      </c>
      <c r="J156" s="160" t="s">
        <v>1867</v>
      </c>
      <c r="K156" s="160" t="s">
        <v>1874</v>
      </c>
      <c r="L156" s="160" t="s">
        <v>1877</v>
      </c>
      <c r="M156" s="329">
        <f>Q155+1</f>
        <v>44929</v>
      </c>
      <c r="N156" s="329">
        <f t="shared" si="102"/>
        <v>44929</v>
      </c>
      <c r="O156" s="329">
        <f>M156</f>
        <v>44929</v>
      </c>
      <c r="P156" s="329">
        <f>M156</f>
        <v>44929</v>
      </c>
      <c r="Q156" s="329">
        <f>M156</f>
        <v>44929</v>
      </c>
      <c r="R156" s="160">
        <v>2</v>
      </c>
      <c r="S156" s="160">
        <f t="shared" si="98"/>
        <v>2</v>
      </c>
      <c r="U156" s="353" t="str">
        <f t="shared" si="99"/>
        <v>INSERT INTO TACHES(idTache, numTache, nameTache, descriptionTache, prioTache, stateTache, categoryTache, dateCreateTache, dateInProgressTache, dateToTestTache, dateEndThTache, dateEndRealTache, idProjet) VALUES (faire validé la présentation + avec precision clients, faire validé la présentation + avec precision clients, Vitale, Terminée, Analyse, 44929, 44929, 44929, 44929, 44929, 2);</v>
      </c>
    </row>
    <row r="157" spans="6:21" ht="78.3" customHeight="1" outlineLevel="1" x14ac:dyDescent="0.3">
      <c r="F157" s="160">
        <f t="shared" si="100"/>
        <v>23</v>
      </c>
      <c r="G157" s="160">
        <f t="shared" si="103"/>
        <v>5</v>
      </c>
      <c r="H157" s="160" t="s">
        <v>1881</v>
      </c>
      <c r="I157" s="160" t="str">
        <f t="shared" si="96"/>
        <v>Analyse approfondie de Conception, fonctionnalités, maquettage, cahier des charges à valider</v>
      </c>
      <c r="J157" s="160" t="s">
        <v>1867</v>
      </c>
      <c r="K157" s="160" t="s">
        <v>1874</v>
      </c>
      <c r="L157" s="160" t="s">
        <v>1878</v>
      </c>
      <c r="M157" s="329">
        <f>Q156</f>
        <v>44929</v>
      </c>
      <c r="N157" s="329">
        <f t="shared" si="102"/>
        <v>44929</v>
      </c>
      <c r="O157" s="329">
        <f>M157</f>
        <v>44929</v>
      </c>
      <c r="P157" s="329">
        <f>O157+1</f>
        <v>44930</v>
      </c>
      <c r="Q157" s="329">
        <f>P157</f>
        <v>44930</v>
      </c>
      <c r="R157" s="160">
        <v>2</v>
      </c>
      <c r="S157" s="160">
        <f t="shared" si="98"/>
        <v>3</v>
      </c>
      <c r="U157" s="353" t="str">
        <f t="shared" si="99"/>
        <v>INSERT INTO TACHES(idTache, numTache, nameTache, descriptionTache, prioTache, stateTache, categoryTache, dateCreateTache, dateInProgressTache, dateToTestTache, dateEndThTache, dateEndRealTache, idProjet) VALUES (Analyse approfondie de Conception, fonctionnalités, maquettage, cahier des charges à valider, Analyse approfondie de Conception, fonctionnalités, maquettage, cahier des charges à valider, Vitale, Terminée, Conception, 44929, 44929, 44929, 44930, 44930, 2);</v>
      </c>
    </row>
    <row r="158" spans="6:21" ht="90.35" customHeight="1" outlineLevel="1" x14ac:dyDescent="0.3">
      <c r="F158" s="160">
        <f t="shared" si="100"/>
        <v>24</v>
      </c>
      <c r="G158" s="160">
        <f t="shared" si="103"/>
        <v>6</v>
      </c>
      <c r="H158" s="160" t="s">
        <v>1852</v>
      </c>
      <c r="I158" s="160" t="str">
        <f t="shared" si="96"/>
        <v>fonctionnalité 1</v>
      </c>
      <c r="J158" s="160" t="s">
        <v>1867</v>
      </c>
      <c r="K158" s="160" t="s">
        <v>1874</v>
      </c>
      <c r="L158" s="160" t="s">
        <v>1879</v>
      </c>
      <c r="M158" s="329">
        <f>Q157+1</f>
        <v>44931</v>
      </c>
      <c r="N158" s="329">
        <f t="shared" si="102"/>
        <v>44931</v>
      </c>
      <c r="O158" s="329">
        <f>N158+5</f>
        <v>44936</v>
      </c>
      <c r="P158" s="329">
        <f>O158+1</f>
        <v>44937</v>
      </c>
      <c r="Q158" s="329">
        <f>P158</f>
        <v>44937</v>
      </c>
      <c r="R158" s="160">
        <v>2</v>
      </c>
      <c r="S158" s="160">
        <f t="shared" si="98"/>
        <v>6</v>
      </c>
      <c r="U158" s="353" t="str">
        <f t="shared" si="99"/>
        <v>INSERT INTO TACHES(idTache, numTache, nameTache, descriptionTache, prioTache, stateTache, categoryTache, dateCreateTache, dateInProgressTache, dateToTestTache, dateEndThTache, dateEndRealTache, idProjet) VALUES (fonctionnalité 1, fonctionnalité 1, Vitale, Terminée, Realisation, 44931, 44931, 44936, 44937, 44937, 2);</v>
      </c>
    </row>
    <row r="159" spans="6:21" ht="90.35" customHeight="1" outlineLevel="1" x14ac:dyDescent="0.3">
      <c r="F159" s="160">
        <f t="shared" si="100"/>
        <v>25</v>
      </c>
      <c r="G159" s="160">
        <f t="shared" si="103"/>
        <v>7</v>
      </c>
      <c r="H159" s="160" t="s">
        <v>1853</v>
      </c>
      <c r="I159" s="160" t="str">
        <f t="shared" si="96"/>
        <v>fonctionnalité 2</v>
      </c>
      <c r="J159" s="160" t="s">
        <v>1867</v>
      </c>
      <c r="K159" s="160" t="s">
        <v>1874</v>
      </c>
      <c r="L159" s="160" t="s">
        <v>1879</v>
      </c>
      <c r="M159" s="329">
        <f>Q158+1</f>
        <v>44938</v>
      </c>
      <c r="N159" s="329">
        <f t="shared" si="102"/>
        <v>44938</v>
      </c>
      <c r="O159" s="329">
        <f>N159+5</f>
        <v>44943</v>
      </c>
      <c r="P159" s="329">
        <f>O159+1</f>
        <v>44944</v>
      </c>
      <c r="Q159" s="329">
        <f>P159</f>
        <v>44944</v>
      </c>
      <c r="R159" s="160">
        <v>2</v>
      </c>
      <c r="S159" s="160">
        <f t="shared" si="98"/>
        <v>6</v>
      </c>
      <c r="U159" s="353" t="str">
        <f t="shared" si="99"/>
        <v>INSERT INTO TACHES(idTache, numTache, nameTache, descriptionTache, prioTache, stateTache, categoryTache, dateCreateTache, dateInProgressTache, dateToTestTache, dateEndThTache, dateEndRealTache, idProjet) VALUES (fonctionnalité 2, fonctionnalité 2, Vitale, Terminée, Realisation, 44938, 44938, 44943, 44944, 44944, 2);</v>
      </c>
    </row>
    <row r="160" spans="6:21" ht="20.05" customHeight="1" outlineLevel="1" x14ac:dyDescent="0.3">
      <c r="F160" s="160">
        <f t="shared" si="100"/>
        <v>26</v>
      </c>
      <c r="G160" s="160">
        <f t="shared" si="103"/>
        <v>8</v>
      </c>
      <c r="H160" s="160" t="s">
        <v>1854</v>
      </c>
      <c r="I160" s="160" t="str">
        <f t="shared" si="96"/>
        <v>fonctionnalité 3</v>
      </c>
      <c r="J160" s="160" t="s">
        <v>1869</v>
      </c>
      <c r="K160" s="160" t="s">
        <v>1874</v>
      </c>
      <c r="L160" s="160" t="s">
        <v>1879</v>
      </c>
      <c r="M160" s="329">
        <f>Q167+1</f>
        <v>44956</v>
      </c>
      <c r="N160" s="329">
        <f t="shared" si="102"/>
        <v>44956</v>
      </c>
      <c r="O160" s="329">
        <f t="shared" ref="O160:O167" si="104">M160</f>
        <v>44956</v>
      </c>
      <c r="P160" s="329">
        <f t="shared" ref="P160:P167" si="105">M160</f>
        <v>44956</v>
      </c>
      <c r="Q160" s="329">
        <f t="shared" ref="Q160:Q167" si="106">M160</f>
        <v>44956</v>
      </c>
      <c r="R160" s="160">
        <v>2</v>
      </c>
      <c r="S160" s="160">
        <f t="shared" si="98"/>
        <v>2</v>
      </c>
      <c r="U160" s="353" t="str">
        <f t="shared" si="99"/>
        <v>INSERT INTO TACHES(idTache, numTache, nameTache, descriptionTache, prioTache, stateTache, categoryTache, dateCreateTache, dateInProgressTache, dateToTestTache, dateEndThTache, dateEndRealTache, idProjet) VALUES (fonctionnalité 3, fonctionnalité 3, Utile, Terminée, Realisation, 44956, 44956, 44956, 44956, 44956, 2);</v>
      </c>
    </row>
    <row r="161" spans="6:21" ht="20.05" customHeight="1" outlineLevel="1" x14ac:dyDescent="0.3">
      <c r="F161" s="160">
        <f t="shared" si="100"/>
        <v>27</v>
      </c>
      <c r="G161" s="160">
        <f t="shared" si="103"/>
        <v>9</v>
      </c>
      <c r="H161" s="160" t="s">
        <v>1858</v>
      </c>
      <c r="I161" s="160" t="str">
        <f t="shared" si="96"/>
        <v>fonctionnalité X</v>
      </c>
      <c r="J161" s="160" t="s">
        <v>1868</v>
      </c>
      <c r="K161" s="160" t="s">
        <v>1874</v>
      </c>
      <c r="L161" s="160" t="s">
        <v>1879</v>
      </c>
      <c r="M161" s="329">
        <f>Q169</f>
        <v>44954</v>
      </c>
      <c r="N161" s="329">
        <f t="shared" si="102"/>
        <v>44954</v>
      </c>
      <c r="O161" s="329">
        <f t="shared" si="104"/>
        <v>44954</v>
      </c>
      <c r="P161" s="329">
        <f t="shared" si="105"/>
        <v>44954</v>
      </c>
      <c r="Q161" s="329">
        <f t="shared" si="106"/>
        <v>44954</v>
      </c>
      <c r="R161" s="160">
        <v>2</v>
      </c>
      <c r="S161" s="160">
        <f t="shared" si="98"/>
        <v>1</v>
      </c>
      <c r="U161" s="353" t="str">
        <f t="shared" si="99"/>
        <v>INSERT INTO TACHES(idTache, numTache, nameTache, descriptionTache, prioTache, stateTache, categoryTache, dateCreateTache, dateInProgressTache, dateToTestTache, dateEndThTache, dateEndRealTache, idProjet) VALUES (fonctionnalité X, fonctionnalité X, Importante, Terminée, Realisation, 44954, 44954, 44954, 44954, 44954, 2);</v>
      </c>
    </row>
    <row r="162" spans="6:21" ht="20.05" customHeight="1" outlineLevel="1" x14ac:dyDescent="0.3">
      <c r="F162" s="160">
        <f t="shared" si="100"/>
        <v>28</v>
      </c>
      <c r="G162" s="160">
        <f t="shared" si="103"/>
        <v>10</v>
      </c>
      <c r="H162" s="160" t="s">
        <v>1859</v>
      </c>
      <c r="I162" s="160" t="str">
        <f t="shared" si="96"/>
        <v>deplacement</v>
      </c>
      <c r="J162" s="160" t="s">
        <v>1867</v>
      </c>
      <c r="K162" s="160" t="s">
        <v>1874</v>
      </c>
      <c r="L162" s="160" t="s">
        <v>1879</v>
      </c>
      <c r="M162" s="329">
        <f>Q159+1</f>
        <v>44945</v>
      </c>
      <c r="N162" s="329">
        <f t="shared" si="102"/>
        <v>44945</v>
      </c>
      <c r="O162" s="329">
        <f t="shared" si="104"/>
        <v>44945</v>
      </c>
      <c r="P162" s="329">
        <f t="shared" si="105"/>
        <v>44945</v>
      </c>
      <c r="Q162" s="329">
        <f>P162+1</f>
        <v>44946</v>
      </c>
      <c r="R162" s="160">
        <v>2</v>
      </c>
      <c r="S162" s="160">
        <f t="shared" si="98"/>
        <v>3</v>
      </c>
      <c r="U162" s="353" t="str">
        <f t="shared" si="99"/>
        <v>INSERT INTO TACHES(idTache, numTache, nameTache, descriptionTache, prioTache, stateTache, categoryTache, dateCreateTache, dateInProgressTache, dateToTestTache, dateEndThTache, dateEndRealTache, idProjet) VALUES (deplacement, deplacement, Vitale, Terminée, Realisation, 44945, 44945, 44945, 44945, 44946, 2);</v>
      </c>
    </row>
    <row r="163" spans="6:21" ht="20.05" customHeight="1" outlineLevel="1" x14ac:dyDescent="0.3">
      <c r="F163" s="160">
        <f t="shared" si="100"/>
        <v>29</v>
      </c>
      <c r="G163" s="160">
        <f t="shared" si="103"/>
        <v>11</v>
      </c>
      <c r="H163" s="160" t="s">
        <v>1860</v>
      </c>
      <c r="I163" s="160" t="str">
        <f t="shared" si="96"/>
        <v>achat des matériaux</v>
      </c>
      <c r="J163" s="160" t="s">
        <v>1867</v>
      </c>
      <c r="K163" s="160" t="s">
        <v>1874</v>
      </c>
      <c r="L163" s="160" t="s">
        <v>1879</v>
      </c>
      <c r="M163" s="329">
        <f>Q162</f>
        <v>44946</v>
      </c>
      <c r="N163" s="329">
        <f t="shared" si="102"/>
        <v>44946</v>
      </c>
      <c r="O163" s="329">
        <f t="shared" si="104"/>
        <v>44946</v>
      </c>
      <c r="P163" s="329">
        <f t="shared" si="105"/>
        <v>44946</v>
      </c>
      <c r="Q163" s="329">
        <f>P163+1</f>
        <v>44947</v>
      </c>
      <c r="R163" s="160">
        <v>2</v>
      </c>
      <c r="S163" s="160">
        <f t="shared" si="98"/>
        <v>2</v>
      </c>
      <c r="U163" s="353" t="str">
        <f t="shared" si="99"/>
        <v>INSERT INTO TACHES(idTache, numTache, nameTache, descriptionTache, prioTache, stateTache, categoryTache, dateCreateTache, dateInProgressTache, dateToTestTache, dateEndThTache, dateEndRealTache, idProjet) VALUES (achat des matériaux, achat des matériaux, Vitale, Terminée, Realisation, 44946, 44946, 44946, 44946, 44947, 2);</v>
      </c>
    </row>
    <row r="164" spans="6:21" ht="20.05" customHeight="1" outlineLevel="1" x14ac:dyDescent="0.3">
      <c r="F164" s="160">
        <f t="shared" si="100"/>
        <v>30</v>
      </c>
      <c r="G164" s="160">
        <f t="shared" si="103"/>
        <v>12</v>
      </c>
      <c r="H164" s="160" t="s">
        <v>1861</v>
      </c>
      <c r="I164" s="160" t="str">
        <f t="shared" si="96"/>
        <v>recruter équipe</v>
      </c>
      <c r="J164" s="160" t="s">
        <v>1867</v>
      </c>
      <c r="K164" s="160" t="s">
        <v>1874</v>
      </c>
      <c r="L164" s="160" t="s">
        <v>1879</v>
      </c>
      <c r="M164" s="329">
        <f>Q163</f>
        <v>44947</v>
      </c>
      <c r="N164" s="329">
        <f t="shared" si="102"/>
        <v>44947</v>
      </c>
      <c r="O164" s="329">
        <f>N164+2</f>
        <v>44949</v>
      </c>
      <c r="P164" s="329">
        <f>O164+1</f>
        <v>44950</v>
      </c>
      <c r="Q164" s="329">
        <f>P164</f>
        <v>44950</v>
      </c>
      <c r="R164" s="160">
        <v>2</v>
      </c>
      <c r="S164" s="160">
        <f t="shared" si="98"/>
        <v>3</v>
      </c>
      <c r="U164" s="353" t="str">
        <f t="shared" si="99"/>
        <v>INSERT INTO TACHES(idTache, numTache, nameTache, descriptionTache, prioTache, stateTache, categoryTache, dateCreateTache, dateInProgressTache, dateToTestTache, dateEndThTache, dateEndRealTache, idProjet) VALUES (recruter équipe, recruter équipe, Vitale, Terminée, Realisation, 44947, 44947, 44949, 44950, 44950, 2);</v>
      </c>
    </row>
    <row r="165" spans="6:21" outlineLevel="1" x14ac:dyDescent="0.3">
      <c r="F165" s="160">
        <f t="shared" si="100"/>
        <v>31</v>
      </c>
      <c r="G165" s="160">
        <f t="shared" si="103"/>
        <v>13</v>
      </c>
      <c r="H165" s="160" t="s">
        <v>1862</v>
      </c>
      <c r="I165" s="160" t="str">
        <f t="shared" si="96"/>
        <v>coordonner chaque membre</v>
      </c>
      <c r="J165" s="160" t="s">
        <v>1867</v>
      </c>
      <c r="K165" s="160" t="s">
        <v>1874</v>
      </c>
      <c r="L165" s="160" t="s">
        <v>1879</v>
      </c>
      <c r="M165" s="329">
        <f>Q164+1</f>
        <v>44951</v>
      </c>
      <c r="N165" s="329">
        <f t="shared" si="102"/>
        <v>44951</v>
      </c>
      <c r="O165" s="329">
        <f t="shared" si="104"/>
        <v>44951</v>
      </c>
      <c r="P165" s="329">
        <f t="shared" si="105"/>
        <v>44951</v>
      </c>
      <c r="Q165" s="329">
        <f t="shared" si="106"/>
        <v>44951</v>
      </c>
      <c r="R165" s="160">
        <v>2</v>
      </c>
      <c r="S165" s="160">
        <f t="shared" si="98"/>
        <v>2</v>
      </c>
      <c r="U165" s="353" t="str">
        <f t="shared" si="99"/>
        <v>INSERT INTO TACHES(idTache, numTache, nameTache, descriptionTache, prioTache, stateTache, categoryTache, dateCreateTache, dateInProgressTache, dateToTestTache, dateEndThTache, dateEndRealTache, idProjet) VALUES (coordonner chaque membre, coordonner chaque membre, Vitale, Terminée, Realisation, 44951, 44951, 44951, 44951, 44951, 2);</v>
      </c>
    </row>
    <row r="166" spans="6:21" ht="28.05" customHeight="1" outlineLevel="1" x14ac:dyDescent="0.3">
      <c r="F166" s="160">
        <f t="shared" si="100"/>
        <v>32</v>
      </c>
      <c r="G166" s="160">
        <f t="shared" si="103"/>
        <v>14</v>
      </c>
      <c r="H166" s="160" t="s">
        <v>1855</v>
      </c>
      <c r="I166" s="160" t="str">
        <f t="shared" si="96"/>
        <v>fonctionnalité 4</v>
      </c>
      <c r="J166" s="160" t="s">
        <v>1867</v>
      </c>
      <c r="K166" s="160" t="s">
        <v>1874</v>
      </c>
      <c r="L166" s="160" t="s">
        <v>1879</v>
      </c>
      <c r="M166" s="329">
        <f>Q165+1</f>
        <v>44952</v>
      </c>
      <c r="N166" s="329">
        <f t="shared" si="102"/>
        <v>44952</v>
      </c>
      <c r="O166" s="329">
        <f t="shared" si="104"/>
        <v>44952</v>
      </c>
      <c r="P166" s="329">
        <f t="shared" si="105"/>
        <v>44952</v>
      </c>
      <c r="Q166" s="329">
        <f t="shared" si="106"/>
        <v>44952</v>
      </c>
      <c r="R166" s="160">
        <v>2</v>
      </c>
      <c r="S166" s="160">
        <f t="shared" si="98"/>
        <v>2</v>
      </c>
      <c r="U166" s="353" t="str">
        <f t="shared" si="99"/>
        <v>INSERT INTO TACHES(idTache, numTache, nameTache, descriptionTache, prioTache, stateTache, categoryTache, dateCreateTache, dateInProgressTache, dateToTestTache, dateEndThTache, dateEndRealTache, idProjet) VALUES (fonctionnalité 4, fonctionnalité 4, Vitale, Terminée, Realisation, 44952, 44952, 44952, 44952, 44952, 2);</v>
      </c>
    </row>
    <row r="167" spans="6:21" ht="30.05" customHeight="1" outlineLevel="1" x14ac:dyDescent="0.3">
      <c r="F167" s="160">
        <f t="shared" si="100"/>
        <v>33</v>
      </c>
      <c r="G167" s="160">
        <f t="shared" si="103"/>
        <v>15</v>
      </c>
      <c r="H167" s="160" t="s">
        <v>1856</v>
      </c>
      <c r="I167" s="160" t="str">
        <f t="shared" ref="I167:I198" si="107">H167</f>
        <v>fonctionnalité 5</v>
      </c>
      <c r="J167" s="160" t="s">
        <v>1868</v>
      </c>
      <c r="K167" s="160" t="s">
        <v>1874</v>
      </c>
      <c r="L167" s="160" t="s">
        <v>1879</v>
      </c>
      <c r="M167" s="329">
        <f>Q161+1</f>
        <v>44955</v>
      </c>
      <c r="N167" s="329">
        <f t="shared" si="102"/>
        <v>44955</v>
      </c>
      <c r="O167" s="329">
        <f t="shared" si="104"/>
        <v>44955</v>
      </c>
      <c r="P167" s="329">
        <f t="shared" si="105"/>
        <v>44955</v>
      </c>
      <c r="Q167" s="329">
        <f t="shared" si="106"/>
        <v>44955</v>
      </c>
      <c r="R167" s="160">
        <v>2</v>
      </c>
      <c r="S167" s="160">
        <f t="shared" si="98"/>
        <v>1</v>
      </c>
      <c r="U167" s="353" t="str">
        <f t="shared" si="99"/>
        <v>INSERT INTO TACHES(idTache, numTache, nameTache, descriptionTache, prioTache, stateTache, categoryTache, dateCreateTache, dateInProgressTache, dateToTestTache, dateEndThTache, dateEndRealTache, idProjet) VALUES (fonctionnalité 5, fonctionnalité 5, Importante, Terminée, Realisation, 44955, 44955, 44955, 44955, 44955, 2);</v>
      </c>
    </row>
    <row r="168" spans="6:21" ht="20.05" customHeight="1" outlineLevel="1" x14ac:dyDescent="0.3">
      <c r="F168" s="160">
        <f t="shared" si="100"/>
        <v>34</v>
      </c>
      <c r="G168" s="160">
        <f t="shared" si="103"/>
        <v>16</v>
      </c>
      <c r="H168" s="160" t="s">
        <v>1857</v>
      </c>
      <c r="I168" s="160" t="str">
        <f t="shared" si="107"/>
        <v>fonctionnalité 6</v>
      </c>
      <c r="J168" s="160" t="s">
        <v>1870</v>
      </c>
      <c r="K168" s="160" t="s">
        <v>1874</v>
      </c>
      <c r="L168" s="160" t="s">
        <v>1879</v>
      </c>
      <c r="M168" s="329">
        <f>Q160+1</f>
        <v>44957</v>
      </c>
      <c r="N168" s="329">
        <f t="shared" si="102"/>
        <v>44957</v>
      </c>
      <c r="O168" s="329">
        <f>N168+1</f>
        <v>44958</v>
      </c>
      <c r="P168" s="329">
        <f>O168</f>
        <v>44958</v>
      </c>
      <c r="Q168" s="329">
        <f>P168</f>
        <v>44958</v>
      </c>
      <c r="R168" s="160">
        <v>2</v>
      </c>
      <c r="S168" s="160">
        <f t="shared" si="98"/>
        <v>3</v>
      </c>
      <c r="U168" s="353" t="str">
        <f t="shared" si="99"/>
        <v>INSERT INTO TACHES(idTache, numTache, nameTache, descriptionTache, prioTache, stateTache, categoryTache, dateCreateTache, dateInProgressTache, dateToTestTache, dateEndThTache, dateEndRealTache, idProjet) VALUES (fonctionnalité 6, fonctionnalité 6, Confort, Terminée, Realisation, 44957, 44957, 44958, 44958, 44958, 2);</v>
      </c>
    </row>
    <row r="169" spans="6:21" ht="20.05" customHeight="1" outlineLevel="1" x14ac:dyDescent="0.3">
      <c r="F169" s="160">
        <f t="shared" si="100"/>
        <v>35</v>
      </c>
      <c r="G169" s="160">
        <f t="shared" si="103"/>
        <v>17</v>
      </c>
      <c r="H169" s="160" t="s">
        <v>1863</v>
      </c>
      <c r="I169" s="160" t="str">
        <f t="shared" si="107"/>
        <v>fonctionnalité n</v>
      </c>
      <c r="J169" s="160" t="s">
        <v>1867</v>
      </c>
      <c r="K169" s="160" t="s">
        <v>1874</v>
      </c>
      <c r="L169" s="160" t="s">
        <v>1879</v>
      </c>
      <c r="M169" s="329">
        <f>Q166+1</f>
        <v>44953</v>
      </c>
      <c r="N169" s="329">
        <f t="shared" si="102"/>
        <v>44953</v>
      </c>
      <c r="O169" s="329">
        <f t="shared" ref="O169:O175" si="108">M169</f>
        <v>44953</v>
      </c>
      <c r="P169" s="329">
        <f>M169</f>
        <v>44953</v>
      </c>
      <c r="Q169" s="329">
        <f>P169+1</f>
        <v>44954</v>
      </c>
      <c r="R169" s="160">
        <v>2</v>
      </c>
      <c r="S169" s="160">
        <f t="shared" si="98"/>
        <v>2</v>
      </c>
      <c r="U169" s="353" t="str">
        <f t="shared" si="99"/>
        <v>INSERT INTO TACHES(idTache, numTache, nameTache, descriptionTache, prioTache, stateTache, categoryTache, dateCreateTache, dateInProgressTache, dateToTestTache, dateEndThTache, dateEndRealTache, idProjet) VALUES (fonctionnalité n, fonctionnalité n, Vitale, Terminée, Realisation, 44953, 44953, 44953, 44953, 44954, 2);</v>
      </c>
    </row>
    <row r="170" spans="6:21" ht="28.2" customHeight="1" x14ac:dyDescent="0.3">
      <c r="F170" s="160">
        <f t="shared" si="100"/>
        <v>36</v>
      </c>
      <c r="G170" s="160">
        <f t="shared" si="103"/>
        <v>18</v>
      </c>
      <c r="H170" s="160" t="s">
        <v>1864</v>
      </c>
      <c r="I170" s="160" t="str">
        <f t="shared" si="107"/>
        <v>livraison du projet</v>
      </c>
      <c r="J170" s="160" t="s">
        <v>1867</v>
      </c>
      <c r="K170" s="160" t="s">
        <v>1874</v>
      </c>
      <c r="L170" s="160" t="s">
        <v>1880</v>
      </c>
      <c r="M170" s="329">
        <f>Q168+1</f>
        <v>44959</v>
      </c>
      <c r="N170" s="329">
        <f t="shared" si="102"/>
        <v>44959</v>
      </c>
      <c r="O170" s="329">
        <f t="shared" si="108"/>
        <v>44959</v>
      </c>
      <c r="P170" s="329">
        <f>O170+1</f>
        <v>44960</v>
      </c>
      <c r="Q170" s="329">
        <f>P170</f>
        <v>44960</v>
      </c>
      <c r="R170" s="160">
        <v>2</v>
      </c>
      <c r="S170" s="160">
        <f t="shared" si="98"/>
        <v>3</v>
      </c>
      <c r="U170" s="353" t="str">
        <f t="shared" si="99"/>
        <v>INSERT INTO TACHES(idTache, numTache, nameTache, descriptionTache, prioTache, stateTache, categoryTache, dateCreateTache, dateInProgressTache, dateToTestTache, dateEndThTache, dateEndRealTache, idProjet) VALUES (livraison du projet, livraison du projet, Vitale, Terminée, Exploitation, 44959, 44959, 44959, 44960, 44960, 2);</v>
      </c>
    </row>
    <row r="171" spans="6:21" ht="20.05" customHeight="1" outlineLevel="1" x14ac:dyDescent="0.3">
      <c r="F171" s="160">
        <f t="shared" ref="F171:F188" si="109">F170+1</f>
        <v>37</v>
      </c>
      <c r="G171" s="160">
        <v>1</v>
      </c>
      <c r="H171" s="160" t="s">
        <v>1865</v>
      </c>
      <c r="I171" s="160" t="str">
        <f t="shared" si="107"/>
        <v>Validation du DEVIS</v>
      </c>
      <c r="J171" s="160" t="s">
        <v>1867</v>
      </c>
      <c r="K171" s="160" t="s">
        <v>1874</v>
      </c>
      <c r="L171" s="160" t="s">
        <v>1876</v>
      </c>
      <c r="M171" s="329">
        <v>44963</v>
      </c>
      <c r="N171" s="329">
        <f>M171</f>
        <v>44963</v>
      </c>
      <c r="O171" s="329">
        <f t="shared" si="108"/>
        <v>44963</v>
      </c>
      <c r="P171" s="329">
        <f>M171</f>
        <v>44963</v>
      </c>
      <c r="Q171" s="329">
        <f>M171</f>
        <v>44963</v>
      </c>
      <c r="R171" s="160">
        <v>3</v>
      </c>
      <c r="S171" s="160">
        <f t="shared" si="98"/>
        <v>2</v>
      </c>
      <c r="U171" s="353" t="str">
        <f t="shared" si="99"/>
        <v>INSERT INTO TACHES(idTache, numTache, nameTache, descriptionTache, prioTache, stateTache, categoryTache, dateCreateTache, dateInProgressTache, dateToTestTache, dateEndThTache, dateEndRealTache, idProjet) VALUES (Validation du DEVIS, Validation du DEVIS, Vitale, Terminée, Initialisation, 44963, 44963, 44963, 44963, 44963, 3);</v>
      </c>
    </row>
    <row r="172" spans="6:21" ht="20.05" customHeight="1" outlineLevel="1" x14ac:dyDescent="0.3">
      <c r="F172" s="160">
        <f t="shared" si="109"/>
        <v>38</v>
      </c>
      <c r="G172" s="160">
        <f>G171+1</f>
        <v>2</v>
      </c>
      <c r="H172" s="160" t="s">
        <v>1851</v>
      </c>
      <c r="I172" s="160" t="str">
        <f t="shared" si="107"/>
        <v>rencontre client preciser projet +elaborer cahier des charges + prise de cotes + photos+etc</v>
      </c>
      <c r="J172" s="160" t="s">
        <v>1867</v>
      </c>
      <c r="K172" s="160" t="s">
        <v>1874</v>
      </c>
      <c r="L172" s="160" t="s">
        <v>1876</v>
      </c>
      <c r="M172" s="329">
        <f>Q171</f>
        <v>44963</v>
      </c>
      <c r="N172" s="329">
        <f t="shared" si="102"/>
        <v>44963</v>
      </c>
      <c r="O172" s="329">
        <f t="shared" si="108"/>
        <v>44963</v>
      </c>
      <c r="P172" s="329">
        <f>M172</f>
        <v>44963</v>
      </c>
      <c r="Q172" s="329">
        <f>M172</f>
        <v>44963</v>
      </c>
      <c r="R172" s="160">
        <v>3</v>
      </c>
      <c r="S172" s="160">
        <f t="shared" si="98"/>
        <v>2</v>
      </c>
      <c r="U172" s="353" t="str">
        <f t="shared" si="99"/>
        <v>INSERT INTO TACHES(idTache, numTache, nameTache, descriptionTache, prioTache, stateTache, categoryTache, dateCreateTache, dateInProgressTache, dateToTestTache, dateEndThTache, dateEndRealTache, idProjet) VALUES (rencontre client preciser projet +elaborer cahier des charges + prise de cotes + photos+etc, rencontre client preciser projet +elaborer cahier des charges + prise de cotes + photos+etc, Vitale, Terminée, Initialisation, 44963, 44963, 44963, 44963, 44963, 3);</v>
      </c>
    </row>
    <row r="173" spans="6:21" ht="20.05" customHeight="1" outlineLevel="1" x14ac:dyDescent="0.3">
      <c r="F173" s="160">
        <f t="shared" si="109"/>
        <v>39</v>
      </c>
      <c r="G173" s="160">
        <f t="shared" ref="G173:G188" si="110">G172+1</f>
        <v>3</v>
      </c>
      <c r="H173" s="160" t="s">
        <v>1866</v>
      </c>
      <c r="I173" s="160" t="str">
        <f t="shared" si="107"/>
        <v>analyse 1 des exigence + Plans + obligations</v>
      </c>
      <c r="J173" s="160" t="s">
        <v>1867</v>
      </c>
      <c r="K173" s="160" t="s">
        <v>1874</v>
      </c>
      <c r="L173" s="160" t="s">
        <v>1877</v>
      </c>
      <c r="M173" s="329">
        <f>Q172</f>
        <v>44963</v>
      </c>
      <c r="N173" s="329">
        <f t="shared" si="102"/>
        <v>44963</v>
      </c>
      <c r="O173" s="329">
        <f t="shared" si="108"/>
        <v>44963</v>
      </c>
      <c r="P173" s="329">
        <f>M173</f>
        <v>44963</v>
      </c>
      <c r="Q173" s="329">
        <f>M173</f>
        <v>44963</v>
      </c>
      <c r="R173" s="160">
        <v>3</v>
      </c>
      <c r="S173" s="160">
        <f t="shared" si="98"/>
        <v>2</v>
      </c>
      <c r="U173" s="353" t="str">
        <f t="shared" si="99"/>
        <v>INSERT INTO TACHES(idTache, numTache, nameTache, descriptionTache, prioTache, stateTache, categoryTache, dateCreateTache, dateInProgressTache, dateToTestTache, dateEndThTache, dateEndRealTache, idProjet) VALUES (analyse 1 des exigence + Plans + obligations, analyse 1 des exigence + Plans + obligations, Vitale, Terminée, Analyse, 44963, 44963, 44963, 44963, 44963, 3);</v>
      </c>
    </row>
    <row r="174" spans="6:21" ht="20.05" customHeight="1" outlineLevel="1" x14ac:dyDescent="0.3">
      <c r="F174" s="160">
        <f t="shared" si="109"/>
        <v>40</v>
      </c>
      <c r="G174" s="160">
        <f t="shared" si="110"/>
        <v>4</v>
      </c>
      <c r="H174" s="160" t="s">
        <v>1850</v>
      </c>
      <c r="I174" s="160" t="str">
        <f t="shared" si="107"/>
        <v>faire validé la présentation + avec precision clients</v>
      </c>
      <c r="J174" s="160" t="s">
        <v>1867</v>
      </c>
      <c r="K174" s="160" t="s">
        <v>1874</v>
      </c>
      <c r="L174" s="160" t="s">
        <v>1877</v>
      </c>
      <c r="M174" s="329">
        <f>Q173+1</f>
        <v>44964</v>
      </c>
      <c r="N174" s="329">
        <f t="shared" si="102"/>
        <v>44964</v>
      </c>
      <c r="O174" s="329">
        <f t="shared" si="108"/>
        <v>44964</v>
      </c>
      <c r="P174" s="329">
        <f>M174</f>
        <v>44964</v>
      </c>
      <c r="Q174" s="329">
        <f>M174</f>
        <v>44964</v>
      </c>
      <c r="R174" s="160">
        <v>3</v>
      </c>
      <c r="S174" s="160">
        <f t="shared" si="98"/>
        <v>2</v>
      </c>
      <c r="U174" s="353" t="str">
        <f t="shared" si="99"/>
        <v>INSERT INTO TACHES(idTache, numTache, nameTache, descriptionTache, prioTache, stateTache, categoryTache, dateCreateTache, dateInProgressTache, dateToTestTache, dateEndThTache, dateEndRealTache, idProjet) VALUES (faire validé la présentation + avec precision clients, faire validé la présentation + avec precision clients, Vitale, Terminée, Analyse, 44964, 44964, 44964, 44964, 44964, 3);</v>
      </c>
    </row>
    <row r="175" spans="6:21" ht="78.3" customHeight="1" outlineLevel="1" x14ac:dyDescent="0.3">
      <c r="F175" s="160">
        <f t="shared" si="109"/>
        <v>41</v>
      </c>
      <c r="G175" s="160">
        <f t="shared" si="110"/>
        <v>5</v>
      </c>
      <c r="H175" s="160" t="s">
        <v>1881</v>
      </c>
      <c r="I175" s="160" t="str">
        <f t="shared" si="107"/>
        <v>Analyse approfondie de Conception, fonctionnalités, maquettage, cahier des charges à valider</v>
      </c>
      <c r="J175" s="160" t="s">
        <v>1867</v>
      </c>
      <c r="K175" s="160" t="s">
        <v>1874</v>
      </c>
      <c r="L175" s="160" t="s">
        <v>1878</v>
      </c>
      <c r="M175" s="329">
        <f>Q174</f>
        <v>44964</v>
      </c>
      <c r="N175" s="329">
        <f t="shared" si="102"/>
        <v>44964</v>
      </c>
      <c r="O175" s="329">
        <f t="shared" si="108"/>
        <v>44964</v>
      </c>
      <c r="P175" s="329">
        <f>O175+1</f>
        <v>44965</v>
      </c>
      <c r="Q175" s="329">
        <f>P175</f>
        <v>44965</v>
      </c>
      <c r="R175" s="160">
        <v>3</v>
      </c>
      <c r="S175" s="160">
        <f t="shared" si="98"/>
        <v>3</v>
      </c>
      <c r="U175" s="353" t="str">
        <f t="shared" si="99"/>
        <v>INSERT INTO TACHES(idTache, numTache, nameTache, descriptionTache, prioTache, stateTache, categoryTache, dateCreateTache, dateInProgressTache, dateToTestTache, dateEndThTache, dateEndRealTache, idProjet) VALUES (Analyse approfondie de Conception, fonctionnalités, maquettage, cahier des charges à valider, Analyse approfondie de Conception, fonctionnalités, maquettage, cahier des charges à valider, Vitale, Terminée, Conception, 44964, 44964, 44964, 44965, 44965, 3);</v>
      </c>
    </row>
    <row r="176" spans="6:21" ht="90.35" customHeight="1" outlineLevel="1" x14ac:dyDescent="0.3">
      <c r="F176" s="160">
        <f t="shared" si="109"/>
        <v>42</v>
      </c>
      <c r="G176" s="160">
        <f t="shared" si="110"/>
        <v>6</v>
      </c>
      <c r="H176" s="160" t="s">
        <v>1852</v>
      </c>
      <c r="I176" s="160" t="str">
        <f t="shared" si="107"/>
        <v>fonctionnalité 1</v>
      </c>
      <c r="J176" s="160" t="s">
        <v>1867</v>
      </c>
      <c r="K176" s="160" t="s">
        <v>1874</v>
      </c>
      <c r="L176" s="160" t="s">
        <v>1879</v>
      </c>
      <c r="M176" s="329">
        <f>Q175+1</f>
        <v>44966</v>
      </c>
      <c r="N176" s="329">
        <f t="shared" si="102"/>
        <v>44966</v>
      </c>
      <c r="O176" s="329">
        <f>N176+0</f>
        <v>44966</v>
      </c>
      <c r="P176" s="329">
        <f>O176+0</f>
        <v>44966</v>
      </c>
      <c r="Q176" s="329">
        <f>P176</f>
        <v>44966</v>
      </c>
      <c r="R176" s="160">
        <v>3</v>
      </c>
      <c r="S176" s="160">
        <f t="shared" si="98"/>
        <v>2</v>
      </c>
      <c r="U176" s="353" t="str">
        <f t="shared" si="99"/>
        <v>INSERT INTO TACHES(idTache, numTache, nameTache, descriptionTache, prioTache, stateTache, categoryTache, dateCreateTache, dateInProgressTache, dateToTestTache, dateEndThTache, dateEndRealTache, idProjet) VALUES (fonctionnalité 1, fonctionnalité 1, Vitale, Terminée, Realisation, 44966, 44966, 44966, 44966, 44966, 3);</v>
      </c>
    </row>
    <row r="177" spans="6:21" ht="90.35" customHeight="1" outlineLevel="1" x14ac:dyDescent="0.3">
      <c r="F177" s="160">
        <f t="shared" si="109"/>
        <v>43</v>
      </c>
      <c r="G177" s="160">
        <f t="shared" si="110"/>
        <v>7</v>
      </c>
      <c r="H177" s="160" t="s">
        <v>1853</v>
      </c>
      <c r="I177" s="160" t="str">
        <f t="shared" si="107"/>
        <v>fonctionnalité 2</v>
      </c>
      <c r="J177" s="160" t="s">
        <v>1867</v>
      </c>
      <c r="K177" s="160" t="s">
        <v>1874</v>
      </c>
      <c r="L177" s="160" t="s">
        <v>1879</v>
      </c>
      <c r="M177" s="329">
        <f>Q176+1</f>
        <v>44967</v>
      </c>
      <c r="N177" s="329">
        <f t="shared" si="102"/>
        <v>44967</v>
      </c>
      <c r="O177" s="329">
        <f>N177+0</f>
        <v>44967</v>
      </c>
      <c r="P177" s="329">
        <f>O177+0</f>
        <v>44967</v>
      </c>
      <c r="Q177" s="329">
        <f>P177</f>
        <v>44967</v>
      </c>
      <c r="R177" s="160">
        <v>3</v>
      </c>
      <c r="S177" s="160">
        <f t="shared" si="98"/>
        <v>2</v>
      </c>
      <c r="U177" s="353" t="str">
        <f t="shared" si="99"/>
        <v>INSERT INTO TACHES(idTache, numTache, nameTache, descriptionTache, prioTache, stateTache, categoryTache, dateCreateTache, dateInProgressTache, dateToTestTache, dateEndThTache, dateEndRealTache, idProjet) VALUES (fonctionnalité 2, fonctionnalité 2, Vitale, Terminée, Realisation, 44967, 44967, 44967, 44967, 44967, 3);</v>
      </c>
    </row>
    <row r="178" spans="6:21" ht="20.05" customHeight="1" outlineLevel="1" x14ac:dyDescent="0.3">
      <c r="F178" s="160">
        <f t="shared" si="109"/>
        <v>44</v>
      </c>
      <c r="G178" s="160">
        <f t="shared" si="110"/>
        <v>8</v>
      </c>
      <c r="H178" s="160" t="s">
        <v>1854</v>
      </c>
      <c r="I178" s="160" t="str">
        <f t="shared" si="107"/>
        <v>fonctionnalité 3</v>
      </c>
      <c r="J178" s="160" t="s">
        <v>1869</v>
      </c>
      <c r="K178" s="160" t="s">
        <v>1874</v>
      </c>
      <c r="L178" s="160" t="s">
        <v>1879</v>
      </c>
      <c r="M178" s="329">
        <f>Q185+1</f>
        <v>44978</v>
      </c>
      <c r="N178" s="329">
        <f t="shared" si="102"/>
        <v>44978</v>
      </c>
      <c r="O178" s="329">
        <f>M178</f>
        <v>44978</v>
      </c>
      <c r="P178" s="329">
        <f>M178</f>
        <v>44978</v>
      </c>
      <c r="Q178" s="329">
        <f>M178</f>
        <v>44978</v>
      </c>
      <c r="R178" s="160">
        <v>3</v>
      </c>
      <c r="S178" s="160">
        <f t="shared" si="98"/>
        <v>2</v>
      </c>
      <c r="U178" s="353" t="str">
        <f t="shared" si="99"/>
        <v>INSERT INTO TACHES(idTache, numTache, nameTache, descriptionTache, prioTache, stateTache, categoryTache, dateCreateTache, dateInProgressTache, dateToTestTache, dateEndThTache, dateEndRealTache, idProjet) VALUES (fonctionnalité 3, fonctionnalité 3, Utile, Terminée, Realisation, 44978, 44978, 44978, 44978, 44978, 3);</v>
      </c>
    </row>
    <row r="179" spans="6:21" ht="20.05" customHeight="1" outlineLevel="1" x14ac:dyDescent="0.3">
      <c r="F179" s="160">
        <f t="shared" si="109"/>
        <v>45</v>
      </c>
      <c r="G179" s="160">
        <f t="shared" si="110"/>
        <v>9</v>
      </c>
      <c r="H179" s="160" t="s">
        <v>1858</v>
      </c>
      <c r="I179" s="160" t="str">
        <f t="shared" si="107"/>
        <v>fonctionnalité X</v>
      </c>
      <c r="J179" s="160" t="s">
        <v>1868</v>
      </c>
      <c r="K179" s="160" t="s">
        <v>1874</v>
      </c>
      <c r="L179" s="160" t="s">
        <v>1879</v>
      </c>
      <c r="M179" s="329">
        <f>Q187</f>
        <v>44976</v>
      </c>
      <c r="N179" s="329">
        <f t="shared" si="102"/>
        <v>44976</v>
      </c>
      <c r="O179" s="329">
        <f>M179</f>
        <v>44976</v>
      </c>
      <c r="P179" s="329">
        <f>M179</f>
        <v>44976</v>
      </c>
      <c r="Q179" s="329">
        <f>M179</f>
        <v>44976</v>
      </c>
      <c r="R179" s="160">
        <v>3</v>
      </c>
      <c r="S179" s="160">
        <f t="shared" si="98"/>
        <v>1</v>
      </c>
      <c r="U179" s="353" t="str">
        <f t="shared" si="99"/>
        <v>INSERT INTO TACHES(idTache, numTache, nameTache, descriptionTache, prioTache, stateTache, categoryTache, dateCreateTache, dateInProgressTache, dateToTestTache, dateEndThTache, dateEndRealTache, idProjet) VALUES (fonctionnalité X, fonctionnalité X, Importante, Terminée, Realisation, 44976, 44976, 44976, 44976, 44976, 3);</v>
      </c>
    </row>
    <row r="180" spans="6:21" ht="20.05" customHeight="1" outlineLevel="1" x14ac:dyDescent="0.3">
      <c r="F180" s="160">
        <f t="shared" si="109"/>
        <v>46</v>
      </c>
      <c r="G180" s="160">
        <f t="shared" si="110"/>
        <v>10</v>
      </c>
      <c r="H180" s="160" t="s">
        <v>1859</v>
      </c>
      <c r="I180" s="160" t="str">
        <f t="shared" si="107"/>
        <v>deplacement</v>
      </c>
      <c r="J180" s="160" t="s">
        <v>1867</v>
      </c>
      <c r="K180" s="160" t="s">
        <v>1874</v>
      </c>
      <c r="L180" s="160" t="s">
        <v>1879</v>
      </c>
      <c r="M180" s="329">
        <f>Q177+1</f>
        <v>44968</v>
      </c>
      <c r="N180" s="329">
        <f t="shared" si="102"/>
        <v>44968</v>
      </c>
      <c r="O180" s="329">
        <f>M180</f>
        <v>44968</v>
      </c>
      <c r="P180" s="329">
        <f>M180</f>
        <v>44968</v>
      </c>
      <c r="Q180" s="329">
        <f>P180+1</f>
        <v>44969</v>
      </c>
      <c r="R180" s="160">
        <v>3</v>
      </c>
      <c r="S180" s="160">
        <f t="shared" si="98"/>
        <v>1</v>
      </c>
      <c r="U180" s="353" t="str">
        <f t="shared" si="99"/>
        <v>INSERT INTO TACHES(idTache, numTache, nameTache, descriptionTache, prioTache, stateTache, categoryTache, dateCreateTache, dateInProgressTache, dateToTestTache, dateEndThTache, dateEndRealTache, idProjet) VALUES (deplacement, deplacement, Vitale, Terminée, Realisation, 44968, 44968, 44968, 44968, 44969, 3);</v>
      </c>
    </row>
    <row r="181" spans="6:21" ht="20.05" customHeight="1" outlineLevel="1" x14ac:dyDescent="0.3">
      <c r="F181" s="160">
        <f t="shared" si="109"/>
        <v>47</v>
      </c>
      <c r="G181" s="160">
        <f t="shared" si="110"/>
        <v>11</v>
      </c>
      <c r="H181" s="160" t="s">
        <v>1860</v>
      </c>
      <c r="I181" s="160" t="str">
        <f t="shared" si="107"/>
        <v>achat des matériaux</v>
      </c>
      <c r="J181" s="160" t="s">
        <v>1867</v>
      </c>
      <c r="K181" s="160" t="s">
        <v>1874</v>
      </c>
      <c r="L181" s="160" t="s">
        <v>1879</v>
      </c>
      <c r="M181" s="329">
        <f>Q180</f>
        <v>44969</v>
      </c>
      <c r="N181" s="329">
        <f t="shared" si="102"/>
        <v>44969</v>
      </c>
      <c r="O181" s="329">
        <f>M181</f>
        <v>44969</v>
      </c>
      <c r="P181" s="329">
        <f>M181</f>
        <v>44969</v>
      </c>
      <c r="Q181" s="329">
        <f>P181+1</f>
        <v>44970</v>
      </c>
      <c r="R181" s="160">
        <v>3</v>
      </c>
      <c r="S181" s="160">
        <f t="shared" si="98"/>
        <v>2</v>
      </c>
      <c r="U181" s="353" t="str">
        <f t="shared" si="99"/>
        <v>INSERT INTO TACHES(idTache, numTache, nameTache, descriptionTache, prioTache, stateTache, categoryTache, dateCreateTache, dateInProgressTache, dateToTestTache, dateEndThTache, dateEndRealTache, idProjet) VALUES (achat des matériaux, achat des matériaux, Vitale, Terminée, Realisation, 44969, 44969, 44969, 44969, 44970, 3);</v>
      </c>
    </row>
    <row r="182" spans="6:21" ht="20.05" customHeight="1" outlineLevel="1" x14ac:dyDescent="0.3">
      <c r="F182" s="160">
        <f t="shared" si="109"/>
        <v>48</v>
      </c>
      <c r="G182" s="160">
        <f t="shared" si="110"/>
        <v>12</v>
      </c>
      <c r="H182" s="160" t="s">
        <v>1861</v>
      </c>
      <c r="I182" s="160" t="str">
        <f t="shared" si="107"/>
        <v>recruter équipe</v>
      </c>
      <c r="J182" s="160" t="s">
        <v>1867</v>
      </c>
      <c r="K182" s="160" t="s">
        <v>1874</v>
      </c>
      <c r="L182" s="160" t="s">
        <v>1879</v>
      </c>
      <c r="M182" s="329">
        <f>Q181</f>
        <v>44970</v>
      </c>
      <c r="N182" s="329">
        <f t="shared" si="102"/>
        <v>44970</v>
      </c>
      <c r="O182" s="329">
        <f>N182+2</f>
        <v>44972</v>
      </c>
      <c r="P182" s="329">
        <f>O182+0</f>
        <v>44972</v>
      </c>
      <c r="Q182" s="329">
        <f>P182</f>
        <v>44972</v>
      </c>
      <c r="R182" s="160">
        <v>3</v>
      </c>
      <c r="S182" s="160">
        <f t="shared" si="98"/>
        <v>4</v>
      </c>
      <c r="U182" s="353" t="str">
        <f t="shared" si="99"/>
        <v>INSERT INTO TACHES(idTache, numTache, nameTache, descriptionTache, prioTache, stateTache, categoryTache, dateCreateTache, dateInProgressTache, dateToTestTache, dateEndThTache, dateEndRealTache, idProjet) VALUES (recruter équipe, recruter équipe, Vitale, Terminée, Realisation, 44970, 44970, 44972, 44972, 44972, 3);</v>
      </c>
    </row>
    <row r="183" spans="6:21" outlineLevel="1" x14ac:dyDescent="0.3">
      <c r="F183" s="160">
        <f t="shared" si="109"/>
        <v>49</v>
      </c>
      <c r="G183" s="160">
        <f t="shared" si="110"/>
        <v>13</v>
      </c>
      <c r="H183" s="160" t="s">
        <v>1862</v>
      </c>
      <c r="I183" s="160" t="str">
        <f t="shared" si="107"/>
        <v>coordonner chaque membre</v>
      </c>
      <c r="J183" s="160" t="s">
        <v>1867</v>
      </c>
      <c r="K183" s="160" t="s">
        <v>1874</v>
      </c>
      <c r="L183" s="160" t="s">
        <v>1879</v>
      </c>
      <c r="M183" s="329">
        <f>Q182+1</f>
        <v>44973</v>
      </c>
      <c r="N183" s="329">
        <f t="shared" si="102"/>
        <v>44973</v>
      </c>
      <c r="O183" s="329">
        <f>M183</f>
        <v>44973</v>
      </c>
      <c r="P183" s="329">
        <f>M183</f>
        <v>44973</v>
      </c>
      <c r="Q183" s="329">
        <f>M183</f>
        <v>44973</v>
      </c>
      <c r="R183" s="160">
        <v>3</v>
      </c>
      <c r="S183" s="160">
        <f t="shared" si="98"/>
        <v>2</v>
      </c>
      <c r="U183" s="353" t="str">
        <f t="shared" si="99"/>
        <v>INSERT INTO TACHES(idTache, numTache, nameTache, descriptionTache, prioTache, stateTache, categoryTache, dateCreateTache, dateInProgressTache, dateToTestTache, dateEndThTache, dateEndRealTache, idProjet) VALUES (coordonner chaque membre, coordonner chaque membre, Vitale, Terminée, Realisation, 44973, 44973, 44973, 44973, 44973, 3);</v>
      </c>
    </row>
    <row r="184" spans="6:21" ht="28.05" customHeight="1" outlineLevel="1" x14ac:dyDescent="0.3">
      <c r="F184" s="160">
        <f t="shared" si="109"/>
        <v>50</v>
      </c>
      <c r="G184" s="160">
        <f t="shared" si="110"/>
        <v>14</v>
      </c>
      <c r="H184" s="160" t="s">
        <v>1855</v>
      </c>
      <c r="I184" s="160" t="str">
        <f t="shared" si="107"/>
        <v>fonctionnalité 4</v>
      </c>
      <c r="J184" s="160" t="s">
        <v>1867</v>
      </c>
      <c r="K184" s="160" t="s">
        <v>1874</v>
      </c>
      <c r="L184" s="160" t="s">
        <v>1879</v>
      </c>
      <c r="M184" s="329">
        <f>Q183+1</f>
        <v>44974</v>
      </c>
      <c r="N184" s="329">
        <f t="shared" si="102"/>
        <v>44974</v>
      </c>
      <c r="O184" s="329">
        <f>M184</f>
        <v>44974</v>
      </c>
      <c r="P184" s="329">
        <f>M184</f>
        <v>44974</v>
      </c>
      <c r="Q184" s="329">
        <f>M184</f>
        <v>44974</v>
      </c>
      <c r="R184" s="160">
        <v>3</v>
      </c>
      <c r="S184" s="160">
        <f t="shared" si="98"/>
        <v>2</v>
      </c>
      <c r="U184" s="353" t="str">
        <f t="shared" si="99"/>
        <v>INSERT INTO TACHES(idTache, numTache, nameTache, descriptionTache, prioTache, stateTache, categoryTache, dateCreateTache, dateInProgressTache, dateToTestTache, dateEndThTache, dateEndRealTache, idProjet) VALUES (fonctionnalité 4, fonctionnalité 4, Vitale, Terminée, Realisation, 44974, 44974, 44974, 44974, 44974, 3);</v>
      </c>
    </row>
    <row r="185" spans="6:21" ht="30.05" customHeight="1" outlineLevel="1" x14ac:dyDescent="0.3">
      <c r="F185" s="160">
        <f t="shared" si="109"/>
        <v>51</v>
      </c>
      <c r="G185" s="160">
        <f t="shared" si="110"/>
        <v>15</v>
      </c>
      <c r="H185" s="160" t="s">
        <v>1856</v>
      </c>
      <c r="I185" s="160" t="str">
        <f t="shared" si="107"/>
        <v>fonctionnalité 5</v>
      </c>
      <c r="J185" s="160" t="s">
        <v>1868</v>
      </c>
      <c r="K185" s="160" t="s">
        <v>1874</v>
      </c>
      <c r="L185" s="160" t="s">
        <v>1879</v>
      </c>
      <c r="M185" s="329">
        <f>Q179+1</f>
        <v>44977</v>
      </c>
      <c r="N185" s="329">
        <f t="shared" si="102"/>
        <v>44977</v>
      </c>
      <c r="O185" s="329">
        <f>M185</f>
        <v>44977</v>
      </c>
      <c r="P185" s="329">
        <f>M185</f>
        <v>44977</v>
      </c>
      <c r="Q185" s="329">
        <f>M185</f>
        <v>44977</v>
      </c>
      <c r="R185" s="160">
        <v>3</v>
      </c>
      <c r="S185" s="160">
        <f t="shared" si="98"/>
        <v>2</v>
      </c>
      <c r="U185" s="353" t="str">
        <f t="shared" si="99"/>
        <v>INSERT INTO TACHES(idTache, numTache, nameTache, descriptionTache, prioTache, stateTache, categoryTache, dateCreateTache, dateInProgressTache, dateToTestTache, dateEndThTache, dateEndRealTache, idProjet) VALUES (fonctionnalité 5, fonctionnalité 5, Importante, Terminée, Realisation, 44977, 44977, 44977, 44977, 44977, 3);</v>
      </c>
    </row>
    <row r="186" spans="6:21" ht="20.05" customHeight="1" outlineLevel="1" x14ac:dyDescent="0.3">
      <c r="F186" s="160">
        <f t="shared" si="109"/>
        <v>52</v>
      </c>
      <c r="G186" s="160">
        <f t="shared" si="110"/>
        <v>16</v>
      </c>
      <c r="H186" s="160" t="s">
        <v>1857</v>
      </c>
      <c r="I186" s="160" t="str">
        <f t="shared" si="107"/>
        <v>fonctionnalité 6</v>
      </c>
      <c r="J186" s="160" t="s">
        <v>1870</v>
      </c>
      <c r="K186" s="160" t="s">
        <v>1874</v>
      </c>
      <c r="L186" s="160" t="s">
        <v>1879</v>
      </c>
      <c r="M186" s="329">
        <f>Q178+1</f>
        <v>44979</v>
      </c>
      <c r="N186" s="329">
        <f t="shared" si="102"/>
        <v>44979</v>
      </c>
      <c r="O186" s="329">
        <f>N186+1</f>
        <v>44980</v>
      </c>
      <c r="P186" s="329">
        <f>O186</f>
        <v>44980</v>
      </c>
      <c r="Q186" s="329">
        <f>P186</f>
        <v>44980</v>
      </c>
      <c r="R186" s="160">
        <v>3</v>
      </c>
      <c r="S186" s="160">
        <f t="shared" si="98"/>
        <v>3</v>
      </c>
      <c r="U186" s="353" t="str">
        <f t="shared" si="99"/>
        <v>INSERT INTO TACHES(idTache, numTache, nameTache, descriptionTache, prioTache, stateTache, categoryTache, dateCreateTache, dateInProgressTache, dateToTestTache, dateEndThTache, dateEndRealTache, idProjet) VALUES (fonctionnalité 6, fonctionnalité 6, Confort, Terminée, Realisation, 44979, 44979, 44980, 44980, 44980, 3);</v>
      </c>
    </row>
    <row r="187" spans="6:21" ht="20.05" customHeight="1" outlineLevel="1" x14ac:dyDescent="0.3">
      <c r="F187" s="160">
        <f t="shared" si="109"/>
        <v>53</v>
      </c>
      <c r="G187" s="160">
        <f t="shared" si="110"/>
        <v>17</v>
      </c>
      <c r="H187" s="160" t="s">
        <v>1863</v>
      </c>
      <c r="I187" s="160" t="str">
        <f t="shared" si="107"/>
        <v>fonctionnalité n</v>
      </c>
      <c r="J187" s="160" t="s">
        <v>1867</v>
      </c>
      <c r="K187" s="160" t="s">
        <v>1874</v>
      </c>
      <c r="L187" s="160" t="s">
        <v>1879</v>
      </c>
      <c r="M187" s="329">
        <f>Q184+1</f>
        <v>44975</v>
      </c>
      <c r="N187" s="329">
        <f t="shared" si="102"/>
        <v>44975</v>
      </c>
      <c r="O187" s="329">
        <f t="shared" ref="O187:O193" si="111">M187</f>
        <v>44975</v>
      </c>
      <c r="P187" s="329">
        <f>M187</f>
        <v>44975</v>
      </c>
      <c r="Q187" s="329">
        <f>P187+1</f>
        <v>44976</v>
      </c>
      <c r="R187" s="160">
        <v>3</v>
      </c>
      <c r="S187" s="160">
        <f t="shared" si="98"/>
        <v>1</v>
      </c>
      <c r="U187" s="353" t="str">
        <f t="shared" si="99"/>
        <v>INSERT INTO TACHES(idTache, numTache, nameTache, descriptionTache, prioTache, stateTache, categoryTache, dateCreateTache, dateInProgressTache, dateToTestTache, dateEndThTache, dateEndRealTache, idProjet) VALUES (fonctionnalité n, fonctionnalité n, Vitale, Terminée, Realisation, 44975, 44975, 44975, 44975, 44976, 3);</v>
      </c>
    </row>
    <row r="188" spans="6:21" ht="28.2" customHeight="1" x14ac:dyDescent="0.3">
      <c r="F188" s="160">
        <f t="shared" si="109"/>
        <v>54</v>
      </c>
      <c r="G188" s="160">
        <f t="shared" si="110"/>
        <v>18</v>
      </c>
      <c r="H188" s="160" t="s">
        <v>1864</v>
      </c>
      <c r="I188" s="160" t="str">
        <f t="shared" si="107"/>
        <v>livraison du projet</v>
      </c>
      <c r="J188" s="160" t="s">
        <v>1867</v>
      </c>
      <c r="K188" s="160" t="s">
        <v>1874</v>
      </c>
      <c r="L188" s="160" t="s">
        <v>1880</v>
      </c>
      <c r="M188" s="329">
        <f>Q186+1</f>
        <v>44981</v>
      </c>
      <c r="N188" s="329">
        <f t="shared" si="102"/>
        <v>44981</v>
      </c>
      <c r="O188" s="329">
        <f t="shared" si="111"/>
        <v>44981</v>
      </c>
      <c r="P188" s="329">
        <f>O188+0</f>
        <v>44981</v>
      </c>
      <c r="Q188" s="329">
        <f>P188</f>
        <v>44981</v>
      </c>
      <c r="R188" s="160">
        <v>3</v>
      </c>
      <c r="S188" s="160">
        <f t="shared" si="98"/>
        <v>2</v>
      </c>
      <c r="U188" s="353" t="str">
        <f t="shared" si="99"/>
        <v>INSERT INTO TACHES(idTache, numTache, nameTache, descriptionTache, prioTache, stateTache, categoryTache, dateCreateTache, dateInProgressTache, dateToTestTache, dateEndThTache, dateEndRealTache, idProjet) VALUES (livraison du projet, livraison du projet, Vitale, Terminée, Exploitation, 44981, 44981, 44981, 44981, 44981, 3);</v>
      </c>
    </row>
    <row r="189" spans="6:21" ht="20.05" customHeight="1" outlineLevel="1" x14ac:dyDescent="0.3">
      <c r="F189" s="160">
        <f t="shared" ref="F189:F224" si="112">F188+1</f>
        <v>55</v>
      </c>
      <c r="G189" s="160">
        <v>1</v>
      </c>
      <c r="H189" s="160" t="s">
        <v>1865</v>
      </c>
      <c r="I189" s="160" t="str">
        <f t="shared" si="107"/>
        <v>Validation du DEVIS</v>
      </c>
      <c r="J189" s="160" t="s">
        <v>1867</v>
      </c>
      <c r="K189" s="160" t="s">
        <v>1874</v>
      </c>
      <c r="L189" s="160" t="s">
        <v>1876</v>
      </c>
      <c r="M189" s="329">
        <v>44984</v>
      </c>
      <c r="N189" s="329">
        <f>M189</f>
        <v>44984</v>
      </c>
      <c r="O189" s="329">
        <f t="shared" si="111"/>
        <v>44984</v>
      </c>
      <c r="P189" s="329">
        <f>M189</f>
        <v>44984</v>
      </c>
      <c r="Q189" s="329">
        <f>M189</f>
        <v>44984</v>
      </c>
      <c r="R189" s="160">
        <v>4</v>
      </c>
      <c r="S189" s="160">
        <f t="shared" si="98"/>
        <v>2</v>
      </c>
      <c r="U189" s="353" t="str">
        <f t="shared" si="99"/>
        <v>INSERT INTO TACHES(idTache, numTache, nameTache, descriptionTache, prioTache, stateTache, categoryTache, dateCreateTache, dateInProgressTache, dateToTestTache, dateEndThTache, dateEndRealTache, idProjet) VALUES (Validation du DEVIS, Validation du DEVIS, Vitale, Terminée, Initialisation, 44984, 44984, 44984, 44984, 44984, 4);</v>
      </c>
    </row>
    <row r="190" spans="6:21" ht="20.05" customHeight="1" outlineLevel="1" x14ac:dyDescent="0.3">
      <c r="F190" s="160">
        <f t="shared" si="112"/>
        <v>56</v>
      </c>
      <c r="G190" s="160">
        <f>G189+1</f>
        <v>2</v>
      </c>
      <c r="H190" s="160" t="s">
        <v>1851</v>
      </c>
      <c r="I190" s="160" t="str">
        <f t="shared" si="107"/>
        <v>rencontre client preciser projet +elaborer cahier des charges + prise de cotes + photos+etc</v>
      </c>
      <c r="J190" s="160" t="s">
        <v>1867</v>
      </c>
      <c r="K190" s="160" t="s">
        <v>1874</v>
      </c>
      <c r="L190" s="160" t="s">
        <v>1876</v>
      </c>
      <c r="M190" s="329">
        <f>Q189</f>
        <v>44984</v>
      </c>
      <c r="N190" s="329">
        <f t="shared" si="102"/>
        <v>44984</v>
      </c>
      <c r="O190" s="329">
        <f t="shared" si="111"/>
        <v>44984</v>
      </c>
      <c r="P190" s="329">
        <f>M190</f>
        <v>44984</v>
      </c>
      <c r="Q190" s="329">
        <f>M190</f>
        <v>44984</v>
      </c>
      <c r="R190" s="160">
        <v>4</v>
      </c>
      <c r="S190" s="160">
        <f t="shared" si="98"/>
        <v>2</v>
      </c>
      <c r="U190" s="353" t="str">
        <f t="shared" si="99"/>
        <v>INSERT INTO TACHES(idTache, numTache, nameTache, descriptionTache, prioTache, stateTache, categoryTache, dateCreateTache, dateInProgressTache, dateToTestTache, dateEndThTache, dateEndRealTache, idProjet) VALUES (rencontre client preciser projet +elaborer cahier des charges + prise de cotes + photos+etc, rencontre client preciser projet +elaborer cahier des charges + prise de cotes + photos+etc, Vitale, Terminée, Initialisation, 44984, 44984, 44984, 44984, 44984, 4);</v>
      </c>
    </row>
    <row r="191" spans="6:21" ht="20.05" customHeight="1" outlineLevel="1" x14ac:dyDescent="0.3">
      <c r="F191" s="160">
        <f t="shared" si="112"/>
        <v>57</v>
      </c>
      <c r="G191" s="160">
        <f t="shared" ref="G191:G206" si="113">G190+1</f>
        <v>3</v>
      </c>
      <c r="H191" s="160" t="s">
        <v>1866</v>
      </c>
      <c r="I191" s="160" t="str">
        <f t="shared" si="107"/>
        <v>analyse 1 des exigence + Plans + obligations</v>
      </c>
      <c r="J191" s="160" t="s">
        <v>1867</v>
      </c>
      <c r="K191" s="160" t="s">
        <v>1874</v>
      </c>
      <c r="L191" s="160" t="s">
        <v>1877</v>
      </c>
      <c r="M191" s="329">
        <f>Q190</f>
        <v>44984</v>
      </c>
      <c r="N191" s="329">
        <f t="shared" si="102"/>
        <v>44984</v>
      </c>
      <c r="O191" s="329">
        <f t="shared" si="111"/>
        <v>44984</v>
      </c>
      <c r="P191" s="329">
        <f>M191</f>
        <v>44984</v>
      </c>
      <c r="Q191" s="329">
        <f>M191</f>
        <v>44984</v>
      </c>
      <c r="R191" s="160">
        <v>4</v>
      </c>
      <c r="S191" s="160">
        <f t="shared" si="98"/>
        <v>2</v>
      </c>
      <c r="U191" s="353" t="str">
        <f t="shared" si="99"/>
        <v>INSERT INTO TACHES(idTache, numTache, nameTache, descriptionTache, prioTache, stateTache, categoryTache, dateCreateTache, dateInProgressTache, dateToTestTache, dateEndThTache, dateEndRealTache, idProjet) VALUES (analyse 1 des exigence + Plans + obligations, analyse 1 des exigence + Plans + obligations, Vitale, Terminée, Analyse, 44984, 44984, 44984, 44984, 44984, 4);</v>
      </c>
    </row>
    <row r="192" spans="6:21" ht="20.05" customHeight="1" outlineLevel="1" x14ac:dyDescent="0.3">
      <c r="F192" s="160">
        <f t="shared" si="112"/>
        <v>58</v>
      </c>
      <c r="G192" s="160">
        <f t="shared" si="113"/>
        <v>4</v>
      </c>
      <c r="H192" s="160" t="s">
        <v>1850</v>
      </c>
      <c r="I192" s="160" t="str">
        <f t="shared" si="107"/>
        <v>faire validé la présentation + avec precision clients</v>
      </c>
      <c r="J192" s="160" t="s">
        <v>1867</v>
      </c>
      <c r="K192" s="160" t="s">
        <v>1874</v>
      </c>
      <c r="L192" s="160" t="s">
        <v>1877</v>
      </c>
      <c r="M192" s="329">
        <f>Q191+1</f>
        <v>44985</v>
      </c>
      <c r="N192" s="329">
        <f t="shared" si="102"/>
        <v>44985</v>
      </c>
      <c r="O192" s="329">
        <f t="shared" si="111"/>
        <v>44985</v>
      </c>
      <c r="P192" s="329">
        <f>M192</f>
        <v>44985</v>
      </c>
      <c r="Q192" s="329">
        <f>M192</f>
        <v>44985</v>
      </c>
      <c r="R192" s="160">
        <v>4</v>
      </c>
      <c r="S192" s="160">
        <f t="shared" si="98"/>
        <v>2</v>
      </c>
      <c r="U192" s="353" t="str">
        <f t="shared" si="99"/>
        <v>INSERT INTO TACHES(idTache, numTache, nameTache, descriptionTache, prioTache, stateTache, categoryTache, dateCreateTache, dateInProgressTache, dateToTestTache, dateEndThTache, dateEndRealTache, idProjet) VALUES (faire validé la présentation + avec precision clients, faire validé la présentation + avec precision clients, Vitale, Terminée, Analyse, 44985, 44985, 44985, 44985, 44985, 4);</v>
      </c>
    </row>
    <row r="193" spans="6:21" ht="78.3" customHeight="1" outlineLevel="1" x14ac:dyDescent="0.3">
      <c r="F193" s="160">
        <f t="shared" si="112"/>
        <v>59</v>
      </c>
      <c r="G193" s="160">
        <f t="shared" si="113"/>
        <v>5</v>
      </c>
      <c r="H193" s="160" t="s">
        <v>1881</v>
      </c>
      <c r="I193" s="160" t="str">
        <f t="shared" si="107"/>
        <v>Analyse approfondie de Conception, fonctionnalités, maquettage, cahier des charges à valider</v>
      </c>
      <c r="J193" s="160" t="s">
        <v>1867</v>
      </c>
      <c r="K193" s="160" t="s">
        <v>1874</v>
      </c>
      <c r="L193" s="160" t="s">
        <v>1878</v>
      </c>
      <c r="M193" s="329">
        <f>Q192</f>
        <v>44985</v>
      </c>
      <c r="N193" s="329">
        <f t="shared" si="102"/>
        <v>44985</v>
      </c>
      <c r="O193" s="329">
        <f t="shared" si="111"/>
        <v>44985</v>
      </c>
      <c r="P193" s="329">
        <f>O193+0</f>
        <v>44985</v>
      </c>
      <c r="Q193" s="329">
        <f>P193</f>
        <v>44985</v>
      </c>
      <c r="R193" s="160">
        <v>4</v>
      </c>
      <c r="S193" s="160">
        <f t="shared" si="98"/>
        <v>2</v>
      </c>
      <c r="U193" s="353" t="str">
        <f t="shared" si="99"/>
        <v>INSERT INTO TACHES(idTache, numTache, nameTache, descriptionTache, prioTache, stateTache, categoryTache, dateCreateTache, dateInProgressTache, dateToTestTache, dateEndThTache, dateEndRealTache, idProjet) VALUES (Analyse approfondie de Conception, fonctionnalités, maquettage, cahier des charges à valider, Analyse approfondie de Conception, fonctionnalités, maquettage, cahier des charges à valider, Vitale, Terminée, Conception, 44985, 44985, 44985, 44985, 44985, 4);</v>
      </c>
    </row>
    <row r="194" spans="6:21" ht="90.35" customHeight="1" outlineLevel="1" x14ac:dyDescent="0.3">
      <c r="F194" s="160">
        <f t="shared" si="112"/>
        <v>60</v>
      </c>
      <c r="G194" s="160">
        <f t="shared" si="113"/>
        <v>6</v>
      </c>
      <c r="H194" s="160" t="s">
        <v>1852</v>
      </c>
      <c r="I194" s="160" t="str">
        <f t="shared" si="107"/>
        <v>fonctionnalité 1</v>
      </c>
      <c r="J194" s="160" t="s">
        <v>1867</v>
      </c>
      <c r="K194" s="160" t="s">
        <v>1874</v>
      </c>
      <c r="L194" s="160" t="s">
        <v>1879</v>
      </c>
      <c r="M194" s="329">
        <f>Q193+1</f>
        <v>44986</v>
      </c>
      <c r="N194" s="329">
        <f t="shared" si="102"/>
        <v>44986</v>
      </c>
      <c r="O194" s="329">
        <f>N194+0</f>
        <v>44986</v>
      </c>
      <c r="P194" s="329">
        <f>O194+0</f>
        <v>44986</v>
      </c>
      <c r="Q194" s="329">
        <f>P194</f>
        <v>44986</v>
      </c>
      <c r="R194" s="160">
        <v>4</v>
      </c>
      <c r="S194" s="160">
        <f t="shared" si="98"/>
        <v>2</v>
      </c>
      <c r="U194" s="353" t="str">
        <f t="shared" si="99"/>
        <v>INSERT INTO TACHES(idTache, numTache, nameTache, descriptionTache, prioTache, stateTache, categoryTache, dateCreateTache, dateInProgressTache, dateToTestTache, dateEndThTache, dateEndRealTache, idProjet) VALUES (fonctionnalité 1, fonctionnalité 1, Vitale, Terminée, Realisation, 44986, 44986, 44986, 44986, 44986, 4);</v>
      </c>
    </row>
    <row r="195" spans="6:21" ht="90.35" customHeight="1" outlineLevel="1" x14ac:dyDescent="0.3">
      <c r="F195" s="160">
        <f t="shared" si="112"/>
        <v>61</v>
      </c>
      <c r="G195" s="160">
        <f t="shared" si="113"/>
        <v>7</v>
      </c>
      <c r="H195" s="160" t="s">
        <v>1853</v>
      </c>
      <c r="I195" s="160" t="str">
        <f t="shared" si="107"/>
        <v>fonctionnalité 2</v>
      </c>
      <c r="J195" s="160" t="s">
        <v>1867</v>
      </c>
      <c r="K195" s="160" t="s">
        <v>1874</v>
      </c>
      <c r="L195" s="160" t="s">
        <v>1879</v>
      </c>
      <c r="M195" s="329">
        <f>Q194+1</f>
        <v>44987</v>
      </c>
      <c r="N195" s="329">
        <f t="shared" si="102"/>
        <v>44987</v>
      </c>
      <c r="O195" s="329">
        <f>N195+0</f>
        <v>44987</v>
      </c>
      <c r="P195" s="329">
        <f>O195+0</f>
        <v>44987</v>
      </c>
      <c r="Q195" s="329">
        <f>P195</f>
        <v>44987</v>
      </c>
      <c r="R195" s="160">
        <v>4</v>
      </c>
      <c r="S195" s="160">
        <f t="shared" si="98"/>
        <v>2</v>
      </c>
      <c r="U195" s="353" t="str">
        <f t="shared" si="99"/>
        <v>INSERT INTO TACHES(idTache, numTache, nameTache, descriptionTache, prioTache, stateTache, categoryTache, dateCreateTache, dateInProgressTache, dateToTestTache, dateEndThTache, dateEndRealTache, idProjet) VALUES (fonctionnalité 2, fonctionnalité 2, Vitale, Terminée, Realisation, 44987, 44987, 44987, 44987, 44987, 4);</v>
      </c>
    </row>
    <row r="196" spans="6:21" ht="20.05" customHeight="1" outlineLevel="1" x14ac:dyDescent="0.3">
      <c r="F196" s="160">
        <f t="shared" si="112"/>
        <v>62</v>
      </c>
      <c r="G196" s="160">
        <f t="shared" si="113"/>
        <v>8</v>
      </c>
      <c r="H196" s="160" t="s">
        <v>1854</v>
      </c>
      <c r="I196" s="160" t="str">
        <f t="shared" si="107"/>
        <v>fonctionnalité 3</v>
      </c>
      <c r="J196" s="160" t="s">
        <v>1869</v>
      </c>
      <c r="K196" s="160" t="s">
        <v>1874</v>
      </c>
      <c r="L196" s="160" t="s">
        <v>1879</v>
      </c>
      <c r="M196" s="329">
        <f>Q203+1</f>
        <v>44993</v>
      </c>
      <c r="N196" s="329">
        <f t="shared" si="102"/>
        <v>44993</v>
      </c>
      <c r="O196" s="329">
        <f>M196</f>
        <v>44993</v>
      </c>
      <c r="P196" s="329">
        <f>M196</f>
        <v>44993</v>
      </c>
      <c r="Q196" s="329">
        <f>M196</f>
        <v>44993</v>
      </c>
      <c r="R196" s="160">
        <v>4</v>
      </c>
      <c r="S196" s="160">
        <f t="shared" si="98"/>
        <v>2</v>
      </c>
      <c r="U196" s="353" t="str">
        <f t="shared" si="99"/>
        <v>INSERT INTO TACHES(idTache, numTache, nameTache, descriptionTache, prioTache, stateTache, categoryTache, dateCreateTache, dateInProgressTache, dateToTestTache, dateEndThTache, dateEndRealTache, idProjet) VALUES (fonctionnalité 3, fonctionnalité 3, Utile, Terminée, Realisation, 44993, 44993, 44993, 44993, 44993, 4);</v>
      </c>
    </row>
    <row r="197" spans="6:21" ht="20.05" customHeight="1" outlineLevel="1" x14ac:dyDescent="0.3">
      <c r="F197" s="160">
        <f t="shared" si="112"/>
        <v>63</v>
      </c>
      <c r="G197" s="160">
        <f t="shared" si="113"/>
        <v>9</v>
      </c>
      <c r="H197" s="160" t="s">
        <v>1858</v>
      </c>
      <c r="I197" s="160" t="str">
        <f t="shared" si="107"/>
        <v>fonctionnalité X</v>
      </c>
      <c r="J197" s="160" t="s">
        <v>1868</v>
      </c>
      <c r="K197" s="160" t="s">
        <v>1874</v>
      </c>
      <c r="L197" s="160" t="s">
        <v>1879</v>
      </c>
      <c r="M197" s="329">
        <f>Q205</f>
        <v>44991</v>
      </c>
      <c r="N197" s="329">
        <f t="shared" si="102"/>
        <v>44991</v>
      </c>
      <c r="O197" s="329">
        <f>M197</f>
        <v>44991</v>
      </c>
      <c r="P197" s="329">
        <f>M197</f>
        <v>44991</v>
      </c>
      <c r="Q197" s="329">
        <f>M197</f>
        <v>44991</v>
      </c>
      <c r="R197" s="160">
        <v>4</v>
      </c>
      <c r="S197" s="160">
        <f t="shared" si="98"/>
        <v>2</v>
      </c>
      <c r="U197" s="353" t="str">
        <f t="shared" si="99"/>
        <v>INSERT INTO TACHES(idTache, numTache, nameTache, descriptionTache, prioTache, stateTache, categoryTache, dateCreateTache, dateInProgressTache, dateToTestTache, dateEndThTache, dateEndRealTache, idProjet) VALUES (fonctionnalité X, fonctionnalité X, Importante, Terminée, Realisation, 44991, 44991, 44991, 44991, 44991, 4);</v>
      </c>
    </row>
    <row r="198" spans="6:21" ht="20.05" customHeight="1" outlineLevel="1" x14ac:dyDescent="0.3">
      <c r="F198" s="160">
        <f t="shared" si="112"/>
        <v>64</v>
      </c>
      <c r="G198" s="160">
        <f t="shared" si="113"/>
        <v>10</v>
      </c>
      <c r="H198" s="160" t="s">
        <v>1859</v>
      </c>
      <c r="I198" s="160" t="str">
        <f t="shared" si="107"/>
        <v>deplacement</v>
      </c>
      <c r="J198" s="160" t="s">
        <v>1867</v>
      </c>
      <c r="K198" s="160" t="s">
        <v>1874</v>
      </c>
      <c r="L198" s="160" t="s">
        <v>1879</v>
      </c>
      <c r="M198" s="329">
        <f>Q195+1</f>
        <v>44988</v>
      </c>
      <c r="N198" s="329">
        <f t="shared" si="102"/>
        <v>44988</v>
      </c>
      <c r="O198" s="329">
        <f>M198</f>
        <v>44988</v>
      </c>
      <c r="P198" s="329">
        <f>M198</f>
        <v>44988</v>
      </c>
      <c r="Q198" s="329">
        <f>P198+0</f>
        <v>44988</v>
      </c>
      <c r="R198" s="160">
        <v>4</v>
      </c>
      <c r="S198" s="160">
        <f t="shared" si="98"/>
        <v>2</v>
      </c>
      <c r="U198" s="353" t="str">
        <f t="shared" si="99"/>
        <v>INSERT INTO TACHES(idTache, numTache, nameTache, descriptionTache, prioTache, stateTache, categoryTache, dateCreateTache, dateInProgressTache, dateToTestTache, dateEndThTache, dateEndRealTache, idProjet) VALUES (deplacement, deplacement, Vitale, Terminée, Realisation, 44988, 44988, 44988, 44988, 44988, 4);</v>
      </c>
    </row>
    <row r="199" spans="6:21" ht="20.05" customHeight="1" outlineLevel="1" x14ac:dyDescent="0.3">
      <c r="F199" s="160">
        <f t="shared" si="112"/>
        <v>65</v>
      </c>
      <c r="G199" s="160">
        <f t="shared" si="113"/>
        <v>11</v>
      </c>
      <c r="H199" s="160" t="s">
        <v>1860</v>
      </c>
      <c r="I199" s="160" t="str">
        <f t="shared" ref="I199:I230" si="114">H199</f>
        <v>achat des matériaux</v>
      </c>
      <c r="J199" s="160" t="s">
        <v>1867</v>
      </c>
      <c r="K199" s="160" t="s">
        <v>1874</v>
      </c>
      <c r="L199" s="160" t="s">
        <v>1879</v>
      </c>
      <c r="M199" s="329">
        <f>Q198</f>
        <v>44988</v>
      </c>
      <c r="N199" s="329">
        <f t="shared" si="102"/>
        <v>44988</v>
      </c>
      <c r="O199" s="329">
        <f>M199</f>
        <v>44988</v>
      </c>
      <c r="P199" s="329">
        <f>M199</f>
        <v>44988</v>
      </c>
      <c r="Q199" s="329">
        <f>P199+0</f>
        <v>44988</v>
      </c>
      <c r="R199" s="160">
        <v>4</v>
      </c>
      <c r="S199" s="160">
        <f t="shared" si="98"/>
        <v>2</v>
      </c>
      <c r="U199" s="353" t="str">
        <f t="shared" si="99"/>
        <v>INSERT INTO TACHES(idTache, numTache, nameTache, descriptionTache, prioTache, stateTache, categoryTache, dateCreateTache, dateInProgressTache, dateToTestTache, dateEndThTache, dateEndRealTache, idProjet) VALUES (achat des matériaux, achat des matériaux, Vitale, Terminée, Realisation, 44988, 44988, 44988, 44988, 44988, 4);</v>
      </c>
    </row>
    <row r="200" spans="6:21" ht="20.05" customHeight="1" outlineLevel="1" x14ac:dyDescent="0.3">
      <c r="F200" s="160">
        <f t="shared" si="112"/>
        <v>66</v>
      </c>
      <c r="G200" s="160">
        <f t="shared" si="113"/>
        <v>12</v>
      </c>
      <c r="H200" s="160" t="s">
        <v>1861</v>
      </c>
      <c r="I200" s="160" t="str">
        <f t="shared" si="114"/>
        <v>recruter équipe</v>
      </c>
      <c r="J200" s="160" t="s">
        <v>1867</v>
      </c>
      <c r="K200" s="160" t="s">
        <v>1874</v>
      </c>
      <c r="L200" s="160" t="s">
        <v>1879</v>
      </c>
      <c r="M200" s="329">
        <f>Q199</f>
        <v>44988</v>
      </c>
      <c r="N200" s="329">
        <f t="shared" si="102"/>
        <v>44988</v>
      </c>
      <c r="O200" s="329">
        <f>N200+0</f>
        <v>44988</v>
      </c>
      <c r="P200" s="329">
        <f>O200+0</f>
        <v>44988</v>
      </c>
      <c r="Q200" s="329">
        <f>P200</f>
        <v>44988</v>
      </c>
      <c r="R200" s="160">
        <v>4</v>
      </c>
      <c r="S200" s="160">
        <f t="shared" ref="S200:S244" si="115">NETWORKDAYS(N200,Q200)+1</f>
        <v>2</v>
      </c>
      <c r="U200" s="353" t="str">
        <f t="shared" ref="U200:U260" si="116">"INSERT INTO "&amp;$E$134&amp;"("&amp;$F$134&amp;", "&amp;$G$134&amp;", "&amp;$H$134&amp;", "&amp;$I$134&amp;", "&amp;$J$134&amp;", "&amp;$K$134&amp;", "&amp;$L$134&amp;", "&amp;$M$134&amp;", "&amp;$N$134&amp;", "&amp;$O$134&amp;", "&amp;$P$134&amp;", "&amp;$Q$134&amp;", "&amp;$R$134&amp;") VALUES ("&amp;H200&amp;", "&amp;I200&amp;", "&amp;J200&amp;", "&amp;K200&amp;", "&amp;L200&amp;", "&amp;M200&amp;", "&amp;N200&amp;", "&amp;O200&amp;", "&amp;P200&amp;", "&amp;Q200&amp;", "&amp;R200&amp;");"</f>
        <v>INSERT INTO TACHES(idTache, numTache, nameTache, descriptionTache, prioTache, stateTache, categoryTache, dateCreateTache, dateInProgressTache, dateToTestTache, dateEndThTache, dateEndRealTache, idProjet) VALUES (recruter équipe, recruter équipe, Vitale, Terminée, Realisation, 44988, 44988, 44988, 44988, 44988, 4);</v>
      </c>
    </row>
    <row r="201" spans="6:21" outlineLevel="1" x14ac:dyDescent="0.3">
      <c r="F201" s="160">
        <f t="shared" si="112"/>
        <v>67</v>
      </c>
      <c r="G201" s="160">
        <f t="shared" si="113"/>
        <v>13</v>
      </c>
      <c r="H201" s="160" t="s">
        <v>1862</v>
      </c>
      <c r="I201" s="160" t="str">
        <f t="shared" si="114"/>
        <v>coordonner chaque membre</v>
      </c>
      <c r="J201" s="160" t="s">
        <v>1867</v>
      </c>
      <c r="K201" s="160" t="s">
        <v>1874</v>
      </c>
      <c r="L201" s="160" t="s">
        <v>1879</v>
      </c>
      <c r="M201" s="329">
        <f>Q200+1</f>
        <v>44989</v>
      </c>
      <c r="N201" s="329">
        <f t="shared" si="102"/>
        <v>44989</v>
      </c>
      <c r="O201" s="329">
        <f>M201</f>
        <v>44989</v>
      </c>
      <c r="P201" s="329">
        <f>M201</f>
        <v>44989</v>
      </c>
      <c r="Q201" s="329">
        <f>M201</f>
        <v>44989</v>
      </c>
      <c r="R201" s="160">
        <v>4</v>
      </c>
      <c r="S201" s="160">
        <f t="shared" si="115"/>
        <v>1</v>
      </c>
      <c r="U201" s="353" t="str">
        <f t="shared" si="116"/>
        <v>INSERT INTO TACHES(idTache, numTache, nameTache, descriptionTache, prioTache, stateTache, categoryTache, dateCreateTache, dateInProgressTache, dateToTestTache, dateEndThTache, dateEndRealTache, idProjet) VALUES (coordonner chaque membre, coordonner chaque membre, Vitale, Terminée, Realisation, 44989, 44989, 44989, 44989, 44989, 4);</v>
      </c>
    </row>
    <row r="202" spans="6:21" ht="28.05" customHeight="1" outlineLevel="1" x14ac:dyDescent="0.3">
      <c r="F202" s="160">
        <f t="shared" si="112"/>
        <v>68</v>
      </c>
      <c r="G202" s="160">
        <f t="shared" si="113"/>
        <v>14</v>
      </c>
      <c r="H202" s="160" t="s">
        <v>1855</v>
      </c>
      <c r="I202" s="160" t="str">
        <f t="shared" si="114"/>
        <v>fonctionnalité 4</v>
      </c>
      <c r="J202" s="160" t="s">
        <v>1867</v>
      </c>
      <c r="K202" s="160" t="s">
        <v>1874</v>
      </c>
      <c r="L202" s="160" t="s">
        <v>1879</v>
      </c>
      <c r="M202" s="329">
        <f>Q201+1</f>
        <v>44990</v>
      </c>
      <c r="N202" s="329">
        <f t="shared" si="102"/>
        <v>44990</v>
      </c>
      <c r="O202" s="329">
        <f>M202</f>
        <v>44990</v>
      </c>
      <c r="P202" s="329">
        <f>M202</f>
        <v>44990</v>
      </c>
      <c r="Q202" s="329">
        <f>M202</f>
        <v>44990</v>
      </c>
      <c r="R202" s="160">
        <v>4</v>
      </c>
      <c r="S202" s="160">
        <f t="shared" si="115"/>
        <v>1</v>
      </c>
      <c r="U202" s="353" t="str">
        <f t="shared" si="116"/>
        <v>INSERT INTO TACHES(idTache, numTache, nameTache, descriptionTache, prioTache, stateTache, categoryTache, dateCreateTache, dateInProgressTache, dateToTestTache, dateEndThTache, dateEndRealTache, idProjet) VALUES (fonctionnalité 4, fonctionnalité 4, Vitale, Terminée, Realisation, 44990, 44990, 44990, 44990, 44990, 4);</v>
      </c>
    </row>
    <row r="203" spans="6:21" ht="30.05" customHeight="1" outlineLevel="1" x14ac:dyDescent="0.3">
      <c r="F203" s="160">
        <f t="shared" si="112"/>
        <v>69</v>
      </c>
      <c r="G203" s="160">
        <f t="shared" si="113"/>
        <v>15</v>
      </c>
      <c r="H203" s="160" t="s">
        <v>1856</v>
      </c>
      <c r="I203" s="160" t="str">
        <f t="shared" si="114"/>
        <v>fonctionnalité 5</v>
      </c>
      <c r="J203" s="160" t="s">
        <v>1868</v>
      </c>
      <c r="K203" s="160" t="s">
        <v>1874</v>
      </c>
      <c r="L203" s="160" t="s">
        <v>1879</v>
      </c>
      <c r="M203" s="329">
        <f>Q197+1</f>
        <v>44992</v>
      </c>
      <c r="N203" s="329">
        <f t="shared" si="102"/>
        <v>44992</v>
      </c>
      <c r="O203" s="329">
        <f>M203</f>
        <v>44992</v>
      </c>
      <c r="P203" s="329">
        <f>M203</f>
        <v>44992</v>
      </c>
      <c r="Q203" s="329">
        <f>M203</f>
        <v>44992</v>
      </c>
      <c r="R203" s="160">
        <v>4</v>
      </c>
      <c r="S203" s="160">
        <f t="shared" si="115"/>
        <v>2</v>
      </c>
      <c r="U203" s="353" t="str">
        <f t="shared" si="116"/>
        <v>INSERT INTO TACHES(idTache, numTache, nameTache, descriptionTache, prioTache, stateTache, categoryTache, dateCreateTache, dateInProgressTache, dateToTestTache, dateEndThTache, dateEndRealTache, idProjet) VALUES (fonctionnalité 5, fonctionnalité 5, Importante, Terminée, Realisation, 44992, 44992, 44992, 44992, 44992, 4);</v>
      </c>
    </row>
    <row r="204" spans="6:21" ht="20.05" customHeight="1" outlineLevel="1" x14ac:dyDescent="0.3">
      <c r="F204" s="160">
        <f t="shared" si="112"/>
        <v>70</v>
      </c>
      <c r="G204" s="160">
        <f t="shared" si="113"/>
        <v>16</v>
      </c>
      <c r="H204" s="160" t="s">
        <v>1857</v>
      </c>
      <c r="I204" s="160" t="str">
        <f t="shared" si="114"/>
        <v>fonctionnalité 6</v>
      </c>
      <c r="J204" s="160" t="s">
        <v>1870</v>
      </c>
      <c r="K204" s="160" t="s">
        <v>1874</v>
      </c>
      <c r="L204" s="160" t="s">
        <v>1879</v>
      </c>
      <c r="M204" s="329">
        <f>Q196+1</f>
        <v>44994</v>
      </c>
      <c r="N204" s="329">
        <f t="shared" si="102"/>
        <v>44994</v>
      </c>
      <c r="O204" s="329">
        <f>N204+0</f>
        <v>44994</v>
      </c>
      <c r="P204" s="329">
        <f>O204</f>
        <v>44994</v>
      </c>
      <c r="Q204" s="329">
        <f>P204</f>
        <v>44994</v>
      </c>
      <c r="R204" s="160">
        <v>4</v>
      </c>
      <c r="S204" s="160">
        <f t="shared" si="115"/>
        <v>2</v>
      </c>
      <c r="U204" s="353" t="str">
        <f t="shared" si="116"/>
        <v>INSERT INTO TACHES(idTache, numTache, nameTache, descriptionTache, prioTache, stateTache, categoryTache, dateCreateTache, dateInProgressTache, dateToTestTache, dateEndThTache, dateEndRealTache, idProjet) VALUES (fonctionnalité 6, fonctionnalité 6, Confort, Terminée, Realisation, 44994, 44994, 44994, 44994, 44994, 4);</v>
      </c>
    </row>
    <row r="205" spans="6:21" ht="20.05" customHeight="1" outlineLevel="1" x14ac:dyDescent="0.3">
      <c r="F205" s="160">
        <f t="shared" si="112"/>
        <v>71</v>
      </c>
      <c r="G205" s="160">
        <f t="shared" si="113"/>
        <v>17</v>
      </c>
      <c r="H205" s="160" t="s">
        <v>1863</v>
      </c>
      <c r="I205" s="160" t="str">
        <f t="shared" si="114"/>
        <v>fonctionnalité n</v>
      </c>
      <c r="J205" s="160" t="s">
        <v>1867</v>
      </c>
      <c r="K205" s="160" t="s">
        <v>1874</v>
      </c>
      <c r="L205" s="160" t="s">
        <v>1879</v>
      </c>
      <c r="M205" s="329">
        <f>Q202+1</f>
        <v>44991</v>
      </c>
      <c r="N205" s="329">
        <f t="shared" si="102"/>
        <v>44991</v>
      </c>
      <c r="O205" s="329">
        <f t="shared" ref="O205:O211" si="117">M205</f>
        <v>44991</v>
      </c>
      <c r="P205" s="329">
        <f>M205</f>
        <v>44991</v>
      </c>
      <c r="Q205" s="329">
        <f>P205+0</f>
        <v>44991</v>
      </c>
      <c r="R205" s="160">
        <v>4</v>
      </c>
      <c r="S205" s="160">
        <f t="shared" si="115"/>
        <v>2</v>
      </c>
      <c r="U205" s="353" t="str">
        <f t="shared" si="116"/>
        <v>INSERT INTO TACHES(idTache, numTache, nameTache, descriptionTache, prioTache, stateTache, categoryTache, dateCreateTache, dateInProgressTache, dateToTestTache, dateEndThTache, dateEndRealTache, idProjet) VALUES (fonctionnalité n, fonctionnalité n, Vitale, Terminée, Realisation, 44991, 44991, 44991, 44991, 44991, 4);</v>
      </c>
    </row>
    <row r="206" spans="6:21" ht="28.2" customHeight="1" x14ac:dyDescent="0.3">
      <c r="F206" s="160">
        <f t="shared" si="112"/>
        <v>72</v>
      </c>
      <c r="G206" s="160">
        <f t="shared" si="113"/>
        <v>18</v>
      </c>
      <c r="H206" s="160" t="s">
        <v>1864</v>
      </c>
      <c r="I206" s="160" t="str">
        <f t="shared" si="114"/>
        <v>livraison du projet</v>
      </c>
      <c r="J206" s="160" t="s">
        <v>1867</v>
      </c>
      <c r="K206" s="160" t="s">
        <v>1874</v>
      </c>
      <c r="L206" s="160" t="s">
        <v>1880</v>
      </c>
      <c r="M206" s="329">
        <f>Q204+1</f>
        <v>44995</v>
      </c>
      <c r="N206" s="329">
        <f t="shared" si="102"/>
        <v>44995</v>
      </c>
      <c r="O206" s="329">
        <f t="shared" si="117"/>
        <v>44995</v>
      </c>
      <c r="P206" s="329">
        <f>O206+0</f>
        <v>44995</v>
      </c>
      <c r="Q206" s="329">
        <f>P206</f>
        <v>44995</v>
      </c>
      <c r="R206" s="160">
        <v>4</v>
      </c>
      <c r="S206" s="160">
        <f t="shared" si="115"/>
        <v>2</v>
      </c>
      <c r="U206" s="353" t="str">
        <f t="shared" si="116"/>
        <v>INSERT INTO TACHES(idTache, numTache, nameTache, descriptionTache, prioTache, stateTache, categoryTache, dateCreateTache, dateInProgressTache, dateToTestTache, dateEndThTache, dateEndRealTache, idProjet) VALUES (livraison du projet, livraison du projet, Vitale, Terminée, Exploitation, 44995, 44995, 44995, 44995, 44995, 4);</v>
      </c>
    </row>
    <row r="207" spans="6:21" ht="20.05" customHeight="1" outlineLevel="1" x14ac:dyDescent="0.3">
      <c r="F207" s="160">
        <f t="shared" si="112"/>
        <v>73</v>
      </c>
      <c r="G207" s="160">
        <v>1</v>
      </c>
      <c r="H207" s="160" t="s">
        <v>1865</v>
      </c>
      <c r="I207" s="160" t="str">
        <f t="shared" si="114"/>
        <v>Validation du DEVIS</v>
      </c>
      <c r="J207" s="160" t="s">
        <v>1867</v>
      </c>
      <c r="K207" s="160" t="s">
        <v>1874</v>
      </c>
      <c r="L207" s="160" t="s">
        <v>1876</v>
      </c>
      <c r="M207" s="329">
        <v>44998</v>
      </c>
      <c r="N207" s="329">
        <f>M207</f>
        <v>44998</v>
      </c>
      <c r="O207" s="329">
        <f t="shared" si="117"/>
        <v>44998</v>
      </c>
      <c r="P207" s="329">
        <f>M207</f>
        <v>44998</v>
      </c>
      <c r="Q207" s="329">
        <f>M207</f>
        <v>44998</v>
      </c>
      <c r="R207" s="160">
        <v>5</v>
      </c>
      <c r="S207" s="160">
        <f t="shared" si="115"/>
        <v>2</v>
      </c>
      <c r="U207" s="353" t="str">
        <f t="shared" si="116"/>
        <v>INSERT INTO TACHES(idTache, numTache, nameTache, descriptionTache, prioTache, stateTache, categoryTache, dateCreateTache, dateInProgressTache, dateToTestTache, dateEndThTache, dateEndRealTache, idProjet) VALUES (Validation du DEVIS, Validation du DEVIS, Vitale, Terminée, Initialisation, 44998, 44998, 44998, 44998, 44998, 5);</v>
      </c>
    </row>
    <row r="208" spans="6:21" ht="20.05" customHeight="1" outlineLevel="1" x14ac:dyDescent="0.3">
      <c r="F208" s="160">
        <f t="shared" si="112"/>
        <v>74</v>
      </c>
      <c r="G208" s="160">
        <f>G207+1</f>
        <v>2</v>
      </c>
      <c r="H208" s="160" t="s">
        <v>1851</v>
      </c>
      <c r="I208" s="160" t="str">
        <f t="shared" si="114"/>
        <v>rencontre client preciser projet +elaborer cahier des charges + prise de cotes + photos+etc</v>
      </c>
      <c r="J208" s="160" t="s">
        <v>1867</v>
      </c>
      <c r="K208" s="160" t="s">
        <v>1874</v>
      </c>
      <c r="L208" s="160" t="s">
        <v>1876</v>
      </c>
      <c r="M208" s="329">
        <f>Q207</f>
        <v>44998</v>
      </c>
      <c r="N208" s="329">
        <f t="shared" si="102"/>
        <v>44998</v>
      </c>
      <c r="O208" s="329">
        <f t="shared" si="117"/>
        <v>44998</v>
      </c>
      <c r="P208" s="329">
        <f>M208</f>
        <v>44998</v>
      </c>
      <c r="Q208" s="329">
        <f>M208</f>
        <v>44998</v>
      </c>
      <c r="R208" s="160">
        <f>R207</f>
        <v>5</v>
      </c>
      <c r="S208" s="160">
        <f t="shared" si="115"/>
        <v>2</v>
      </c>
      <c r="U208" s="353" t="str">
        <f t="shared" si="116"/>
        <v>INSERT INTO TACHES(idTache, numTache, nameTache, descriptionTache, prioTache, stateTache, categoryTache, dateCreateTache, dateInProgressTache, dateToTestTache, dateEndThTache, dateEndRealTache, idProjet) VALUES (rencontre client preciser projet +elaborer cahier des charges + prise de cotes + photos+etc, rencontre client preciser projet +elaborer cahier des charges + prise de cotes + photos+etc, Vitale, Terminée, Initialisation, 44998, 44998, 44998, 44998, 44998, 5);</v>
      </c>
    </row>
    <row r="209" spans="6:21" ht="20.05" customHeight="1" outlineLevel="1" x14ac:dyDescent="0.3">
      <c r="F209" s="160">
        <f t="shared" si="112"/>
        <v>75</v>
      </c>
      <c r="G209" s="160">
        <f t="shared" ref="G209:G224" si="118">G208+1</f>
        <v>3</v>
      </c>
      <c r="H209" s="160" t="s">
        <v>1866</v>
      </c>
      <c r="I209" s="160" t="str">
        <f t="shared" si="114"/>
        <v>analyse 1 des exigence + Plans + obligations</v>
      </c>
      <c r="J209" s="160" t="s">
        <v>1867</v>
      </c>
      <c r="K209" s="160" t="s">
        <v>1874</v>
      </c>
      <c r="L209" s="160" t="s">
        <v>1877</v>
      </c>
      <c r="M209" s="329">
        <f>Q208</f>
        <v>44998</v>
      </c>
      <c r="N209" s="329">
        <f t="shared" si="102"/>
        <v>44998</v>
      </c>
      <c r="O209" s="329">
        <f t="shared" si="117"/>
        <v>44998</v>
      </c>
      <c r="P209" s="329">
        <f>M209</f>
        <v>44998</v>
      </c>
      <c r="Q209" s="329">
        <f>M209</f>
        <v>44998</v>
      </c>
      <c r="R209" s="160">
        <f t="shared" ref="R209:R224" si="119">R208</f>
        <v>5</v>
      </c>
      <c r="S209" s="160">
        <f t="shared" si="115"/>
        <v>2</v>
      </c>
      <c r="U209" s="353" t="str">
        <f t="shared" si="116"/>
        <v>INSERT INTO TACHES(idTache, numTache, nameTache, descriptionTache, prioTache, stateTache, categoryTache, dateCreateTache, dateInProgressTache, dateToTestTache, dateEndThTache, dateEndRealTache, idProjet) VALUES (analyse 1 des exigence + Plans + obligations, analyse 1 des exigence + Plans + obligations, Vitale, Terminée, Analyse, 44998, 44998, 44998, 44998, 44998, 5);</v>
      </c>
    </row>
    <row r="210" spans="6:21" ht="20.05" customHeight="1" outlineLevel="1" x14ac:dyDescent="0.3">
      <c r="F210" s="160">
        <f t="shared" si="112"/>
        <v>76</v>
      </c>
      <c r="G210" s="160">
        <f t="shared" si="118"/>
        <v>4</v>
      </c>
      <c r="H210" s="160" t="s">
        <v>1850</v>
      </c>
      <c r="I210" s="160" t="str">
        <f t="shared" si="114"/>
        <v>faire validé la présentation + avec precision clients</v>
      </c>
      <c r="J210" s="160" t="s">
        <v>1867</v>
      </c>
      <c r="K210" s="160" t="s">
        <v>1874</v>
      </c>
      <c r="L210" s="160" t="s">
        <v>1877</v>
      </c>
      <c r="M210" s="329">
        <f>Q209+1</f>
        <v>44999</v>
      </c>
      <c r="N210" s="329">
        <f t="shared" si="102"/>
        <v>44999</v>
      </c>
      <c r="O210" s="329">
        <f t="shared" si="117"/>
        <v>44999</v>
      </c>
      <c r="P210" s="329">
        <f>M210</f>
        <v>44999</v>
      </c>
      <c r="Q210" s="329">
        <f>M210</f>
        <v>44999</v>
      </c>
      <c r="R210" s="160">
        <f t="shared" si="119"/>
        <v>5</v>
      </c>
      <c r="S210" s="160">
        <f t="shared" si="115"/>
        <v>2</v>
      </c>
      <c r="U210" s="353" t="str">
        <f t="shared" si="116"/>
        <v>INSERT INTO TACHES(idTache, numTache, nameTache, descriptionTache, prioTache, stateTache, categoryTache, dateCreateTache, dateInProgressTache, dateToTestTache, dateEndThTache, dateEndRealTache, idProjet) VALUES (faire validé la présentation + avec precision clients, faire validé la présentation + avec precision clients, Vitale, Terminée, Analyse, 44999, 44999, 44999, 44999, 44999, 5);</v>
      </c>
    </row>
    <row r="211" spans="6:21" ht="78.3" customHeight="1" outlineLevel="1" x14ac:dyDescent="0.3">
      <c r="F211" s="160">
        <f t="shared" si="112"/>
        <v>77</v>
      </c>
      <c r="G211" s="160">
        <f t="shared" si="118"/>
        <v>5</v>
      </c>
      <c r="H211" s="160" t="s">
        <v>1881</v>
      </c>
      <c r="I211" s="160" t="str">
        <f t="shared" si="114"/>
        <v>Analyse approfondie de Conception, fonctionnalités, maquettage, cahier des charges à valider</v>
      </c>
      <c r="J211" s="160" t="s">
        <v>1867</v>
      </c>
      <c r="K211" s="160" t="s">
        <v>1874</v>
      </c>
      <c r="L211" s="160" t="s">
        <v>1878</v>
      </c>
      <c r="M211" s="329">
        <f>Q210</f>
        <v>44999</v>
      </c>
      <c r="N211" s="329">
        <f t="shared" si="102"/>
        <v>44999</v>
      </c>
      <c r="O211" s="329">
        <f t="shared" si="117"/>
        <v>44999</v>
      </c>
      <c r="P211" s="329">
        <f>O211+1</f>
        <v>45000</v>
      </c>
      <c r="Q211" s="329">
        <f>P211</f>
        <v>45000</v>
      </c>
      <c r="R211" s="160">
        <f t="shared" si="119"/>
        <v>5</v>
      </c>
      <c r="S211" s="160">
        <f t="shared" si="115"/>
        <v>3</v>
      </c>
      <c r="U211" s="353" t="str">
        <f t="shared" si="116"/>
        <v>INSERT INTO TACHES(idTache, numTache, nameTache, descriptionTache, prioTache, stateTache, categoryTache, dateCreateTache, dateInProgressTache, dateToTestTache, dateEndThTache, dateEndRealTache, idProjet) VALUES (Analyse approfondie de Conception, fonctionnalités, maquettage, cahier des charges à valider, Analyse approfondie de Conception, fonctionnalités, maquettage, cahier des charges à valider, Vitale, Terminée, Conception, 44999, 44999, 44999, 45000, 45000, 5);</v>
      </c>
    </row>
    <row r="212" spans="6:21" ht="90.35" customHeight="1" outlineLevel="1" x14ac:dyDescent="0.3">
      <c r="F212" s="160">
        <f t="shared" si="112"/>
        <v>78</v>
      </c>
      <c r="G212" s="160">
        <f t="shared" si="118"/>
        <v>6</v>
      </c>
      <c r="H212" s="160" t="s">
        <v>1852</v>
      </c>
      <c r="I212" s="160" t="str">
        <f t="shared" si="114"/>
        <v>fonctionnalité 1</v>
      </c>
      <c r="J212" s="160" t="s">
        <v>1867</v>
      </c>
      <c r="K212" s="160" t="s">
        <v>1874</v>
      </c>
      <c r="L212" s="160" t="s">
        <v>1879</v>
      </c>
      <c r="M212" s="329">
        <f>Q211+1</f>
        <v>45001</v>
      </c>
      <c r="N212" s="329">
        <f t="shared" si="102"/>
        <v>45001</v>
      </c>
      <c r="O212" s="329">
        <f>N212+3</f>
        <v>45004</v>
      </c>
      <c r="P212" s="329">
        <f>O212+0</f>
        <v>45004</v>
      </c>
      <c r="Q212" s="329">
        <f>P212</f>
        <v>45004</v>
      </c>
      <c r="R212" s="160">
        <f t="shared" si="119"/>
        <v>5</v>
      </c>
      <c r="S212" s="160">
        <f t="shared" si="115"/>
        <v>3</v>
      </c>
      <c r="U212" s="353" t="str">
        <f t="shared" si="116"/>
        <v>INSERT INTO TACHES(idTache, numTache, nameTache, descriptionTache, prioTache, stateTache, categoryTache, dateCreateTache, dateInProgressTache, dateToTestTache, dateEndThTache, dateEndRealTache, idProjet) VALUES (fonctionnalité 1, fonctionnalité 1, Vitale, Terminée, Realisation, 45001, 45001, 45004, 45004, 45004, 5);</v>
      </c>
    </row>
    <row r="213" spans="6:21" ht="90.35" customHeight="1" outlineLevel="1" x14ac:dyDescent="0.3">
      <c r="F213" s="160">
        <f t="shared" si="112"/>
        <v>79</v>
      </c>
      <c r="G213" s="160">
        <f t="shared" si="118"/>
        <v>7</v>
      </c>
      <c r="H213" s="160" t="s">
        <v>1853</v>
      </c>
      <c r="I213" s="160" t="str">
        <f t="shared" si="114"/>
        <v>fonctionnalité 2</v>
      </c>
      <c r="J213" s="160" t="s">
        <v>1867</v>
      </c>
      <c r="K213" s="160" t="s">
        <v>1874</v>
      </c>
      <c r="L213" s="160" t="s">
        <v>1879</v>
      </c>
      <c r="M213" s="329">
        <f>Q212+1</f>
        <v>45005</v>
      </c>
      <c r="N213" s="329">
        <f t="shared" si="102"/>
        <v>45005</v>
      </c>
      <c r="O213" s="329">
        <f>N213+1</f>
        <v>45006</v>
      </c>
      <c r="P213" s="329">
        <f>O213+0</f>
        <v>45006</v>
      </c>
      <c r="Q213" s="329">
        <f>P213</f>
        <v>45006</v>
      </c>
      <c r="R213" s="160">
        <f t="shared" si="119"/>
        <v>5</v>
      </c>
      <c r="S213" s="160">
        <f t="shared" si="115"/>
        <v>3</v>
      </c>
      <c r="U213" s="353" t="str">
        <f t="shared" si="116"/>
        <v>INSERT INTO TACHES(idTache, numTache, nameTache, descriptionTache, prioTache, stateTache, categoryTache, dateCreateTache, dateInProgressTache, dateToTestTache, dateEndThTache, dateEndRealTache, idProjet) VALUES (fonctionnalité 2, fonctionnalité 2, Vitale, Terminée, Realisation, 45005, 45005, 45006, 45006, 45006, 5);</v>
      </c>
    </row>
    <row r="214" spans="6:21" ht="20.05" customHeight="1" outlineLevel="1" x14ac:dyDescent="0.3">
      <c r="F214" s="160">
        <f t="shared" si="112"/>
        <v>80</v>
      </c>
      <c r="G214" s="160">
        <f t="shared" si="118"/>
        <v>8</v>
      </c>
      <c r="H214" s="160" t="s">
        <v>1854</v>
      </c>
      <c r="I214" s="160" t="str">
        <f t="shared" si="114"/>
        <v>fonctionnalité 3</v>
      </c>
      <c r="J214" s="160" t="s">
        <v>1869</v>
      </c>
      <c r="K214" s="160" t="s">
        <v>1874</v>
      </c>
      <c r="L214" s="160" t="s">
        <v>1879</v>
      </c>
      <c r="M214" s="329">
        <f>Q221+1</f>
        <v>45017</v>
      </c>
      <c r="N214" s="329">
        <f t="shared" si="102"/>
        <v>45017</v>
      </c>
      <c r="O214" s="329">
        <f>M214</f>
        <v>45017</v>
      </c>
      <c r="P214" s="329">
        <f>M214</f>
        <v>45017</v>
      </c>
      <c r="Q214" s="329">
        <f>M214</f>
        <v>45017</v>
      </c>
      <c r="R214" s="160">
        <f t="shared" si="119"/>
        <v>5</v>
      </c>
      <c r="S214" s="160">
        <f t="shared" si="115"/>
        <v>1</v>
      </c>
      <c r="U214" s="353" t="str">
        <f t="shared" si="116"/>
        <v>INSERT INTO TACHES(idTache, numTache, nameTache, descriptionTache, prioTache, stateTache, categoryTache, dateCreateTache, dateInProgressTache, dateToTestTache, dateEndThTache, dateEndRealTache, idProjet) VALUES (fonctionnalité 3, fonctionnalité 3, Utile, Terminée, Realisation, 45017, 45017, 45017, 45017, 45017, 5);</v>
      </c>
    </row>
    <row r="215" spans="6:21" ht="20.05" customHeight="1" outlineLevel="1" x14ac:dyDescent="0.3">
      <c r="F215" s="160">
        <f t="shared" si="112"/>
        <v>81</v>
      </c>
      <c r="G215" s="160">
        <f t="shared" si="118"/>
        <v>9</v>
      </c>
      <c r="H215" s="160" t="s">
        <v>1858</v>
      </c>
      <c r="I215" s="160" t="str">
        <f t="shared" si="114"/>
        <v>fonctionnalité X</v>
      </c>
      <c r="J215" s="160" t="s">
        <v>1868</v>
      </c>
      <c r="K215" s="160" t="s">
        <v>1874</v>
      </c>
      <c r="L215" s="160" t="s">
        <v>1879</v>
      </c>
      <c r="M215" s="329">
        <f>Q223</f>
        <v>45015</v>
      </c>
      <c r="N215" s="329">
        <f t="shared" si="102"/>
        <v>45015</v>
      </c>
      <c r="O215" s="329">
        <f>M215</f>
        <v>45015</v>
      </c>
      <c r="P215" s="329">
        <f>M215</f>
        <v>45015</v>
      </c>
      <c r="Q215" s="329">
        <f>M215</f>
        <v>45015</v>
      </c>
      <c r="R215" s="160">
        <f t="shared" si="119"/>
        <v>5</v>
      </c>
      <c r="S215" s="160">
        <f t="shared" si="115"/>
        <v>2</v>
      </c>
      <c r="U215" s="353" t="str">
        <f t="shared" si="116"/>
        <v>INSERT INTO TACHES(idTache, numTache, nameTache, descriptionTache, prioTache, stateTache, categoryTache, dateCreateTache, dateInProgressTache, dateToTestTache, dateEndThTache, dateEndRealTache, idProjet) VALUES (fonctionnalité X, fonctionnalité X, Importante, Terminée, Realisation, 45015, 45015, 45015, 45015, 45015, 5);</v>
      </c>
    </row>
    <row r="216" spans="6:21" ht="20.05" customHeight="1" outlineLevel="1" x14ac:dyDescent="0.3">
      <c r="F216" s="160">
        <f t="shared" si="112"/>
        <v>82</v>
      </c>
      <c r="G216" s="160">
        <f t="shared" si="118"/>
        <v>10</v>
      </c>
      <c r="H216" s="160" t="s">
        <v>1859</v>
      </c>
      <c r="I216" s="160" t="str">
        <f t="shared" si="114"/>
        <v>deplacement</v>
      </c>
      <c r="J216" s="160" t="s">
        <v>1867</v>
      </c>
      <c r="K216" s="160" t="s">
        <v>1874</v>
      </c>
      <c r="L216" s="160" t="s">
        <v>1879</v>
      </c>
      <c r="M216" s="329">
        <f>Q213+1</f>
        <v>45007</v>
      </c>
      <c r="N216" s="329">
        <f t="shared" si="102"/>
        <v>45007</v>
      </c>
      <c r="O216" s="329">
        <f>M216</f>
        <v>45007</v>
      </c>
      <c r="P216" s="329">
        <f>M216</f>
        <v>45007</v>
      </c>
      <c r="Q216" s="329">
        <f>P216+1</f>
        <v>45008</v>
      </c>
      <c r="R216" s="160">
        <f t="shared" si="119"/>
        <v>5</v>
      </c>
      <c r="S216" s="160">
        <f t="shared" si="115"/>
        <v>3</v>
      </c>
      <c r="U216" s="353" t="str">
        <f t="shared" si="116"/>
        <v>INSERT INTO TACHES(idTache, numTache, nameTache, descriptionTache, prioTache, stateTache, categoryTache, dateCreateTache, dateInProgressTache, dateToTestTache, dateEndThTache, dateEndRealTache, idProjet) VALUES (deplacement, deplacement, Vitale, Terminée, Realisation, 45007, 45007, 45007, 45007, 45008, 5);</v>
      </c>
    </row>
    <row r="217" spans="6:21" ht="20.05" customHeight="1" outlineLevel="1" x14ac:dyDescent="0.3">
      <c r="F217" s="160">
        <f t="shared" si="112"/>
        <v>83</v>
      </c>
      <c r="G217" s="160">
        <f t="shared" si="118"/>
        <v>11</v>
      </c>
      <c r="H217" s="160" t="s">
        <v>1860</v>
      </c>
      <c r="I217" s="160" t="str">
        <f t="shared" si="114"/>
        <v>achat des matériaux</v>
      </c>
      <c r="J217" s="160" t="s">
        <v>1867</v>
      </c>
      <c r="K217" s="160" t="s">
        <v>1874</v>
      </c>
      <c r="L217" s="160" t="s">
        <v>1879</v>
      </c>
      <c r="M217" s="329">
        <f>Q216</f>
        <v>45008</v>
      </c>
      <c r="N217" s="329">
        <f t="shared" si="102"/>
        <v>45008</v>
      </c>
      <c r="O217" s="329">
        <f>M217</f>
        <v>45008</v>
      </c>
      <c r="P217" s="329">
        <f>M217</f>
        <v>45008</v>
      </c>
      <c r="Q217" s="329">
        <f>P217+1</f>
        <v>45009</v>
      </c>
      <c r="R217" s="160">
        <f t="shared" si="119"/>
        <v>5</v>
      </c>
      <c r="S217" s="160">
        <f t="shared" si="115"/>
        <v>3</v>
      </c>
      <c r="U217" s="353" t="str">
        <f t="shared" si="116"/>
        <v>INSERT INTO TACHES(idTache, numTache, nameTache, descriptionTache, prioTache, stateTache, categoryTache, dateCreateTache, dateInProgressTache, dateToTestTache, dateEndThTache, dateEndRealTache, idProjet) VALUES (achat des matériaux, achat des matériaux, Vitale, Terminée, Realisation, 45008, 45008, 45008, 45008, 45009, 5);</v>
      </c>
    </row>
    <row r="218" spans="6:21" ht="20.05" customHeight="1" outlineLevel="1" x14ac:dyDescent="0.3">
      <c r="F218" s="160">
        <f t="shared" si="112"/>
        <v>84</v>
      </c>
      <c r="G218" s="160">
        <f t="shared" si="118"/>
        <v>12</v>
      </c>
      <c r="H218" s="160" t="s">
        <v>1861</v>
      </c>
      <c r="I218" s="160" t="str">
        <f t="shared" si="114"/>
        <v>recruter équipe</v>
      </c>
      <c r="J218" s="160" t="s">
        <v>1867</v>
      </c>
      <c r="K218" s="160" t="s">
        <v>1874</v>
      </c>
      <c r="L218" s="160" t="s">
        <v>1879</v>
      </c>
      <c r="M218" s="329">
        <f>Q217</f>
        <v>45009</v>
      </c>
      <c r="N218" s="329">
        <f t="shared" ref="N218:N224" si="120">M218</f>
        <v>45009</v>
      </c>
      <c r="O218" s="329">
        <f>N218+2</f>
        <v>45011</v>
      </c>
      <c r="P218" s="329">
        <f>O218+0</f>
        <v>45011</v>
      </c>
      <c r="Q218" s="329">
        <f>P218</f>
        <v>45011</v>
      </c>
      <c r="R218" s="160">
        <f t="shared" si="119"/>
        <v>5</v>
      </c>
      <c r="S218" s="160">
        <f t="shared" si="115"/>
        <v>2</v>
      </c>
      <c r="U218" s="353" t="str">
        <f t="shared" si="116"/>
        <v>INSERT INTO TACHES(idTache, numTache, nameTache, descriptionTache, prioTache, stateTache, categoryTache, dateCreateTache, dateInProgressTache, dateToTestTache, dateEndThTache, dateEndRealTache, idProjet) VALUES (recruter équipe, recruter équipe, Vitale, Terminée, Realisation, 45009, 45009, 45011, 45011, 45011, 5);</v>
      </c>
    </row>
    <row r="219" spans="6:21" outlineLevel="1" x14ac:dyDescent="0.3">
      <c r="F219" s="160">
        <f t="shared" si="112"/>
        <v>85</v>
      </c>
      <c r="G219" s="160">
        <f t="shared" si="118"/>
        <v>13</v>
      </c>
      <c r="H219" s="160" t="s">
        <v>1862</v>
      </c>
      <c r="I219" s="160" t="str">
        <f t="shared" si="114"/>
        <v>coordonner chaque membre</v>
      </c>
      <c r="J219" s="160" t="s">
        <v>1867</v>
      </c>
      <c r="K219" s="160" t="s">
        <v>1874</v>
      </c>
      <c r="L219" s="160" t="s">
        <v>1879</v>
      </c>
      <c r="M219" s="329">
        <f>Q218+1</f>
        <v>45012</v>
      </c>
      <c r="N219" s="329">
        <f t="shared" si="120"/>
        <v>45012</v>
      </c>
      <c r="O219" s="329">
        <f>M219</f>
        <v>45012</v>
      </c>
      <c r="P219" s="329">
        <f>M219</f>
        <v>45012</v>
      </c>
      <c r="Q219" s="329">
        <f>M219</f>
        <v>45012</v>
      </c>
      <c r="R219" s="160">
        <f t="shared" si="119"/>
        <v>5</v>
      </c>
      <c r="S219" s="160">
        <f t="shared" si="115"/>
        <v>2</v>
      </c>
      <c r="U219" s="353" t="str">
        <f t="shared" si="116"/>
        <v>INSERT INTO TACHES(idTache, numTache, nameTache, descriptionTache, prioTache, stateTache, categoryTache, dateCreateTache, dateInProgressTache, dateToTestTache, dateEndThTache, dateEndRealTache, idProjet) VALUES (coordonner chaque membre, coordonner chaque membre, Vitale, Terminée, Realisation, 45012, 45012, 45012, 45012, 45012, 5);</v>
      </c>
    </row>
    <row r="220" spans="6:21" ht="28.05" customHeight="1" outlineLevel="1" x14ac:dyDescent="0.3">
      <c r="F220" s="160">
        <f t="shared" si="112"/>
        <v>86</v>
      </c>
      <c r="G220" s="160">
        <f t="shared" si="118"/>
        <v>14</v>
      </c>
      <c r="H220" s="160" t="s">
        <v>1855</v>
      </c>
      <c r="I220" s="160" t="str">
        <f t="shared" si="114"/>
        <v>fonctionnalité 4</v>
      </c>
      <c r="J220" s="160" t="s">
        <v>1867</v>
      </c>
      <c r="K220" s="160" t="s">
        <v>1874</v>
      </c>
      <c r="L220" s="160" t="s">
        <v>1879</v>
      </c>
      <c r="M220" s="329">
        <f>Q219+1</f>
        <v>45013</v>
      </c>
      <c r="N220" s="329">
        <f t="shared" si="120"/>
        <v>45013</v>
      </c>
      <c r="O220" s="329">
        <f>M220</f>
        <v>45013</v>
      </c>
      <c r="P220" s="329">
        <f>M220</f>
        <v>45013</v>
      </c>
      <c r="Q220" s="329">
        <f>M220</f>
        <v>45013</v>
      </c>
      <c r="R220" s="160">
        <f t="shared" si="119"/>
        <v>5</v>
      </c>
      <c r="S220" s="160">
        <f t="shared" si="115"/>
        <v>2</v>
      </c>
      <c r="U220" s="353" t="str">
        <f t="shared" si="116"/>
        <v>INSERT INTO TACHES(idTache, numTache, nameTache, descriptionTache, prioTache, stateTache, categoryTache, dateCreateTache, dateInProgressTache, dateToTestTache, dateEndThTache, dateEndRealTache, idProjet) VALUES (fonctionnalité 4, fonctionnalité 4, Vitale, Terminée, Realisation, 45013, 45013, 45013, 45013, 45013, 5);</v>
      </c>
    </row>
    <row r="221" spans="6:21" ht="30.05" customHeight="1" outlineLevel="1" x14ac:dyDescent="0.3">
      <c r="F221" s="160">
        <f t="shared" si="112"/>
        <v>87</v>
      </c>
      <c r="G221" s="160">
        <f t="shared" si="118"/>
        <v>15</v>
      </c>
      <c r="H221" s="160" t="s">
        <v>1856</v>
      </c>
      <c r="I221" s="160" t="str">
        <f t="shared" si="114"/>
        <v>fonctionnalité 5</v>
      </c>
      <c r="J221" s="160" t="s">
        <v>1868</v>
      </c>
      <c r="K221" s="160" t="s">
        <v>1874</v>
      </c>
      <c r="L221" s="160" t="s">
        <v>1879</v>
      </c>
      <c r="M221" s="329">
        <f>Q215+1</f>
        <v>45016</v>
      </c>
      <c r="N221" s="329">
        <f t="shared" si="120"/>
        <v>45016</v>
      </c>
      <c r="O221" s="329">
        <f>M221</f>
        <v>45016</v>
      </c>
      <c r="P221" s="329">
        <f>M221</f>
        <v>45016</v>
      </c>
      <c r="Q221" s="329">
        <f>M221</f>
        <v>45016</v>
      </c>
      <c r="R221" s="160">
        <f t="shared" si="119"/>
        <v>5</v>
      </c>
      <c r="S221" s="160">
        <f t="shared" si="115"/>
        <v>2</v>
      </c>
      <c r="U221" s="353" t="str">
        <f t="shared" si="116"/>
        <v>INSERT INTO TACHES(idTache, numTache, nameTache, descriptionTache, prioTache, stateTache, categoryTache, dateCreateTache, dateInProgressTache, dateToTestTache, dateEndThTache, dateEndRealTache, idProjet) VALUES (fonctionnalité 5, fonctionnalité 5, Importante, Terminée, Realisation, 45016, 45016, 45016, 45016, 45016, 5);</v>
      </c>
    </row>
    <row r="222" spans="6:21" ht="20.05" customHeight="1" outlineLevel="1" x14ac:dyDescent="0.3">
      <c r="F222" s="160">
        <f t="shared" si="112"/>
        <v>88</v>
      </c>
      <c r="G222" s="160">
        <f t="shared" si="118"/>
        <v>16</v>
      </c>
      <c r="H222" s="160" t="s">
        <v>1857</v>
      </c>
      <c r="I222" s="160" t="str">
        <f t="shared" si="114"/>
        <v>fonctionnalité 6</v>
      </c>
      <c r="J222" s="160" t="s">
        <v>1870</v>
      </c>
      <c r="K222" s="160" t="s">
        <v>1874</v>
      </c>
      <c r="L222" s="160" t="s">
        <v>1879</v>
      </c>
      <c r="M222" s="329">
        <f>Q214+1</f>
        <v>45018</v>
      </c>
      <c r="N222" s="329">
        <f t="shared" si="120"/>
        <v>45018</v>
      </c>
      <c r="O222" s="329">
        <f>N222+1</f>
        <v>45019</v>
      </c>
      <c r="P222" s="329">
        <f>O222</f>
        <v>45019</v>
      </c>
      <c r="Q222" s="329">
        <f>P222</f>
        <v>45019</v>
      </c>
      <c r="R222" s="160">
        <f t="shared" si="119"/>
        <v>5</v>
      </c>
      <c r="S222" s="160">
        <f t="shared" si="115"/>
        <v>2</v>
      </c>
      <c r="U222" s="353" t="str">
        <f t="shared" si="116"/>
        <v>INSERT INTO TACHES(idTache, numTache, nameTache, descriptionTache, prioTache, stateTache, categoryTache, dateCreateTache, dateInProgressTache, dateToTestTache, dateEndThTache, dateEndRealTache, idProjet) VALUES (fonctionnalité 6, fonctionnalité 6, Confort, Terminée, Realisation, 45018, 45018, 45019, 45019, 45019, 5);</v>
      </c>
    </row>
    <row r="223" spans="6:21" ht="20.05" customHeight="1" outlineLevel="1" x14ac:dyDescent="0.3">
      <c r="F223" s="160">
        <f t="shared" si="112"/>
        <v>89</v>
      </c>
      <c r="G223" s="160">
        <f t="shared" si="118"/>
        <v>17</v>
      </c>
      <c r="H223" s="160" t="s">
        <v>1863</v>
      </c>
      <c r="I223" s="160" t="str">
        <f t="shared" si="114"/>
        <v>fonctionnalité n</v>
      </c>
      <c r="J223" s="160" t="s">
        <v>1867</v>
      </c>
      <c r="K223" s="160" t="s">
        <v>1874</v>
      </c>
      <c r="L223" s="160" t="s">
        <v>1879</v>
      </c>
      <c r="M223" s="329">
        <f>Q220+1</f>
        <v>45014</v>
      </c>
      <c r="N223" s="329">
        <f t="shared" si="120"/>
        <v>45014</v>
      </c>
      <c r="O223" s="329">
        <f t="shared" ref="O223:O229" si="121">M223</f>
        <v>45014</v>
      </c>
      <c r="P223" s="329">
        <f>M223</f>
        <v>45014</v>
      </c>
      <c r="Q223" s="329">
        <f>P223+1</f>
        <v>45015</v>
      </c>
      <c r="R223" s="160">
        <f t="shared" si="119"/>
        <v>5</v>
      </c>
      <c r="S223" s="160">
        <f t="shared" si="115"/>
        <v>3</v>
      </c>
      <c r="U223" s="353" t="str">
        <f t="shared" si="116"/>
        <v>INSERT INTO TACHES(idTache, numTache, nameTache, descriptionTache, prioTache, stateTache, categoryTache, dateCreateTache, dateInProgressTache, dateToTestTache, dateEndThTache, dateEndRealTache, idProjet) VALUES (fonctionnalité n, fonctionnalité n, Vitale, Terminée, Realisation, 45014, 45014, 45014, 45014, 45015, 5);</v>
      </c>
    </row>
    <row r="224" spans="6:21" ht="28.2" customHeight="1" x14ac:dyDescent="0.3">
      <c r="F224" s="160">
        <f t="shared" si="112"/>
        <v>90</v>
      </c>
      <c r="G224" s="160">
        <f t="shared" si="118"/>
        <v>18</v>
      </c>
      <c r="H224" s="160" t="s">
        <v>1864</v>
      </c>
      <c r="I224" s="160" t="str">
        <f t="shared" si="114"/>
        <v>livraison du projet</v>
      </c>
      <c r="J224" s="160" t="s">
        <v>1867</v>
      </c>
      <c r="K224" s="160" t="s">
        <v>1874</v>
      </c>
      <c r="L224" s="160" t="s">
        <v>1880</v>
      </c>
      <c r="M224" s="346">
        <f>Q222+1</f>
        <v>45020</v>
      </c>
      <c r="N224" s="329">
        <f t="shared" si="120"/>
        <v>45020</v>
      </c>
      <c r="O224" s="329">
        <f t="shared" si="121"/>
        <v>45020</v>
      </c>
      <c r="P224" s="329">
        <f>O224+0</f>
        <v>45020</v>
      </c>
      <c r="Q224" s="329">
        <f>P224</f>
        <v>45020</v>
      </c>
      <c r="R224" s="160">
        <f t="shared" si="119"/>
        <v>5</v>
      </c>
      <c r="S224" s="160">
        <f t="shared" si="115"/>
        <v>2</v>
      </c>
      <c r="U224" s="353" t="str">
        <f t="shared" si="116"/>
        <v>INSERT INTO TACHES(idTache, numTache, nameTache, descriptionTache, prioTache, stateTache, categoryTache, dateCreateTache, dateInProgressTache, dateToTestTache, dateEndThTache, dateEndRealTache, idProjet) VALUES (livraison du projet, livraison du projet, Vitale, Terminée, Exploitation, 45020, 45020, 45020, 45020, 45020, 5);</v>
      </c>
    </row>
    <row r="225" spans="6:21" ht="20.05" customHeight="1" outlineLevel="1" x14ac:dyDescent="0.3">
      <c r="F225" s="160">
        <f t="shared" ref="F225:F242" si="122">F224+1</f>
        <v>91</v>
      </c>
      <c r="G225" s="160">
        <v>1</v>
      </c>
      <c r="H225" s="160" t="s">
        <v>1865</v>
      </c>
      <c r="I225" s="160" t="str">
        <f t="shared" si="114"/>
        <v>Validation du DEVIS</v>
      </c>
      <c r="J225" s="160" t="s">
        <v>1867</v>
      </c>
      <c r="L225" s="160" t="s">
        <v>1876</v>
      </c>
      <c r="M225" s="346">
        <v>45019</v>
      </c>
      <c r="N225" s="329">
        <f>M225</f>
        <v>45019</v>
      </c>
      <c r="O225" s="329">
        <f t="shared" si="121"/>
        <v>45019</v>
      </c>
      <c r="P225" s="329">
        <f>M225</f>
        <v>45019</v>
      </c>
      <c r="Q225" s="329">
        <f>M225</f>
        <v>45019</v>
      </c>
      <c r="R225" s="160">
        <v>6</v>
      </c>
      <c r="S225" s="160">
        <f t="shared" si="115"/>
        <v>2</v>
      </c>
      <c r="U225" s="353" t="str">
        <f t="shared" si="116"/>
        <v>INSERT INTO TACHES(idTache, numTache, nameTache, descriptionTache, prioTache, stateTache, categoryTache, dateCreateTache, dateInProgressTache, dateToTestTache, dateEndThTache, dateEndRealTache, idProjet) VALUES (Validation du DEVIS, Validation du DEVIS, Vitale, , Initialisation, 45019, 45019, 45019, 45019, 45019, 6);</v>
      </c>
    </row>
    <row r="226" spans="6:21" ht="20.05" customHeight="1" outlineLevel="1" x14ac:dyDescent="0.3">
      <c r="F226" s="160">
        <f t="shared" si="122"/>
        <v>92</v>
      </c>
      <c r="G226" s="160">
        <f>G225+1</f>
        <v>2</v>
      </c>
      <c r="H226" s="160" t="s">
        <v>1851</v>
      </c>
      <c r="I226" s="160" t="str">
        <f t="shared" si="114"/>
        <v>rencontre client preciser projet +elaborer cahier des charges + prise de cotes + photos+etc</v>
      </c>
      <c r="J226" s="160" t="s">
        <v>1867</v>
      </c>
      <c r="L226" s="160" t="s">
        <v>1876</v>
      </c>
      <c r="M226" s="346">
        <f>Q225</f>
        <v>45019</v>
      </c>
      <c r="N226" s="329">
        <f t="shared" ref="N226:N242" si="123">M226</f>
        <v>45019</v>
      </c>
      <c r="O226" s="329">
        <f t="shared" si="121"/>
        <v>45019</v>
      </c>
      <c r="P226" s="329">
        <f>M226</f>
        <v>45019</v>
      </c>
      <c r="Q226" s="329">
        <f>M226</f>
        <v>45019</v>
      </c>
      <c r="R226" s="160">
        <f t="shared" ref="R226:R242" si="124">R225</f>
        <v>6</v>
      </c>
      <c r="S226" s="160">
        <f t="shared" si="115"/>
        <v>2</v>
      </c>
      <c r="U226" s="353" t="str">
        <f t="shared" si="116"/>
        <v>INSERT INTO TACHES(idTache, numTache, nameTache, descriptionTache, prioTache, stateTache, categoryTache, dateCreateTache, dateInProgressTache, dateToTestTache, dateEndThTache, dateEndRealTache, idProjet) VALUES (rencontre client preciser projet +elaborer cahier des charges + prise de cotes + photos+etc, rencontre client preciser projet +elaborer cahier des charges + prise de cotes + photos+etc, Vitale, , Initialisation, 45019, 45019, 45019, 45019, 45019, 6);</v>
      </c>
    </row>
    <row r="227" spans="6:21" ht="20.05" customHeight="1" outlineLevel="1" x14ac:dyDescent="0.3">
      <c r="F227" s="160">
        <f t="shared" si="122"/>
        <v>93</v>
      </c>
      <c r="G227" s="160">
        <f t="shared" ref="G227:G242" si="125">G226+1</f>
        <v>3</v>
      </c>
      <c r="H227" s="160" t="s">
        <v>1866</v>
      </c>
      <c r="I227" s="160" t="str">
        <f t="shared" si="114"/>
        <v>analyse 1 des exigence + Plans + obligations</v>
      </c>
      <c r="J227" s="160" t="s">
        <v>1867</v>
      </c>
      <c r="L227" s="160" t="s">
        <v>1877</v>
      </c>
      <c r="M227" s="346">
        <f>Q226</f>
        <v>45019</v>
      </c>
      <c r="N227" s="329">
        <f t="shared" si="123"/>
        <v>45019</v>
      </c>
      <c r="O227" s="329">
        <f t="shared" si="121"/>
        <v>45019</v>
      </c>
      <c r="P227" s="329">
        <f>M227</f>
        <v>45019</v>
      </c>
      <c r="Q227" s="329">
        <f>M227</f>
        <v>45019</v>
      </c>
      <c r="R227" s="160">
        <f t="shared" si="124"/>
        <v>6</v>
      </c>
      <c r="S227" s="160">
        <f t="shared" si="115"/>
        <v>2</v>
      </c>
      <c r="U227" s="353" t="str">
        <f t="shared" si="116"/>
        <v>INSERT INTO TACHES(idTache, numTache, nameTache, descriptionTache, prioTache, stateTache, categoryTache, dateCreateTache, dateInProgressTache, dateToTestTache, dateEndThTache, dateEndRealTache, idProjet) VALUES (analyse 1 des exigence + Plans + obligations, analyse 1 des exigence + Plans + obligations, Vitale, , Analyse, 45019, 45019, 45019, 45019, 45019, 6);</v>
      </c>
    </row>
    <row r="228" spans="6:21" ht="20.05" customHeight="1" outlineLevel="1" x14ac:dyDescent="0.3">
      <c r="F228" s="160">
        <f t="shared" si="122"/>
        <v>94</v>
      </c>
      <c r="G228" s="160">
        <f t="shared" si="125"/>
        <v>4</v>
      </c>
      <c r="H228" s="160" t="s">
        <v>1850</v>
      </c>
      <c r="I228" s="160" t="str">
        <f t="shared" si="114"/>
        <v>faire validé la présentation + avec precision clients</v>
      </c>
      <c r="J228" s="160" t="s">
        <v>1867</v>
      </c>
      <c r="L228" s="160" t="s">
        <v>1877</v>
      </c>
      <c r="M228" s="346">
        <f>Q227+1</f>
        <v>45020</v>
      </c>
      <c r="N228" s="329">
        <f t="shared" si="123"/>
        <v>45020</v>
      </c>
      <c r="O228" s="329">
        <f t="shared" si="121"/>
        <v>45020</v>
      </c>
      <c r="P228" s="329">
        <f>M228</f>
        <v>45020</v>
      </c>
      <c r="Q228" s="329">
        <f>M228</f>
        <v>45020</v>
      </c>
      <c r="R228" s="160">
        <f t="shared" si="124"/>
        <v>6</v>
      </c>
      <c r="S228" s="160">
        <f t="shared" si="115"/>
        <v>2</v>
      </c>
      <c r="U228" s="353" t="str">
        <f t="shared" si="116"/>
        <v>INSERT INTO TACHES(idTache, numTache, nameTache, descriptionTache, prioTache, stateTache, categoryTache, dateCreateTache, dateInProgressTache, dateToTestTache, dateEndThTache, dateEndRealTache, idProjet) VALUES (faire validé la présentation + avec precision clients, faire validé la présentation + avec precision clients, Vitale, , Analyse, 45020, 45020, 45020, 45020, 45020, 6);</v>
      </c>
    </row>
    <row r="229" spans="6:21" ht="78.3" customHeight="1" outlineLevel="1" x14ac:dyDescent="0.3">
      <c r="F229" s="160">
        <f t="shared" si="122"/>
        <v>95</v>
      </c>
      <c r="G229" s="160">
        <f t="shared" si="125"/>
        <v>5</v>
      </c>
      <c r="H229" s="160" t="s">
        <v>1881</v>
      </c>
      <c r="I229" s="160" t="str">
        <f t="shared" si="114"/>
        <v>Analyse approfondie de Conception, fonctionnalités, maquettage, cahier des charges à valider</v>
      </c>
      <c r="J229" s="160" t="s">
        <v>1867</v>
      </c>
      <c r="L229" s="160" t="s">
        <v>1878</v>
      </c>
      <c r="M229" s="346">
        <f>Q228</f>
        <v>45020</v>
      </c>
      <c r="N229" s="329">
        <f t="shared" si="123"/>
        <v>45020</v>
      </c>
      <c r="O229" s="329">
        <f t="shared" si="121"/>
        <v>45020</v>
      </c>
      <c r="P229" s="329">
        <f>O229+1</f>
        <v>45021</v>
      </c>
      <c r="Q229" s="329">
        <f>P229</f>
        <v>45021</v>
      </c>
      <c r="R229" s="160">
        <f t="shared" si="124"/>
        <v>6</v>
      </c>
      <c r="S229" s="160">
        <f t="shared" si="115"/>
        <v>3</v>
      </c>
      <c r="U229" s="353" t="str">
        <f t="shared" si="116"/>
        <v>INSERT INTO TACHES(idTache, numTache, nameTache, descriptionTache, prioTache, stateTache, categoryTache, dateCreateTache, dateInProgressTache, dateToTestTache, dateEndThTache, dateEndRealTache, idProjet) VALUES (Analyse approfondie de Conception, fonctionnalités, maquettage, cahier des charges à valider, Analyse approfondie de Conception, fonctionnalités, maquettage, cahier des charges à valider, Vitale, , Conception, 45020, 45020, 45020, 45021, 45021, 6);</v>
      </c>
    </row>
    <row r="230" spans="6:21" ht="90.35" customHeight="1" outlineLevel="1" x14ac:dyDescent="0.3">
      <c r="F230" s="160">
        <f t="shared" si="122"/>
        <v>96</v>
      </c>
      <c r="G230" s="160">
        <f t="shared" si="125"/>
        <v>6</v>
      </c>
      <c r="H230" s="160" t="s">
        <v>1852</v>
      </c>
      <c r="I230" s="160" t="str">
        <f t="shared" si="114"/>
        <v>fonctionnalité 1</v>
      </c>
      <c r="J230" s="160" t="s">
        <v>1867</v>
      </c>
      <c r="L230" s="160" t="s">
        <v>1879</v>
      </c>
      <c r="M230" s="346">
        <f>Q229+1</f>
        <v>45022</v>
      </c>
      <c r="N230" s="329">
        <f t="shared" si="123"/>
        <v>45022</v>
      </c>
      <c r="O230" s="329">
        <f>N230+4</f>
        <v>45026</v>
      </c>
      <c r="P230" s="329">
        <f>O230+1</f>
        <v>45027</v>
      </c>
      <c r="Q230" s="329">
        <f>P230</f>
        <v>45027</v>
      </c>
      <c r="R230" s="160">
        <f t="shared" si="124"/>
        <v>6</v>
      </c>
      <c r="S230" s="160">
        <f t="shared" si="115"/>
        <v>5</v>
      </c>
      <c r="U230" s="353" t="str">
        <f t="shared" si="116"/>
        <v>INSERT INTO TACHES(idTache, numTache, nameTache, descriptionTache, prioTache, stateTache, categoryTache, dateCreateTache, dateInProgressTache, dateToTestTache, dateEndThTache, dateEndRealTache, idProjet) VALUES (fonctionnalité 1, fonctionnalité 1, Vitale, , Realisation, 45022, 45022, 45026, 45027, 45027, 6);</v>
      </c>
    </row>
    <row r="231" spans="6:21" ht="90.35" customHeight="1" outlineLevel="1" x14ac:dyDescent="0.3">
      <c r="F231" s="160">
        <f t="shared" si="122"/>
        <v>97</v>
      </c>
      <c r="G231" s="160">
        <f t="shared" si="125"/>
        <v>7</v>
      </c>
      <c r="H231" s="160" t="s">
        <v>1853</v>
      </c>
      <c r="I231" s="160" t="str">
        <f t="shared" ref="I231:I261" si="126">H231</f>
        <v>fonctionnalité 2</v>
      </c>
      <c r="J231" s="160" t="s">
        <v>1867</v>
      </c>
      <c r="L231" s="160" t="s">
        <v>1879</v>
      </c>
      <c r="M231" s="346">
        <f>Q230+1</f>
        <v>45028</v>
      </c>
      <c r="N231" s="329">
        <f t="shared" si="123"/>
        <v>45028</v>
      </c>
      <c r="O231" s="329">
        <f>N231+2</f>
        <v>45030</v>
      </c>
      <c r="P231" s="329">
        <f>O231+1</f>
        <v>45031</v>
      </c>
      <c r="Q231" s="329">
        <f>P231</f>
        <v>45031</v>
      </c>
      <c r="R231" s="160">
        <f t="shared" si="124"/>
        <v>6</v>
      </c>
      <c r="S231" s="160">
        <f t="shared" si="115"/>
        <v>4</v>
      </c>
      <c r="U231" s="353" t="str">
        <f t="shared" si="116"/>
        <v>INSERT INTO TACHES(idTache, numTache, nameTache, descriptionTache, prioTache, stateTache, categoryTache, dateCreateTache, dateInProgressTache, dateToTestTache, dateEndThTache, dateEndRealTache, idProjet) VALUES (fonctionnalité 2, fonctionnalité 2, Vitale, , Realisation, 45028, 45028, 45030, 45031, 45031, 6);</v>
      </c>
    </row>
    <row r="232" spans="6:21" ht="20.05" customHeight="1" outlineLevel="1" x14ac:dyDescent="0.3">
      <c r="F232" s="160">
        <f t="shared" si="122"/>
        <v>98</v>
      </c>
      <c r="G232" s="160">
        <f t="shared" si="125"/>
        <v>8</v>
      </c>
      <c r="H232" s="160" t="s">
        <v>1854</v>
      </c>
      <c r="I232" s="160" t="str">
        <f t="shared" si="126"/>
        <v>fonctionnalité 3</v>
      </c>
      <c r="J232" s="160" t="s">
        <v>1869</v>
      </c>
      <c r="L232" s="160" t="s">
        <v>1879</v>
      </c>
      <c r="M232" s="346">
        <f>Q239+1</f>
        <v>45043</v>
      </c>
      <c r="N232" s="343">
        <f t="shared" si="123"/>
        <v>45043</v>
      </c>
      <c r="O232" s="343">
        <f>M232</f>
        <v>45043</v>
      </c>
      <c r="P232" s="343">
        <f>M232</f>
        <v>45043</v>
      </c>
      <c r="Q232" s="343">
        <f>M232</f>
        <v>45043</v>
      </c>
      <c r="R232" s="160">
        <f t="shared" si="124"/>
        <v>6</v>
      </c>
      <c r="S232" s="160">
        <f t="shared" si="115"/>
        <v>2</v>
      </c>
      <c r="U232" s="353" t="str">
        <f t="shared" si="116"/>
        <v>INSERT INTO TACHES(idTache, numTache, nameTache, descriptionTache, prioTache, stateTache, categoryTache, dateCreateTache, dateInProgressTache, dateToTestTache, dateEndThTache, dateEndRealTache, idProjet) VALUES (fonctionnalité 3, fonctionnalité 3, Utile, , Realisation, 45043, 45043, 45043, 45043, 45043, 6);</v>
      </c>
    </row>
    <row r="233" spans="6:21" ht="20.05" customHeight="1" outlineLevel="1" x14ac:dyDescent="0.3">
      <c r="F233" s="160">
        <f t="shared" si="122"/>
        <v>99</v>
      </c>
      <c r="G233" s="160">
        <f t="shared" si="125"/>
        <v>9</v>
      </c>
      <c r="H233" s="160" t="s">
        <v>1858</v>
      </c>
      <c r="I233" s="160" t="str">
        <f t="shared" si="126"/>
        <v>fonctionnalité X</v>
      </c>
      <c r="J233" s="160" t="s">
        <v>1868</v>
      </c>
      <c r="L233" s="160" t="s">
        <v>1879</v>
      </c>
      <c r="M233" s="346">
        <f>Q241</f>
        <v>45041</v>
      </c>
      <c r="N233" s="343">
        <f t="shared" si="123"/>
        <v>45041</v>
      </c>
      <c r="O233" s="343">
        <f>M233</f>
        <v>45041</v>
      </c>
      <c r="P233" s="343">
        <f>M233</f>
        <v>45041</v>
      </c>
      <c r="Q233" s="343">
        <f>M233</f>
        <v>45041</v>
      </c>
      <c r="R233" s="160">
        <f t="shared" si="124"/>
        <v>6</v>
      </c>
      <c r="S233" s="160">
        <f t="shared" si="115"/>
        <v>2</v>
      </c>
      <c r="U233" s="353" t="str">
        <f t="shared" si="116"/>
        <v>INSERT INTO TACHES(idTache, numTache, nameTache, descriptionTache, prioTache, stateTache, categoryTache, dateCreateTache, dateInProgressTache, dateToTestTache, dateEndThTache, dateEndRealTache, idProjet) VALUES (fonctionnalité X, fonctionnalité X, Importante, , Realisation, 45041, 45041, 45041, 45041, 45041, 6);</v>
      </c>
    </row>
    <row r="234" spans="6:21" ht="20.05" customHeight="1" outlineLevel="1" x14ac:dyDescent="0.3">
      <c r="F234" s="160">
        <f t="shared" si="122"/>
        <v>100</v>
      </c>
      <c r="G234" s="160">
        <f t="shared" si="125"/>
        <v>10</v>
      </c>
      <c r="H234" s="160" t="s">
        <v>1859</v>
      </c>
      <c r="I234" s="160" t="str">
        <f t="shared" si="126"/>
        <v>deplacement</v>
      </c>
      <c r="J234" s="160" t="s">
        <v>1867</v>
      </c>
      <c r="L234" s="160" t="s">
        <v>1879</v>
      </c>
      <c r="M234" s="346">
        <f>Q231+1</f>
        <v>45032</v>
      </c>
      <c r="N234" s="329">
        <f t="shared" si="123"/>
        <v>45032</v>
      </c>
      <c r="O234" s="329">
        <f>M234</f>
        <v>45032</v>
      </c>
      <c r="P234" s="329">
        <f>M234</f>
        <v>45032</v>
      </c>
      <c r="Q234" s="329">
        <f>P234+1</f>
        <v>45033</v>
      </c>
      <c r="R234" s="160">
        <f t="shared" si="124"/>
        <v>6</v>
      </c>
      <c r="S234" s="160">
        <f t="shared" si="115"/>
        <v>2</v>
      </c>
      <c r="U234" s="353" t="str">
        <f t="shared" si="116"/>
        <v>INSERT INTO TACHES(idTache, numTache, nameTache, descriptionTache, prioTache, stateTache, categoryTache, dateCreateTache, dateInProgressTache, dateToTestTache, dateEndThTache, dateEndRealTache, idProjet) VALUES (deplacement, deplacement, Vitale, , Realisation, 45032, 45032, 45032, 45032, 45033, 6);</v>
      </c>
    </row>
    <row r="235" spans="6:21" ht="20.05" customHeight="1" outlineLevel="1" x14ac:dyDescent="0.3">
      <c r="F235" s="160">
        <f t="shared" si="122"/>
        <v>101</v>
      </c>
      <c r="G235" s="160">
        <f t="shared" si="125"/>
        <v>11</v>
      </c>
      <c r="H235" s="160" t="s">
        <v>1860</v>
      </c>
      <c r="I235" s="160" t="str">
        <f t="shared" si="126"/>
        <v>achat des matériaux</v>
      </c>
      <c r="J235" s="160" t="s">
        <v>1867</v>
      </c>
      <c r="L235" s="160" t="s">
        <v>1879</v>
      </c>
      <c r="M235" s="346">
        <f>Q234</f>
        <v>45033</v>
      </c>
      <c r="N235" s="329">
        <f t="shared" si="123"/>
        <v>45033</v>
      </c>
      <c r="O235" s="329">
        <f>M235</f>
        <v>45033</v>
      </c>
      <c r="P235" s="329">
        <f>M235</f>
        <v>45033</v>
      </c>
      <c r="Q235" s="329">
        <f>P235+1</f>
        <v>45034</v>
      </c>
      <c r="R235" s="160">
        <f t="shared" si="124"/>
        <v>6</v>
      </c>
      <c r="S235" s="160">
        <f t="shared" si="115"/>
        <v>3</v>
      </c>
      <c r="U235" s="353" t="str">
        <f t="shared" si="116"/>
        <v>INSERT INTO TACHES(idTache, numTache, nameTache, descriptionTache, prioTache, stateTache, categoryTache, dateCreateTache, dateInProgressTache, dateToTestTache, dateEndThTache, dateEndRealTache, idProjet) VALUES (achat des matériaux, achat des matériaux, Vitale, , Realisation, 45033, 45033, 45033, 45033, 45034, 6);</v>
      </c>
    </row>
    <row r="236" spans="6:21" ht="20.05" customHeight="1" outlineLevel="1" x14ac:dyDescent="0.3">
      <c r="F236" s="160">
        <f t="shared" si="122"/>
        <v>102</v>
      </c>
      <c r="G236" s="160">
        <f t="shared" si="125"/>
        <v>12</v>
      </c>
      <c r="H236" s="160" t="s">
        <v>1861</v>
      </c>
      <c r="I236" s="160" t="str">
        <f t="shared" si="126"/>
        <v>recruter équipe</v>
      </c>
      <c r="J236" s="160" t="s">
        <v>1867</v>
      </c>
      <c r="L236" s="160" t="s">
        <v>1879</v>
      </c>
      <c r="M236" s="346">
        <f>Q235</f>
        <v>45034</v>
      </c>
      <c r="N236" s="329">
        <f t="shared" si="123"/>
        <v>45034</v>
      </c>
      <c r="O236" s="329">
        <f>N236+2</f>
        <v>45036</v>
      </c>
      <c r="P236" s="329">
        <f>O236+0</f>
        <v>45036</v>
      </c>
      <c r="Q236" s="329">
        <f>P236</f>
        <v>45036</v>
      </c>
      <c r="R236" s="160">
        <f t="shared" si="124"/>
        <v>6</v>
      </c>
      <c r="S236" s="160">
        <f t="shared" si="115"/>
        <v>4</v>
      </c>
      <c r="U236" s="353" t="str">
        <f t="shared" si="116"/>
        <v>INSERT INTO TACHES(idTache, numTache, nameTache, descriptionTache, prioTache, stateTache, categoryTache, dateCreateTache, dateInProgressTache, dateToTestTache, dateEndThTache, dateEndRealTache, idProjet) VALUES (recruter équipe, recruter équipe, Vitale, , Realisation, 45034, 45034, 45036, 45036, 45036, 6);</v>
      </c>
    </row>
    <row r="237" spans="6:21" outlineLevel="1" x14ac:dyDescent="0.3">
      <c r="F237" s="160">
        <f t="shared" si="122"/>
        <v>103</v>
      </c>
      <c r="G237" s="160">
        <f t="shared" si="125"/>
        <v>13</v>
      </c>
      <c r="H237" s="160" t="s">
        <v>1862</v>
      </c>
      <c r="I237" s="160" t="str">
        <f t="shared" si="126"/>
        <v>coordonner chaque membre</v>
      </c>
      <c r="J237" s="160" t="s">
        <v>1867</v>
      </c>
      <c r="L237" s="160" t="s">
        <v>1879</v>
      </c>
      <c r="M237" s="346">
        <f>Q236+1</f>
        <v>45037</v>
      </c>
      <c r="N237" s="329">
        <f t="shared" si="123"/>
        <v>45037</v>
      </c>
      <c r="O237" s="329">
        <f>M237</f>
        <v>45037</v>
      </c>
      <c r="P237" s="329">
        <f>O237+1</f>
        <v>45038</v>
      </c>
      <c r="Q237" s="329">
        <f>M237</f>
        <v>45037</v>
      </c>
      <c r="R237" s="160">
        <f t="shared" si="124"/>
        <v>6</v>
      </c>
      <c r="S237" s="160">
        <f t="shared" si="115"/>
        <v>2</v>
      </c>
      <c r="U237" s="353" t="str">
        <f t="shared" si="116"/>
        <v>INSERT INTO TACHES(idTache, numTache, nameTache, descriptionTache, prioTache, stateTache, categoryTache, dateCreateTache, dateInProgressTache, dateToTestTache, dateEndThTache, dateEndRealTache, idProjet) VALUES (coordonner chaque membre, coordonner chaque membre, Vitale, , Realisation, 45037, 45037, 45037, 45038, 45037, 6);</v>
      </c>
    </row>
    <row r="238" spans="6:21" ht="28.05" customHeight="1" outlineLevel="1" x14ac:dyDescent="0.3">
      <c r="F238" s="160">
        <f t="shared" si="122"/>
        <v>104</v>
      </c>
      <c r="G238" s="160">
        <f t="shared" si="125"/>
        <v>14</v>
      </c>
      <c r="H238" s="160" t="s">
        <v>1855</v>
      </c>
      <c r="I238" s="160" t="str">
        <f t="shared" si="126"/>
        <v>fonctionnalité 4</v>
      </c>
      <c r="J238" s="160" t="s">
        <v>1867</v>
      </c>
      <c r="K238" s="160" t="s">
        <v>1871</v>
      </c>
      <c r="L238" s="160" t="s">
        <v>1879</v>
      </c>
      <c r="M238" s="346">
        <f>Q237+1</f>
        <v>45038</v>
      </c>
      <c r="N238" s="329">
        <f t="shared" si="123"/>
        <v>45038</v>
      </c>
      <c r="O238" s="343">
        <f>M238+1</f>
        <v>45039</v>
      </c>
      <c r="P238" s="343">
        <f>M238+1</f>
        <v>45039</v>
      </c>
      <c r="Q238" s="343">
        <f>M238</f>
        <v>45038</v>
      </c>
      <c r="R238" s="160">
        <f t="shared" si="124"/>
        <v>6</v>
      </c>
      <c r="S238" s="160">
        <f t="shared" si="115"/>
        <v>1</v>
      </c>
      <c r="U238" s="353" t="str">
        <f t="shared" si="116"/>
        <v>INSERT INTO TACHES(idTache, numTache, nameTache, descriptionTache, prioTache, stateTache, categoryTache, dateCreateTache, dateInProgressTache, dateToTestTache, dateEndThTache, dateEndRealTache, idProjet) VALUES (fonctionnalité 4, fonctionnalité 4, Vitale, Créée, Realisation, 45038, 45038, 45039, 45039, 45038, 6);</v>
      </c>
    </row>
    <row r="239" spans="6:21" ht="30.05" customHeight="1" outlineLevel="1" x14ac:dyDescent="0.3">
      <c r="F239" s="160">
        <f t="shared" si="122"/>
        <v>105</v>
      </c>
      <c r="G239" s="160">
        <f t="shared" si="125"/>
        <v>15</v>
      </c>
      <c r="H239" s="160" t="s">
        <v>1856</v>
      </c>
      <c r="I239" s="160" t="str">
        <f t="shared" si="126"/>
        <v>fonctionnalité 5</v>
      </c>
      <c r="J239" s="160" t="s">
        <v>1868</v>
      </c>
      <c r="K239" s="160" t="s">
        <v>1872</v>
      </c>
      <c r="L239" s="160" t="s">
        <v>1879</v>
      </c>
      <c r="M239" s="346">
        <f>Q233+1</f>
        <v>45042</v>
      </c>
      <c r="N239" s="343">
        <f t="shared" si="123"/>
        <v>45042</v>
      </c>
      <c r="O239" s="343">
        <f>M239</f>
        <v>45042</v>
      </c>
      <c r="P239" s="343">
        <f>M239</f>
        <v>45042</v>
      </c>
      <c r="Q239" s="343">
        <f>M239</f>
        <v>45042</v>
      </c>
      <c r="R239" s="160">
        <f t="shared" si="124"/>
        <v>6</v>
      </c>
      <c r="S239" s="160">
        <f t="shared" si="115"/>
        <v>2</v>
      </c>
      <c r="U239" s="353" t="str">
        <f t="shared" si="116"/>
        <v>INSERT INTO TACHES(idTache, numTache, nameTache, descriptionTache, prioTache, stateTache, categoryTache, dateCreateTache, dateInProgressTache, dateToTestTache, dateEndThTache, dateEndRealTache, idProjet) VALUES (fonctionnalité 5, fonctionnalité 5, Importante, EnCours, Realisation, 45042, 45042, 45042, 45042, 45042, 6);</v>
      </c>
    </row>
    <row r="240" spans="6:21" ht="20.05" customHeight="1" outlineLevel="1" x14ac:dyDescent="0.3">
      <c r="F240" s="160">
        <f t="shared" si="122"/>
        <v>106</v>
      </c>
      <c r="G240" s="160">
        <f t="shared" si="125"/>
        <v>16</v>
      </c>
      <c r="H240" s="160" t="s">
        <v>1857</v>
      </c>
      <c r="I240" s="160" t="str">
        <f t="shared" si="126"/>
        <v>fonctionnalité 6</v>
      </c>
      <c r="J240" s="160" t="s">
        <v>1870</v>
      </c>
      <c r="K240" s="160" t="s">
        <v>1873</v>
      </c>
      <c r="L240" s="160" t="s">
        <v>1879</v>
      </c>
      <c r="M240" s="346">
        <f>Q232+1</f>
        <v>45044</v>
      </c>
      <c r="N240" s="343">
        <f t="shared" si="123"/>
        <v>45044</v>
      </c>
      <c r="O240" s="343">
        <f>N240+1</f>
        <v>45045</v>
      </c>
      <c r="P240" s="343">
        <f>O240</f>
        <v>45045</v>
      </c>
      <c r="Q240" s="343">
        <f>P240</f>
        <v>45045</v>
      </c>
      <c r="R240" s="160">
        <f t="shared" si="124"/>
        <v>6</v>
      </c>
      <c r="S240" s="160">
        <f t="shared" si="115"/>
        <v>2</v>
      </c>
      <c r="U240" s="353" t="str">
        <f t="shared" si="116"/>
        <v>INSERT INTO TACHES(idTache, numTache, nameTache, descriptionTache, prioTache, stateTache, categoryTache, dateCreateTache, dateInProgressTache, dateToTestTache, dateEndThTache, dateEndRealTache, idProjet) VALUES (fonctionnalité 6, fonctionnalité 6, Confort, Atester, Realisation, 45044, 45044, 45045, 45045, 45045, 6);</v>
      </c>
    </row>
    <row r="241" spans="6:21" ht="20.05" customHeight="1" outlineLevel="1" x14ac:dyDescent="0.3">
      <c r="F241" s="160">
        <f t="shared" si="122"/>
        <v>107</v>
      </c>
      <c r="G241" s="160">
        <f t="shared" si="125"/>
        <v>17</v>
      </c>
      <c r="H241" s="160" t="s">
        <v>1863</v>
      </c>
      <c r="I241" s="160" t="str">
        <f t="shared" si="126"/>
        <v>fonctionnalité n</v>
      </c>
      <c r="J241" s="160" t="s">
        <v>1867</v>
      </c>
      <c r="K241" s="160" t="s">
        <v>1874</v>
      </c>
      <c r="L241" s="160" t="s">
        <v>1879</v>
      </c>
      <c r="M241" s="346">
        <f>Q238+1</f>
        <v>45039</v>
      </c>
      <c r="N241" s="343">
        <f t="shared" si="123"/>
        <v>45039</v>
      </c>
      <c r="O241" s="343">
        <f>M241+1</f>
        <v>45040</v>
      </c>
      <c r="P241" s="343">
        <f>M241+1</f>
        <v>45040</v>
      </c>
      <c r="Q241" s="343">
        <f>P241+1</f>
        <v>45041</v>
      </c>
      <c r="R241" s="160">
        <f t="shared" si="124"/>
        <v>6</v>
      </c>
      <c r="S241" s="160">
        <f t="shared" si="115"/>
        <v>3</v>
      </c>
      <c r="U241" s="353" t="str">
        <f t="shared" si="116"/>
        <v>INSERT INTO TACHES(idTache, numTache, nameTache, descriptionTache, prioTache, stateTache, categoryTache, dateCreateTache, dateInProgressTache, dateToTestTache, dateEndThTache, dateEndRealTache, idProjet) VALUES (fonctionnalité n, fonctionnalité n, Vitale, Terminée, Realisation, 45039, 45039, 45040, 45040, 45041, 6);</v>
      </c>
    </row>
    <row r="242" spans="6:21" ht="28.2" customHeight="1" x14ac:dyDescent="0.3">
      <c r="F242" s="160">
        <f t="shared" si="122"/>
        <v>108</v>
      </c>
      <c r="G242" s="160">
        <f t="shared" si="125"/>
        <v>18</v>
      </c>
      <c r="H242" s="160" t="s">
        <v>1864</v>
      </c>
      <c r="I242" s="160" t="str">
        <f t="shared" si="126"/>
        <v>livraison du projet</v>
      </c>
      <c r="J242" s="160" t="s">
        <v>1867</v>
      </c>
      <c r="K242" s="160" t="s">
        <v>1875</v>
      </c>
      <c r="L242" s="160" t="s">
        <v>1880</v>
      </c>
      <c r="M242" s="346">
        <f>Q240+1</f>
        <v>45046</v>
      </c>
      <c r="N242" s="343">
        <f t="shared" si="123"/>
        <v>45046</v>
      </c>
      <c r="O242" s="343">
        <f>N242+2</f>
        <v>45048</v>
      </c>
      <c r="P242" s="343">
        <f>O242+1</f>
        <v>45049</v>
      </c>
      <c r="Q242" s="343">
        <f>P242</f>
        <v>45049</v>
      </c>
      <c r="R242" s="160">
        <f t="shared" si="124"/>
        <v>6</v>
      </c>
      <c r="S242" s="160">
        <f t="shared" si="115"/>
        <v>4</v>
      </c>
      <c r="U242" s="353" t="str">
        <f t="shared" si="116"/>
        <v>INSERT INTO TACHES(idTache, numTache, nameTache, descriptionTache, prioTache, stateTache, categoryTache, dateCreateTache, dateInProgressTache, dateToTestTache, dateEndThTache, dateEndRealTache, idProjet) VALUES (livraison du projet, livraison du projet, Vitale, Annulée, Exploitation, 45046, 45046, 45048, 45049, 45049, 6);</v>
      </c>
    </row>
    <row r="243" spans="6:21" ht="20.05" customHeight="1" outlineLevel="1" x14ac:dyDescent="0.3">
      <c r="F243" s="160">
        <f t="shared" ref="F243:F261" si="127">F242+1</f>
        <v>109</v>
      </c>
      <c r="G243" s="160">
        <v>1</v>
      </c>
      <c r="H243" s="160" t="s">
        <v>1865</v>
      </c>
      <c r="I243" s="160" t="str">
        <f t="shared" si="126"/>
        <v>Validation du DEVIS</v>
      </c>
      <c r="J243" s="160" t="s">
        <v>1867</v>
      </c>
      <c r="K243" s="160" t="s">
        <v>1874</v>
      </c>
      <c r="L243" s="160" t="s">
        <v>1876</v>
      </c>
      <c r="M243" s="346">
        <v>45031</v>
      </c>
      <c r="N243" s="329">
        <v>45031</v>
      </c>
      <c r="O243" s="329">
        <v>45031</v>
      </c>
      <c r="P243" s="329" t="s">
        <v>1883</v>
      </c>
      <c r="Q243" s="329">
        <v>45031</v>
      </c>
      <c r="R243" s="160">
        <v>7</v>
      </c>
      <c r="S243" s="160">
        <f t="shared" si="115"/>
        <v>1</v>
      </c>
      <c r="U243" s="353" t="str">
        <f t="shared" si="116"/>
        <v>INSERT INTO TACHES(idTache, numTache, nameTache, descriptionTache, prioTache, stateTache, categoryTache, dateCreateTache, dateInProgressTache, dateToTestTache, dateEndThTache, dateEndRealTache, idProjet) VALUES (Validation du DEVIS, Validation du DEVIS, Vitale, Terminée, Initialisation, 45031, 45031, 45031, 15/0/2023, 45031, 7);</v>
      </c>
    </row>
    <row r="244" spans="6:21" ht="20.05" customHeight="1" outlineLevel="1" x14ac:dyDescent="0.3">
      <c r="F244" s="160">
        <f t="shared" si="127"/>
        <v>110</v>
      </c>
      <c r="G244" s="160">
        <f>G243+1</f>
        <v>2</v>
      </c>
      <c r="H244" s="160" t="s">
        <v>1882</v>
      </c>
      <c r="I244" s="160" t="str">
        <f t="shared" si="126"/>
        <v>création du projet (administrativement SpationauteDesign)</v>
      </c>
      <c r="J244" s="160" t="s">
        <v>1868</v>
      </c>
      <c r="K244" s="160" t="s">
        <v>1872</v>
      </c>
      <c r="L244" s="160" t="s">
        <v>1876</v>
      </c>
      <c r="M244" s="346">
        <v>45031</v>
      </c>
      <c r="N244" s="329">
        <v>45031</v>
      </c>
      <c r="O244" s="329">
        <v>45031</v>
      </c>
      <c r="P244" s="329">
        <v>45032</v>
      </c>
      <c r="Q244" s="329">
        <v>45032</v>
      </c>
      <c r="R244" s="160">
        <f t="shared" ref="R244:R250" si="128">R243</f>
        <v>7</v>
      </c>
      <c r="S244" s="160">
        <f t="shared" si="115"/>
        <v>1</v>
      </c>
      <c r="U244" s="353" t="str">
        <f t="shared" si="116"/>
        <v>INSERT INTO TACHES(idTache, numTache, nameTache, descriptionTache, prioTache, stateTache, categoryTache, dateCreateTache, dateInProgressTache, dateToTestTache, dateEndThTache, dateEndRealTache, idProjet) VALUES (création du projet (administrativement SpationauteDesign), création du projet (administrativement SpationauteDesign), Importante, EnCours, Initialisation, 45031, 45031, 45031, 45032, 45032, 7);</v>
      </c>
    </row>
    <row r="245" spans="6:21" ht="20.05" customHeight="1" outlineLevel="1" x14ac:dyDescent="0.3">
      <c r="F245" s="160">
        <f t="shared" si="127"/>
        <v>111</v>
      </c>
      <c r="G245" s="160">
        <f t="shared" ref="G245:G261" si="129">G244+1</f>
        <v>3</v>
      </c>
      <c r="H245" s="160" t="s">
        <v>1851</v>
      </c>
      <c r="I245" s="294" t="str">
        <f t="shared" si="126"/>
        <v>rencontre client preciser projet +elaborer cahier des charges + prise de cotes + photos+etc</v>
      </c>
      <c r="J245" s="294" t="s">
        <v>1867</v>
      </c>
      <c r="K245" s="160" t="s">
        <v>1871</v>
      </c>
      <c r="L245" s="294" t="s">
        <v>1876</v>
      </c>
      <c r="M245" s="347">
        <v>45048</v>
      </c>
      <c r="N245" s="329">
        <v>45048</v>
      </c>
      <c r="O245" s="329"/>
      <c r="P245" s="329"/>
      <c r="Q245" s="329"/>
      <c r="R245" s="160">
        <f t="shared" si="128"/>
        <v>7</v>
      </c>
      <c r="U245" s="353" t="str">
        <f t="shared" si="116"/>
        <v>INSERT INTO TACHES(idTache, numTache, nameTache, descriptionTache, prioTache, stateTache, categoryTache, dateCreateTache, dateInProgressTache, dateToTestTache, dateEndThTache, dateEndRealTache, idProjet) VALUES (rencontre client preciser projet +elaborer cahier des charges + prise de cotes + photos+etc, rencontre client preciser projet +elaborer cahier des charges + prise de cotes + photos+etc, Vitale, Créée, Initialisation, 45048, 45048, , , , 7);</v>
      </c>
    </row>
    <row r="246" spans="6:21" ht="20.05" customHeight="1" outlineLevel="1" x14ac:dyDescent="0.3">
      <c r="F246" s="160">
        <f t="shared" si="127"/>
        <v>112</v>
      </c>
      <c r="G246" s="160">
        <f t="shared" si="129"/>
        <v>4</v>
      </c>
      <c r="H246" s="160" t="s">
        <v>1866</v>
      </c>
      <c r="I246" s="160" t="str">
        <f t="shared" si="126"/>
        <v>analyse 1 des exigence + Plans + obligations</v>
      </c>
      <c r="J246" s="160" t="s">
        <v>1867</v>
      </c>
      <c r="K246" s="160" t="s">
        <v>1871</v>
      </c>
      <c r="L246" s="160" t="s">
        <v>1877</v>
      </c>
      <c r="M246" s="346">
        <v>45031</v>
      </c>
      <c r="N246" s="329"/>
      <c r="O246" s="329"/>
      <c r="P246" s="329"/>
      <c r="Q246" s="329"/>
      <c r="R246" s="160">
        <f t="shared" si="128"/>
        <v>7</v>
      </c>
      <c r="U246" s="353" t="str">
        <f t="shared" si="116"/>
        <v>INSERT INTO TACHES(idTache, numTache, nameTache, descriptionTache, prioTache, stateTache, categoryTache, dateCreateTache, dateInProgressTache, dateToTestTache, dateEndThTache, dateEndRealTache, idProjet) VALUES (analyse 1 des exigence + Plans + obligations, analyse 1 des exigence + Plans + obligations, Vitale, Créée, Analyse, 45031, , , , , 7);</v>
      </c>
    </row>
    <row r="247" spans="6:21" ht="20.05" customHeight="1" outlineLevel="1" x14ac:dyDescent="0.3">
      <c r="F247" s="160">
        <f t="shared" si="127"/>
        <v>113</v>
      </c>
      <c r="G247" s="160">
        <f t="shared" si="129"/>
        <v>5</v>
      </c>
      <c r="H247" s="160" t="s">
        <v>1850</v>
      </c>
      <c r="I247" s="160" t="str">
        <f t="shared" si="126"/>
        <v>faire validé la présentation + avec precision clients</v>
      </c>
      <c r="J247" s="160" t="s">
        <v>1867</v>
      </c>
      <c r="K247" s="160" t="s">
        <v>1871</v>
      </c>
      <c r="L247" s="160" t="s">
        <v>1877</v>
      </c>
      <c r="M247" s="346">
        <v>45048</v>
      </c>
      <c r="N247" s="329"/>
      <c r="O247" s="329"/>
      <c r="P247" s="329"/>
      <c r="Q247" s="329"/>
      <c r="R247" s="160">
        <f t="shared" si="128"/>
        <v>7</v>
      </c>
      <c r="U247" s="353" t="str">
        <f t="shared" si="116"/>
        <v>INSERT INTO TACHES(idTache, numTache, nameTache, descriptionTache, prioTache, stateTache, categoryTache, dateCreateTache, dateInProgressTache, dateToTestTache, dateEndThTache, dateEndRealTache, idProjet) VALUES (faire validé la présentation + avec precision clients, faire validé la présentation + avec precision clients, Vitale, Créée, Analyse, 45048, , , , , 7);</v>
      </c>
    </row>
    <row r="248" spans="6:21" ht="78.3" customHeight="1" outlineLevel="1" x14ac:dyDescent="0.3">
      <c r="F248" s="160">
        <f t="shared" si="127"/>
        <v>114</v>
      </c>
      <c r="G248" s="160">
        <f t="shared" si="129"/>
        <v>6</v>
      </c>
      <c r="H248" s="160" t="s">
        <v>1881</v>
      </c>
      <c r="I248" s="160" t="str">
        <f t="shared" si="126"/>
        <v>Analyse approfondie de Conception, fonctionnalités, maquettage, cahier des charges à valider</v>
      </c>
      <c r="J248" s="160" t="s">
        <v>1867</v>
      </c>
      <c r="K248" s="160" t="s">
        <v>1871</v>
      </c>
      <c r="L248" s="160" t="s">
        <v>1878</v>
      </c>
      <c r="M248" s="346">
        <v>45032</v>
      </c>
      <c r="N248" s="329"/>
      <c r="O248" s="329"/>
      <c r="P248" s="329"/>
      <c r="Q248" s="329"/>
      <c r="R248" s="160">
        <f t="shared" si="128"/>
        <v>7</v>
      </c>
      <c r="U248" s="353" t="str">
        <f t="shared" si="116"/>
        <v>INSERT INTO TACHES(idTache, numTache, nameTache, descriptionTache, prioTache, stateTache, categoryTache, dateCreateTache, dateInProgressTache, dateToTestTache, dateEndThTache, dateEndRealTache, idProjet) VALUES (Analyse approfondie de Conception, fonctionnalités, maquettage, cahier des charges à valider, Analyse approfondie de Conception, fonctionnalités, maquettage, cahier des charges à valider, Vitale, Créée, Conception, 45032, , , , , 7);</v>
      </c>
    </row>
    <row r="249" spans="6:21" ht="90.35" customHeight="1" outlineLevel="1" x14ac:dyDescent="0.3">
      <c r="F249" s="160">
        <f t="shared" si="127"/>
        <v>115</v>
      </c>
      <c r="G249" s="160">
        <f t="shared" si="129"/>
        <v>7</v>
      </c>
      <c r="H249" s="160" t="s">
        <v>1852</v>
      </c>
      <c r="I249" s="160" t="str">
        <f t="shared" si="126"/>
        <v>fonctionnalité 1</v>
      </c>
      <c r="J249" s="160" t="s">
        <v>1867</v>
      </c>
      <c r="K249" s="160" t="s">
        <v>1871</v>
      </c>
      <c r="L249" s="160" t="s">
        <v>1879</v>
      </c>
      <c r="M249" s="346">
        <v>45033</v>
      </c>
      <c r="N249" s="329"/>
      <c r="O249" s="329"/>
      <c r="P249" s="329"/>
      <c r="Q249" s="329"/>
      <c r="R249" s="160">
        <f t="shared" si="128"/>
        <v>7</v>
      </c>
      <c r="U249" s="353" t="str">
        <f t="shared" si="116"/>
        <v>INSERT INTO TACHES(idTache, numTache, nameTache, descriptionTache, prioTache, stateTache, categoryTache, dateCreateTache, dateInProgressTache, dateToTestTache, dateEndThTache, dateEndRealTache, idProjet) VALUES (fonctionnalité 1, fonctionnalité 1, Vitale, Créée, Realisation, 45033, , , , , 7);</v>
      </c>
    </row>
    <row r="250" spans="6:21" ht="90.35" customHeight="1" outlineLevel="1" x14ac:dyDescent="0.3">
      <c r="F250" s="160">
        <f t="shared" si="127"/>
        <v>116</v>
      </c>
      <c r="G250" s="160">
        <f t="shared" si="129"/>
        <v>8</v>
      </c>
      <c r="H250" s="160" t="s">
        <v>1853</v>
      </c>
      <c r="I250" s="160" t="str">
        <f t="shared" si="126"/>
        <v>fonctionnalité 2</v>
      </c>
      <c r="J250" s="160" t="s">
        <v>1867</v>
      </c>
      <c r="K250" s="160" t="s">
        <v>1871</v>
      </c>
      <c r="L250" s="160" t="s">
        <v>1879</v>
      </c>
      <c r="M250" s="346">
        <v>45033</v>
      </c>
      <c r="N250" s="329"/>
      <c r="O250" s="329"/>
      <c r="P250" s="329"/>
      <c r="Q250" s="329"/>
      <c r="R250" s="160">
        <f t="shared" si="128"/>
        <v>7</v>
      </c>
      <c r="U250" s="353" t="str">
        <f t="shared" si="116"/>
        <v>INSERT INTO TACHES(idTache, numTache, nameTache, descriptionTache, prioTache, stateTache, categoryTache, dateCreateTache, dateInProgressTache, dateToTestTache, dateEndThTache, dateEndRealTache, idProjet) VALUES (fonctionnalité 2, fonctionnalité 2, Vitale, Créée, Realisation, 45033, , , , , 7);</v>
      </c>
    </row>
    <row r="251" spans="6:21" ht="20.05" customHeight="1" outlineLevel="1" x14ac:dyDescent="0.3">
      <c r="F251" s="160">
        <f t="shared" si="127"/>
        <v>117</v>
      </c>
      <c r="G251" s="160">
        <f t="shared" si="129"/>
        <v>9</v>
      </c>
      <c r="H251" s="160" t="s">
        <v>1854</v>
      </c>
      <c r="I251" s="160" t="str">
        <f t="shared" si="126"/>
        <v>fonctionnalité 3</v>
      </c>
      <c r="J251" s="160" t="s">
        <v>1869</v>
      </c>
      <c r="K251" s="160" t="s">
        <v>1871</v>
      </c>
      <c r="L251" s="160" t="s">
        <v>1879</v>
      </c>
      <c r="M251" s="346">
        <v>45035</v>
      </c>
      <c r="N251" s="343"/>
      <c r="O251" s="343"/>
      <c r="P251" s="343"/>
      <c r="Q251" s="343"/>
      <c r="R251" s="160">
        <f t="shared" ref="R251:R261" si="130">R250</f>
        <v>7</v>
      </c>
      <c r="U251" s="353" t="str">
        <f t="shared" si="116"/>
        <v>INSERT INTO TACHES(idTache, numTache, nameTache, descriptionTache, prioTache, stateTache, categoryTache, dateCreateTache, dateInProgressTache, dateToTestTache, dateEndThTache, dateEndRealTache, idProjet) VALUES (fonctionnalité 3, fonctionnalité 3, Utile, Créée, Realisation, 45035, , , , , 7);</v>
      </c>
    </row>
    <row r="252" spans="6:21" ht="20.05" customHeight="1" outlineLevel="1" x14ac:dyDescent="0.3">
      <c r="F252" s="160">
        <f t="shared" si="127"/>
        <v>118</v>
      </c>
      <c r="G252" s="160">
        <f t="shared" si="129"/>
        <v>10</v>
      </c>
      <c r="H252" s="160" t="s">
        <v>1858</v>
      </c>
      <c r="I252" s="160" t="str">
        <f t="shared" si="126"/>
        <v>fonctionnalité X</v>
      </c>
      <c r="J252" s="160" t="s">
        <v>1868</v>
      </c>
      <c r="K252" s="160" t="s">
        <v>1871</v>
      </c>
      <c r="L252" s="160" t="s">
        <v>1879</v>
      </c>
      <c r="M252" s="346">
        <v>45035</v>
      </c>
      <c r="N252" s="343"/>
      <c r="O252" s="343"/>
      <c r="P252" s="343"/>
      <c r="Q252" s="343"/>
      <c r="R252" s="160">
        <f t="shared" si="130"/>
        <v>7</v>
      </c>
      <c r="U252" s="353" t="str">
        <f t="shared" si="116"/>
        <v>INSERT INTO TACHES(idTache, numTache, nameTache, descriptionTache, prioTache, stateTache, categoryTache, dateCreateTache, dateInProgressTache, dateToTestTache, dateEndThTache, dateEndRealTache, idProjet) VALUES (fonctionnalité X, fonctionnalité X, Importante, Créée, Realisation, 45035, , , , , 7);</v>
      </c>
    </row>
    <row r="253" spans="6:21" ht="20.05" customHeight="1" outlineLevel="1" x14ac:dyDescent="0.3">
      <c r="F253" s="160">
        <f t="shared" si="127"/>
        <v>119</v>
      </c>
      <c r="G253" s="160">
        <f t="shared" si="129"/>
        <v>11</v>
      </c>
      <c r="H253" s="160" t="s">
        <v>1859</v>
      </c>
      <c r="I253" s="160" t="str">
        <f t="shared" si="126"/>
        <v>deplacement</v>
      </c>
      <c r="J253" s="160" t="s">
        <v>1867</v>
      </c>
      <c r="K253" s="160" t="s">
        <v>1871</v>
      </c>
      <c r="L253" s="160" t="s">
        <v>1879</v>
      </c>
      <c r="M253" s="346">
        <v>45036</v>
      </c>
      <c r="N253" s="329"/>
      <c r="O253" s="329"/>
      <c r="P253" s="329"/>
      <c r="Q253" s="329"/>
      <c r="R253" s="160">
        <f t="shared" si="130"/>
        <v>7</v>
      </c>
      <c r="U253" s="353" t="str">
        <f t="shared" si="116"/>
        <v>INSERT INTO TACHES(idTache, numTache, nameTache, descriptionTache, prioTache, stateTache, categoryTache, dateCreateTache, dateInProgressTache, dateToTestTache, dateEndThTache, dateEndRealTache, idProjet) VALUES (deplacement, deplacement, Vitale, Créée, Realisation, 45036, , , , , 7);</v>
      </c>
    </row>
    <row r="254" spans="6:21" ht="20.05" customHeight="1" outlineLevel="1" x14ac:dyDescent="0.3">
      <c r="F254" s="160">
        <f t="shared" si="127"/>
        <v>120</v>
      </c>
      <c r="G254" s="160">
        <f t="shared" si="129"/>
        <v>12</v>
      </c>
      <c r="H254" s="160" t="s">
        <v>1860</v>
      </c>
      <c r="I254" s="160" t="str">
        <f t="shared" si="126"/>
        <v>achat des matériaux</v>
      </c>
      <c r="J254" s="160" t="s">
        <v>1867</v>
      </c>
      <c r="K254" s="160" t="s">
        <v>1871</v>
      </c>
      <c r="L254" s="160" t="s">
        <v>1879</v>
      </c>
      <c r="M254" s="348">
        <v>45041</v>
      </c>
      <c r="N254" s="329"/>
      <c r="O254" s="329"/>
      <c r="P254" s="329"/>
      <c r="Q254" s="329"/>
      <c r="R254" s="160">
        <f t="shared" si="130"/>
        <v>7</v>
      </c>
      <c r="U254" s="353" t="str">
        <f t="shared" si="116"/>
        <v>INSERT INTO TACHES(idTache, numTache, nameTache, descriptionTache, prioTache, stateTache, categoryTache, dateCreateTache, dateInProgressTache, dateToTestTache, dateEndThTache, dateEndRealTache, idProjet) VALUES (achat des matériaux, achat des matériaux, Vitale, Créée, Realisation, 45041, , , , , 7);</v>
      </c>
    </row>
    <row r="255" spans="6:21" ht="20.05" customHeight="1" outlineLevel="1" x14ac:dyDescent="0.3">
      <c r="F255" s="160">
        <f t="shared" si="127"/>
        <v>121</v>
      </c>
      <c r="G255" s="160">
        <f t="shared" si="129"/>
        <v>13</v>
      </c>
      <c r="H255" s="160" t="s">
        <v>1884</v>
      </c>
      <c r="I255" s="160" t="str">
        <f t="shared" si="126"/>
        <v>affecter équipe</v>
      </c>
      <c r="J255" s="160" t="s">
        <v>1867</v>
      </c>
      <c r="K255" s="160" t="s">
        <v>1871</v>
      </c>
      <c r="L255" s="160" t="s">
        <v>1879</v>
      </c>
      <c r="M255" s="348">
        <v>45048</v>
      </c>
      <c r="N255" s="329"/>
      <c r="O255" s="329"/>
      <c r="P255" s="329"/>
      <c r="Q255" s="329"/>
      <c r="R255" s="160">
        <f t="shared" si="130"/>
        <v>7</v>
      </c>
      <c r="U255" s="353" t="str">
        <f t="shared" si="116"/>
        <v>INSERT INTO TACHES(idTache, numTache, nameTache, descriptionTache, prioTache, stateTache, categoryTache, dateCreateTache, dateInProgressTache, dateToTestTache, dateEndThTache, dateEndRealTache, idProjet) VALUES (affecter équipe, affecter équipe, Vitale, Créée, Realisation, 45048, , , , , 7);</v>
      </c>
    </row>
    <row r="256" spans="6:21" outlineLevel="1" x14ac:dyDescent="0.3">
      <c r="F256" s="160">
        <f t="shared" si="127"/>
        <v>122</v>
      </c>
      <c r="G256" s="160">
        <f t="shared" si="129"/>
        <v>14</v>
      </c>
      <c r="H256" s="160" t="s">
        <v>1862</v>
      </c>
      <c r="I256" s="160" t="str">
        <f t="shared" si="126"/>
        <v>coordonner chaque membre</v>
      </c>
      <c r="J256" s="160" t="s">
        <v>1867</v>
      </c>
      <c r="K256" s="160" t="s">
        <v>1871</v>
      </c>
      <c r="L256" s="160" t="s">
        <v>1879</v>
      </c>
      <c r="M256" s="348">
        <v>45048</v>
      </c>
      <c r="N256" s="329"/>
      <c r="O256" s="329"/>
      <c r="P256" s="329"/>
      <c r="Q256" s="329"/>
      <c r="R256" s="160">
        <f t="shared" si="130"/>
        <v>7</v>
      </c>
      <c r="U256" s="353" t="str">
        <f t="shared" si="116"/>
        <v>INSERT INTO TACHES(idTache, numTache, nameTache, descriptionTache, prioTache, stateTache, categoryTache, dateCreateTache, dateInProgressTache, dateToTestTache, dateEndThTache, dateEndRealTache, idProjet) VALUES (coordonner chaque membre, coordonner chaque membre, Vitale, Créée, Realisation, 45048, , , , , 7);</v>
      </c>
    </row>
    <row r="257" spans="5:21" ht="28.05" customHeight="1" outlineLevel="1" x14ac:dyDescent="0.3">
      <c r="F257" s="160">
        <f t="shared" si="127"/>
        <v>123</v>
      </c>
      <c r="G257" s="160">
        <f t="shared" si="129"/>
        <v>15</v>
      </c>
      <c r="H257" s="160" t="s">
        <v>1855</v>
      </c>
      <c r="I257" s="160" t="str">
        <f t="shared" si="126"/>
        <v>fonctionnalité 4</v>
      </c>
      <c r="J257" s="160" t="s">
        <v>1867</v>
      </c>
      <c r="K257" s="160" t="s">
        <v>1871</v>
      </c>
      <c r="L257" s="160" t="s">
        <v>1879</v>
      </c>
      <c r="M257" s="348">
        <v>45042</v>
      </c>
      <c r="N257" s="329"/>
      <c r="O257" s="343"/>
      <c r="P257" s="343"/>
      <c r="Q257" s="343"/>
      <c r="R257" s="160">
        <f t="shared" si="130"/>
        <v>7</v>
      </c>
      <c r="U257" s="353" t="str">
        <f t="shared" si="116"/>
        <v>INSERT INTO TACHES(idTache, numTache, nameTache, descriptionTache, prioTache, stateTache, categoryTache, dateCreateTache, dateInProgressTache, dateToTestTache, dateEndThTache, dateEndRealTache, idProjet) VALUES (fonctionnalité 4, fonctionnalité 4, Vitale, Créée, Realisation, 45042, , , , , 7);</v>
      </c>
    </row>
    <row r="258" spans="5:21" ht="30.05" customHeight="1" outlineLevel="1" x14ac:dyDescent="0.3">
      <c r="F258" s="160">
        <f t="shared" si="127"/>
        <v>124</v>
      </c>
      <c r="G258" s="160">
        <f t="shared" si="129"/>
        <v>16</v>
      </c>
      <c r="H258" s="160" t="s">
        <v>1856</v>
      </c>
      <c r="I258" s="160" t="str">
        <f t="shared" si="126"/>
        <v>fonctionnalité 5</v>
      </c>
      <c r="J258" s="160" t="s">
        <v>1868</v>
      </c>
      <c r="K258" s="160" t="s">
        <v>1871</v>
      </c>
      <c r="L258" s="160" t="s">
        <v>1879</v>
      </c>
      <c r="M258" s="348">
        <v>45042</v>
      </c>
      <c r="N258" s="343"/>
      <c r="O258" s="343"/>
      <c r="P258" s="343"/>
      <c r="Q258" s="343"/>
      <c r="R258" s="160">
        <f t="shared" si="130"/>
        <v>7</v>
      </c>
      <c r="U258" s="353" t="str">
        <f t="shared" si="116"/>
        <v>INSERT INTO TACHES(idTache, numTache, nameTache, descriptionTache, prioTache, stateTache, categoryTache, dateCreateTache, dateInProgressTache, dateToTestTache, dateEndThTache, dateEndRealTache, idProjet) VALUES (fonctionnalité 5, fonctionnalité 5, Importante, Créée, Realisation, 45042, , , , , 7);</v>
      </c>
    </row>
    <row r="259" spans="5:21" ht="20.05" customHeight="1" outlineLevel="1" x14ac:dyDescent="0.3">
      <c r="F259" s="160">
        <f t="shared" si="127"/>
        <v>125</v>
      </c>
      <c r="G259" s="160">
        <f t="shared" si="129"/>
        <v>17</v>
      </c>
      <c r="H259" s="160" t="s">
        <v>1857</v>
      </c>
      <c r="I259" s="160" t="str">
        <f t="shared" si="126"/>
        <v>fonctionnalité 6</v>
      </c>
      <c r="J259" s="160" t="s">
        <v>1870</v>
      </c>
      <c r="K259" s="160" t="s">
        <v>1871</v>
      </c>
      <c r="L259" s="160" t="s">
        <v>1879</v>
      </c>
      <c r="M259" s="348">
        <v>45043</v>
      </c>
      <c r="N259" s="343"/>
      <c r="O259" s="343"/>
      <c r="P259" s="343"/>
      <c r="Q259" s="343"/>
      <c r="R259" s="160">
        <f t="shared" si="130"/>
        <v>7</v>
      </c>
      <c r="U259" s="353" t="str">
        <f t="shared" si="116"/>
        <v>INSERT INTO TACHES(idTache, numTache, nameTache, descriptionTache, prioTache, stateTache, categoryTache, dateCreateTache, dateInProgressTache, dateToTestTache, dateEndThTache, dateEndRealTache, idProjet) VALUES (fonctionnalité 6, fonctionnalité 6, Confort, Créée, Realisation, 45043, , , , , 7);</v>
      </c>
    </row>
    <row r="260" spans="5:21" ht="20.05" customHeight="1" outlineLevel="1" x14ac:dyDescent="0.3">
      <c r="F260" s="160">
        <f t="shared" si="127"/>
        <v>126</v>
      </c>
      <c r="G260" s="160">
        <f t="shared" si="129"/>
        <v>18</v>
      </c>
      <c r="H260" s="160" t="s">
        <v>1863</v>
      </c>
      <c r="I260" s="160" t="str">
        <f t="shared" si="126"/>
        <v>fonctionnalité n</v>
      </c>
      <c r="J260" s="160" t="s">
        <v>1867</v>
      </c>
      <c r="K260" s="160" t="s">
        <v>1871</v>
      </c>
      <c r="L260" s="160" t="s">
        <v>1879</v>
      </c>
      <c r="M260" s="348">
        <v>45044</v>
      </c>
      <c r="N260" s="343"/>
      <c r="O260" s="343"/>
      <c r="P260" s="343"/>
      <c r="Q260" s="343"/>
      <c r="R260" s="160">
        <f t="shared" si="130"/>
        <v>7</v>
      </c>
      <c r="U260" s="353" t="str">
        <f t="shared" si="116"/>
        <v>INSERT INTO TACHES(idTache, numTache, nameTache, descriptionTache, prioTache, stateTache, categoryTache, dateCreateTache, dateInProgressTache, dateToTestTache, dateEndThTache, dateEndRealTache, idProjet) VALUES (fonctionnalité n, fonctionnalité n, Vitale, Créée, Realisation, 45044, , , , , 7);</v>
      </c>
    </row>
    <row r="261" spans="5:21" ht="28.2" customHeight="1" x14ac:dyDescent="0.3">
      <c r="F261" s="160">
        <f t="shared" si="127"/>
        <v>127</v>
      </c>
      <c r="G261" s="160">
        <f t="shared" si="129"/>
        <v>19</v>
      </c>
      <c r="H261" s="160" t="s">
        <v>1864</v>
      </c>
      <c r="I261" s="160" t="str">
        <f t="shared" si="126"/>
        <v>livraison du projet</v>
      </c>
      <c r="J261" s="160" t="s">
        <v>1867</v>
      </c>
      <c r="K261" s="160" t="s">
        <v>1871</v>
      </c>
      <c r="L261" s="160" t="s">
        <v>1880</v>
      </c>
      <c r="M261" s="348">
        <v>45044</v>
      </c>
      <c r="N261" s="343"/>
      <c r="O261" s="343"/>
      <c r="P261" s="343"/>
      <c r="Q261" s="343"/>
      <c r="R261" s="160">
        <f t="shared" si="130"/>
        <v>7</v>
      </c>
      <c r="U261" s="353" t="str">
        <f>"INSERT INTO "&amp;$E$134&amp;"("&amp;$F$134&amp;", "&amp;$G$134&amp;", "&amp;$H$134&amp;", "&amp;$I$134&amp;", "&amp;$J$134&amp;", "&amp;$K$134&amp;", "&amp;$L$134&amp;", "&amp;$M$134&amp;", "&amp;$N$134&amp;", "&amp;$O$134&amp;", "&amp;$P$134&amp;", "&amp;$Q$134&amp;", "&amp;$R$134&amp;") VALUES ("&amp;H261&amp;", "&amp;I261&amp;", "&amp;J261&amp;", "&amp;K261&amp;", "&amp;L261&amp;", "&amp;M261&amp;", "&amp;N261&amp;", "&amp;O261&amp;", "&amp;P261&amp;", "&amp;Q261&amp;", "&amp;R261&amp;");"</f>
        <v>INSERT INTO TACHES(idTache, numTache, nameTache, descriptionTache, prioTache, stateTache, categoryTache, dateCreateTache, dateInProgressTache, dateToTestTache, dateEndThTache, dateEndRealTache, idProjet) VALUES (livraison du projet, livraison du projet, Vitale, Créée, Exploitation, 45044, , , , , 7);</v>
      </c>
    </row>
    <row r="262" spans="5:21" ht="20.05" customHeight="1" x14ac:dyDescent="0.3"/>
    <row r="263" spans="5:21" ht="20.05" customHeight="1" x14ac:dyDescent="0.3"/>
    <row r="264" spans="5:21" ht="20.05" customHeight="1" x14ac:dyDescent="0.3"/>
    <row r="265" spans="5:21" ht="20.05" customHeight="1" x14ac:dyDescent="0.3"/>
    <row r="266" spans="5:21" ht="20.05" customHeight="1" x14ac:dyDescent="0.3"/>
    <row r="268" spans="5:21" ht="28.05" customHeight="1" x14ac:dyDescent="0.3"/>
    <row r="269" spans="5:21" ht="30.05" customHeight="1" thickBot="1" x14ac:dyDescent="0.35">
      <c r="E269" s="160" t="s">
        <v>374</v>
      </c>
      <c r="F269" s="274" t="s">
        <v>346</v>
      </c>
      <c r="G269" s="197" t="s">
        <v>168</v>
      </c>
      <c r="H269" s="354" t="s">
        <v>1889</v>
      </c>
      <c r="I269" s="197" t="s">
        <v>303</v>
      </c>
      <c r="J269" s="199" t="s">
        <v>213</v>
      </c>
      <c r="K269" s="197" t="s">
        <v>211</v>
      </c>
      <c r="L269" s="197" t="s">
        <v>304</v>
      </c>
      <c r="M269" s="294" t="s">
        <v>287</v>
      </c>
      <c r="N269" s="294" t="s">
        <v>349</v>
      </c>
    </row>
    <row r="270" spans="5:21" ht="20.05" customHeight="1" outlineLevel="1" x14ac:dyDescent="0.3">
      <c r="F270" s="160">
        <v>1</v>
      </c>
      <c r="G270" s="160" t="s">
        <v>104</v>
      </c>
      <c r="H270" s="354">
        <f>COUNTIF(G270,G270)</f>
        <v>1</v>
      </c>
      <c r="I270" s="160" t="str">
        <f t="shared" ref="I270:I281" si="131">UPPER(MID(G270,1,3)&amp;H270&amp;"-"&amp;SUBSTITUTE(_xlfn.XLOOKUP(M270,F$122:F$129,G$122:G$129)," ",""))</f>
        <v>DEV1-MUNICIPALITÉDEPARIS11E-PROJ231</v>
      </c>
      <c r="J270" s="160" t="s">
        <v>1891</v>
      </c>
      <c r="K270" s="329">
        <f>IF(N270=0,"",_xlfn.XLOOKUP(N270,F$37:F$59,G$37:G$59))</f>
        <v>44900</v>
      </c>
      <c r="L270" s="350"/>
      <c r="M270" s="160">
        <v>1</v>
      </c>
      <c r="N270" s="160">
        <v>1</v>
      </c>
      <c r="S270" s="353" t="str">
        <f>"INSERT INTO "&amp;$E$269&amp;"("&amp;$F$269&amp;", "&amp;$G$269&amp;", "&amp;$H$269&amp;", "&amp;$I$269&amp;", "&amp;$J$269&amp;", "&amp;$K$269&amp;", "&amp;$L$269&amp;", "&amp;$M$269&amp;", "&amp;$N$269&amp;") VALUES ("&amp;F270&amp;", "&amp;G270&amp;", "&amp;H270&amp;", "&amp;I270&amp;", "&amp;J270&amp;", "&amp;K270&amp;", "&amp;L270&amp;", "&amp;M270&amp;", "&amp;N270&amp;");"</f>
        <v>INSERT INTO DOCUMENTS(idDocument, catDoc, numCatDoc, nameDoc, descriptionDoc, dateDoc, pathDoc, idProjet, idDeGeneration) VALUES (1, Devis, 1, DEV1-MUNICIPALITÉDEPARIS11E-PROJ231, Proposition commerciale du projet, 44900, , 1, 1);</v>
      </c>
    </row>
    <row r="271" spans="5:21" ht="20.05" customHeight="1" outlineLevel="1" x14ac:dyDescent="0.3">
      <c r="F271" s="160">
        <f>F270+1</f>
        <v>2</v>
      </c>
      <c r="G271" s="160" t="s">
        <v>105</v>
      </c>
      <c r="H271" s="354">
        <f>COUNTIF(G$270:G271,G271)</f>
        <v>1</v>
      </c>
      <c r="I271" s="160" t="str">
        <f t="shared" si="131"/>
        <v>FAC1-MUNICIPALITÉDEPARIS11E-PROJ231</v>
      </c>
      <c r="J271" s="160" t="s">
        <v>1892</v>
      </c>
      <c r="K271" s="329">
        <f>IF(N271=0,"",_xlfn.XLOOKUP(N271,F$37:F$59,G$37:G$59))</f>
        <v>44905</v>
      </c>
      <c r="M271" s="160">
        <v>1</v>
      </c>
      <c r="N271" s="160">
        <v>3</v>
      </c>
      <c r="S271" s="353" t="str">
        <f>"INSERT INTO "&amp;$E$269&amp;"("&amp;$F$269&amp;", "&amp;$G$269&amp;", "&amp;$H$269&amp;", "&amp;$I$269&amp;", "&amp;$J$269&amp;", "&amp;$K$269&amp;", "&amp;$L$269&amp;", "&amp;$M$269&amp;", "&amp;$N$269&amp;") VALUES ("&amp;F271&amp;", "&amp;G271&amp;", "&amp;H271&amp;", "&amp;I271&amp;", "&amp;J271&amp;", "&amp;K271&amp;", "&amp;L271&amp;", "&amp;M271&amp;", "&amp;N271&amp;");"</f>
        <v>INSERT INTO DOCUMENTS(idDocument, catDoc, numCatDoc, nameDoc, descriptionDoc, dateDoc, pathDoc, idProjet, idDeGeneration) VALUES (2, Facture, 1, FAC1-MUNICIPALITÉDEPARIS11E-PROJ231, Facture d'accompte pour démarrer les travaux, 44905, , 1, 3);</v>
      </c>
    </row>
    <row r="272" spans="5:21" ht="32.6" customHeight="1" outlineLevel="1" x14ac:dyDescent="0.3">
      <c r="F272" s="160">
        <f t="shared" ref="F272:F335" si="132">F271+1</f>
        <v>3</v>
      </c>
      <c r="G272" s="160" t="s">
        <v>106</v>
      </c>
      <c r="H272" s="354">
        <f>COUNTIF(G$270:G272,G272)</f>
        <v>1</v>
      </c>
      <c r="I272" s="160" t="str">
        <f t="shared" si="131"/>
        <v>PLA1-MUNICIPALITÉDEPARIS11E-PROJ231</v>
      </c>
      <c r="J272" s="160" t="s">
        <v>1893</v>
      </c>
      <c r="K272" s="329">
        <v>44915</v>
      </c>
      <c r="M272" s="160">
        <v>1</v>
      </c>
      <c r="N272" s="160">
        <v>0</v>
      </c>
      <c r="S272" s="353" t="str">
        <f t="shared" ref="S272:S281" si="133">"INSERT INTO "&amp;$E$269&amp;"("&amp;$F$269&amp;", "&amp;$G$269&amp;", "&amp;$H$269&amp;", "&amp;$I$269&amp;", "&amp;$J$269&amp;", "&amp;$K$269&amp;", "&amp;$L$269&amp;", "&amp;$M$269&amp;", "&amp;$N$269&amp;") VALUES ("&amp;F272&amp;", "&amp;G272&amp;", "&amp;H272&amp;", "&amp;I272&amp;", "&amp;J272&amp;", "&amp;K272&amp;", "&amp;L272&amp;", "&amp;M272&amp;", "&amp;N272&amp;");"</f>
        <v>INSERT INTO DOCUMENTS(idDocument, catDoc, numCatDoc, nameDoc, descriptionDoc, dateDoc, pathDoc, idProjet, idDeGeneration) VALUES (3, Plan, 1, PLA1-MUNICIPALITÉDEPARIS11E-PROJ231, Plan de face - etc, 44915, , 1, 0);</v>
      </c>
    </row>
    <row r="273" spans="6:19" ht="25.85" customHeight="1" outlineLevel="1" x14ac:dyDescent="0.3">
      <c r="F273" s="160">
        <f t="shared" si="132"/>
        <v>4</v>
      </c>
      <c r="G273" s="160" t="s">
        <v>106</v>
      </c>
      <c r="H273" s="354">
        <f>COUNTIF(G$270:G273,G273)</f>
        <v>2</v>
      </c>
      <c r="I273" s="160" t="str">
        <f t="shared" si="131"/>
        <v>PLA2-MUNICIPALITÉDEPARIS11E-PROJ231</v>
      </c>
      <c r="J273" s="160" t="s">
        <v>1894</v>
      </c>
      <c r="K273" s="329">
        <v>44915</v>
      </c>
      <c r="M273" s="160">
        <v>1</v>
      </c>
      <c r="N273" s="160">
        <v>0</v>
      </c>
      <c r="S273" s="353" t="str">
        <f t="shared" si="133"/>
        <v>INSERT INTO DOCUMENTS(idDocument, catDoc, numCatDoc, nameDoc, descriptionDoc, dateDoc, pathDoc, idProjet, idDeGeneration) VALUES (4, Plan, 2, PLA2-MUNICIPALITÉDEPARIS11E-PROJ231, Plan de coté Est - etc, 44915, , 1, 0);</v>
      </c>
    </row>
    <row r="274" spans="6:19" outlineLevel="1" x14ac:dyDescent="0.3">
      <c r="F274" s="160">
        <f t="shared" si="132"/>
        <v>5</v>
      </c>
      <c r="G274" s="160" t="s">
        <v>1885</v>
      </c>
      <c r="H274" s="354">
        <f>COUNTIF(G$270:G274,G274)</f>
        <v>1</v>
      </c>
      <c r="I274" s="160" t="str">
        <f t="shared" si="131"/>
        <v>IMG1-MUNICIPALITÉDEPARIS11E-PROJ231</v>
      </c>
      <c r="J274" s="160" t="s">
        <v>1895</v>
      </c>
      <c r="K274" s="329">
        <v>44916</v>
      </c>
      <c r="M274" s="160">
        <v>1</v>
      </c>
      <c r="N274" s="160">
        <v>0</v>
      </c>
      <c r="S274" s="353" t="str">
        <f t="shared" si="133"/>
        <v>INSERT INTO DOCUMENTS(idDocument, catDoc, numCatDoc, nameDoc, descriptionDoc, dateDoc, pathDoc, idProjet, idDeGeneration) VALUES (5, ImgPhoto, 1, IMG1-MUNICIPALITÉDEPARIS11E-PROJ231, Photo de projection de face, 44916, , 1, 0);</v>
      </c>
    </row>
    <row r="275" spans="6:19" ht="28.05" customHeight="1" outlineLevel="1" x14ac:dyDescent="0.3">
      <c r="F275" s="160">
        <f t="shared" si="132"/>
        <v>6</v>
      </c>
      <c r="G275" s="160" t="s">
        <v>1885</v>
      </c>
      <c r="H275" s="354">
        <f>COUNTIF(G$270:G275,G275)</f>
        <v>2</v>
      </c>
      <c r="I275" s="160" t="str">
        <f t="shared" si="131"/>
        <v>IMG2-MUNICIPALITÉDEPARIS11E-PROJ231</v>
      </c>
      <c r="J275" s="160" t="s">
        <v>1896</v>
      </c>
      <c r="K275" s="329">
        <v>44916</v>
      </c>
      <c r="M275" s="160">
        <v>1</v>
      </c>
      <c r="N275" s="160">
        <v>0</v>
      </c>
      <c r="S275" s="353" t="str">
        <f t="shared" si="133"/>
        <v>INSERT INTO DOCUMENTS(idDocument, catDoc, numCatDoc, nameDoc, descriptionDoc, dateDoc, pathDoc, idProjet, idDeGeneration) VALUES (6, ImgPhoto, 2, IMG2-MUNICIPALITÉDEPARIS11E-PROJ231, Photo de projection de coté Est, 44916, , 1, 0);</v>
      </c>
    </row>
    <row r="276" spans="6:19" ht="30.05" customHeight="1" outlineLevel="1" x14ac:dyDescent="0.3">
      <c r="F276" s="160">
        <f t="shared" si="132"/>
        <v>7</v>
      </c>
      <c r="G276" s="160" t="s">
        <v>1885</v>
      </c>
      <c r="H276" s="354">
        <f>COUNTIF(G$270:G276,G276)</f>
        <v>3</v>
      </c>
      <c r="I276" s="160" t="str">
        <f t="shared" si="131"/>
        <v>IMG3-MUNICIPALITÉDEPARIS11E-PROJ231</v>
      </c>
      <c r="J276" s="160" t="s">
        <v>1897</v>
      </c>
      <c r="K276" s="329">
        <v>44917</v>
      </c>
      <c r="M276" s="160">
        <v>1</v>
      </c>
      <c r="N276" s="160">
        <v>0</v>
      </c>
      <c r="S276" s="353" t="str">
        <f t="shared" si="133"/>
        <v>INSERT INTO DOCUMENTS(idDocument, catDoc, numCatDoc, nameDoc, descriptionDoc, dateDoc, pathDoc, idProjet, idDeGeneration) VALUES (7, ImgPhoto, 3, IMG3-MUNICIPALITÉDEPARIS11E-PROJ231, Photo de projection dcoté Ouest et Sud, 44917, , 1, 0);</v>
      </c>
    </row>
    <row r="277" spans="6:19" ht="20.05" customHeight="1" outlineLevel="1" x14ac:dyDescent="0.3">
      <c r="F277" s="160">
        <f t="shared" si="132"/>
        <v>8</v>
      </c>
      <c r="G277" s="160" t="s">
        <v>109</v>
      </c>
      <c r="H277" s="354">
        <f>COUNTIF(G$270:G277,G277)</f>
        <v>1</v>
      </c>
      <c r="I277" s="160" t="str">
        <f t="shared" si="131"/>
        <v>SCH1-MUNICIPALITÉDEPARIS11E-PROJ231</v>
      </c>
      <c r="J277" s="160" t="s">
        <v>1898</v>
      </c>
      <c r="K277" s="329">
        <v>44918</v>
      </c>
      <c r="M277" s="160">
        <v>1</v>
      </c>
      <c r="N277" s="160">
        <v>0</v>
      </c>
      <c r="S277" s="353" t="str">
        <f t="shared" si="133"/>
        <v>INSERT INTO DOCUMENTS(idDocument, catDoc, numCatDoc, nameDoc, descriptionDoc, dateDoc, pathDoc, idProjet, idDeGeneration) VALUES (8, Schema, 1, SCH1-MUNICIPALITÉDEPARIS11E-PROJ231, Schema de principe de circulation, 44918, , 1, 0);</v>
      </c>
    </row>
    <row r="278" spans="6:19" ht="20.05" customHeight="1" outlineLevel="1" x14ac:dyDescent="0.3">
      <c r="F278" s="160">
        <f t="shared" si="132"/>
        <v>9</v>
      </c>
      <c r="G278" s="160" t="s">
        <v>176</v>
      </c>
      <c r="H278" s="354">
        <f>COUNTIF(G$270:G278,G278)</f>
        <v>1</v>
      </c>
      <c r="I278" s="160" t="str">
        <f t="shared" si="131"/>
        <v>COU1-MUNICIPALITÉDEPARIS11E-PROJ231</v>
      </c>
      <c r="J278" s="160" t="s">
        <v>1899</v>
      </c>
      <c r="K278" s="329">
        <v>44922</v>
      </c>
      <c r="M278" s="160">
        <v>1</v>
      </c>
      <c r="N278" s="160">
        <v>0</v>
      </c>
      <c r="S278" s="353" t="str">
        <f t="shared" si="133"/>
        <v>INSERT INTO DOCUMENTS(idDocument, catDoc, numCatDoc, nameDoc, descriptionDoc, dateDoc, pathDoc, idProjet, idDeGeneration) VALUES (9, Couts, 1, COU1-MUNICIPALITÉDEPARIS11E-PROJ231, Relevé de Coût pour l'ameublement, 44922, , 1, 0);</v>
      </c>
    </row>
    <row r="279" spans="6:19" ht="20.05" customHeight="1" outlineLevel="1" x14ac:dyDescent="0.3">
      <c r="F279" s="160">
        <f t="shared" si="132"/>
        <v>10</v>
      </c>
      <c r="G279" s="160" t="s">
        <v>1887</v>
      </c>
      <c r="H279" s="354">
        <f>COUNTIF(G$270:G279,G279)</f>
        <v>1</v>
      </c>
      <c r="I279" s="160" t="str">
        <f t="shared" si="131"/>
        <v>DIV1-MUNICIPALITÉDEPARIS11E-PROJ231</v>
      </c>
      <c r="J279" s="160" t="s">
        <v>1900</v>
      </c>
      <c r="K279" s="329">
        <v>44921</v>
      </c>
      <c r="M279" s="160">
        <v>1</v>
      </c>
      <c r="N279" s="160">
        <v>0</v>
      </c>
      <c r="S279" s="353" t="str">
        <f t="shared" si="133"/>
        <v>INSERT INTO DOCUMENTS(idDocument, catDoc, numCatDoc, nameDoc, descriptionDoc, dateDoc, pathDoc, idProjet, idDeGeneration) VALUES (10, Divers, 1, DIV1-MUNICIPALITÉDEPARIS11E-PROJ231, Prise des cotes et des piges, 44921, , 1, 0);</v>
      </c>
    </row>
    <row r="280" spans="6:19" ht="20.05" customHeight="1" outlineLevel="1" x14ac:dyDescent="0.3">
      <c r="F280" s="160">
        <f t="shared" si="132"/>
        <v>11</v>
      </c>
      <c r="G280" s="160" t="s">
        <v>1886</v>
      </c>
      <c r="H280" s="354">
        <f>COUNTIF(G$270:G280,G280)</f>
        <v>1</v>
      </c>
      <c r="I280" s="160" t="str">
        <f t="shared" si="131"/>
        <v>CHI1-MUNICIPALITÉDEPARIS11E-PROJ231</v>
      </c>
      <c r="J280" s="160" t="s">
        <v>1901</v>
      </c>
      <c r="K280" s="329">
        <v>44923</v>
      </c>
      <c r="M280" s="160">
        <v>1</v>
      </c>
      <c r="N280" s="160">
        <v>0</v>
      </c>
      <c r="S280" s="353" t="str">
        <f t="shared" si="133"/>
        <v>INSERT INTO DOCUMENTS(idDocument, catDoc, numCatDoc, nameDoc, descriptionDoc, dateDoc, pathDoc, idProjet, idDeGeneration) VALUES (11, ChiffrageProj, 1, CHI1-MUNICIPALITÉDEPARIS11E-PROJ231, Document de Chiffrage du projet, 44923, , 1, 0);</v>
      </c>
    </row>
    <row r="281" spans="6:19" x14ac:dyDescent="0.3">
      <c r="F281" s="160">
        <f t="shared" si="132"/>
        <v>12</v>
      </c>
      <c r="G281" s="160" t="s">
        <v>105</v>
      </c>
      <c r="H281" s="354">
        <f>COUNTIF(G$270:G281,G281)</f>
        <v>2</v>
      </c>
      <c r="I281" s="160" t="str">
        <f t="shared" si="131"/>
        <v>FAC2-MUNICIPALITÉDEPARIS11E-PROJ231</v>
      </c>
      <c r="J281" s="160" t="s">
        <v>1902</v>
      </c>
      <c r="K281" s="329">
        <f>IF(N281=0,"",_xlfn.XLOOKUP(N281,F$37:F$59,G$37:G$59))</f>
        <v>44943</v>
      </c>
      <c r="M281" s="160">
        <v>1</v>
      </c>
      <c r="N281" s="160">
        <v>6</v>
      </c>
      <c r="S281" s="353" t="str">
        <f t="shared" si="133"/>
        <v>INSERT INTO DOCUMENTS(idDocument, catDoc, numCatDoc, nameDoc, descriptionDoc, dateDoc, pathDoc, idProjet, idDeGeneration) VALUES (12, Facture, 2, FAC2-MUNICIPALITÉDEPARIS11E-PROJ231, Facture transmise pour autorisation d'exploitation, 44943, , 1, 6);</v>
      </c>
    </row>
    <row r="282" spans="6:19" ht="20.05" customHeight="1" outlineLevel="1" x14ac:dyDescent="0.3">
      <c r="F282" s="160">
        <f t="shared" si="132"/>
        <v>13</v>
      </c>
      <c r="G282" s="160" t="s">
        <v>104</v>
      </c>
      <c r="H282" s="354">
        <f>COUNTIF(G282,G282)</f>
        <v>1</v>
      </c>
      <c r="I282" s="160" t="str">
        <f t="shared" ref="I282:I293" si="134">UPPER(MID(G282,1,3)&amp;H282&amp;"-"&amp;SUBSTITUTE(_xlfn.XLOOKUP(M282,F$122:F$129,G$122:G$129)," ",""))</f>
        <v>DEV1-BOISDELUX-PROJ232</v>
      </c>
      <c r="J282" s="160" t="s">
        <v>1891</v>
      </c>
      <c r="K282" s="329">
        <f>IF(N282=0,"",_xlfn.XLOOKUP(N282,F$37:F$59,G$37:G$59))</f>
        <v>44915</v>
      </c>
      <c r="L282" s="350"/>
      <c r="M282" s="160">
        <v>2</v>
      </c>
      <c r="N282" s="160">
        <v>2</v>
      </c>
      <c r="S282" s="353" t="str">
        <f>"INSERT INTO "&amp;$E$269&amp;"("&amp;$F$269&amp;", "&amp;$G$269&amp;", "&amp;$H$269&amp;", "&amp;$I$269&amp;", "&amp;$J$269&amp;", "&amp;$K$269&amp;", "&amp;$L$269&amp;", "&amp;$M$269&amp;", "&amp;$N$269&amp;") VALUES ("&amp;F282&amp;", "&amp;G282&amp;", "&amp;H282&amp;", "&amp;I282&amp;", "&amp;J282&amp;", "&amp;K282&amp;", "&amp;L282&amp;", "&amp;M282&amp;", "&amp;N282&amp;");"</f>
        <v>INSERT INTO DOCUMENTS(idDocument, catDoc, numCatDoc, nameDoc, descriptionDoc, dateDoc, pathDoc, idProjet, idDeGeneration) VALUES (13, Devis, 1, DEV1-BOISDELUX-PROJ232, Proposition commerciale du projet, 44915, , 2, 2);</v>
      </c>
    </row>
    <row r="283" spans="6:19" ht="20.05" customHeight="1" outlineLevel="1" x14ac:dyDescent="0.3">
      <c r="F283" s="160">
        <f t="shared" si="132"/>
        <v>14</v>
      </c>
      <c r="G283" s="160" t="s">
        <v>105</v>
      </c>
      <c r="H283" s="354">
        <f>COUNTIF(G$270:G283,G283)</f>
        <v>3</v>
      </c>
      <c r="I283" s="160" t="str">
        <f t="shared" si="134"/>
        <v>FAC3-BOISDELUX-PROJ232</v>
      </c>
      <c r="J283" s="160" t="s">
        <v>1892</v>
      </c>
      <c r="K283" s="329">
        <f>IF(N283=0,"",_xlfn.XLOOKUP(N283,F$37:F$59,G$37:G$59))</f>
        <v>44928</v>
      </c>
      <c r="M283" s="160">
        <f>M282</f>
        <v>2</v>
      </c>
      <c r="N283" s="160">
        <v>4</v>
      </c>
      <c r="S283" s="353" t="str">
        <f>"INSERT INTO "&amp;$E$269&amp;"("&amp;$F$269&amp;", "&amp;$G$269&amp;", "&amp;$H$269&amp;", "&amp;$I$269&amp;", "&amp;$J$269&amp;", "&amp;$K$269&amp;", "&amp;$L$269&amp;", "&amp;$M$269&amp;", "&amp;$N$269&amp;") VALUES ("&amp;F283&amp;", "&amp;G283&amp;", "&amp;H283&amp;", "&amp;I283&amp;", "&amp;J283&amp;", "&amp;K283&amp;", "&amp;L283&amp;", "&amp;M283&amp;", "&amp;N283&amp;");"</f>
        <v>INSERT INTO DOCUMENTS(idDocument, catDoc, numCatDoc, nameDoc, descriptionDoc, dateDoc, pathDoc, idProjet, idDeGeneration) VALUES (14, Facture, 3, FAC3-BOISDELUX-PROJ232, Facture d'accompte pour démarrer les travaux, 44928, , 2, 4);</v>
      </c>
    </row>
    <row r="284" spans="6:19" ht="32.6" customHeight="1" outlineLevel="1" x14ac:dyDescent="0.3">
      <c r="F284" s="160">
        <f t="shared" si="132"/>
        <v>15</v>
      </c>
      <c r="G284" s="160" t="s">
        <v>106</v>
      </c>
      <c r="H284" s="354">
        <f>COUNTIF(G$270:G284,G284)</f>
        <v>3</v>
      </c>
      <c r="I284" s="160" t="str">
        <f t="shared" si="134"/>
        <v>PLA3-BOISDELUX-PROJ232</v>
      </c>
      <c r="J284" s="160" t="s">
        <v>1893</v>
      </c>
      <c r="K284" s="329">
        <f>K283</f>
        <v>44928</v>
      </c>
      <c r="M284" s="160">
        <f t="shared" ref="M284:M293" si="135">M283</f>
        <v>2</v>
      </c>
      <c r="N284" s="160">
        <v>0</v>
      </c>
      <c r="S284" s="353" t="str">
        <f t="shared" ref="S284:S293" si="136">"INSERT INTO "&amp;$E$269&amp;"("&amp;$F$269&amp;", "&amp;$G$269&amp;", "&amp;$H$269&amp;", "&amp;$I$269&amp;", "&amp;$J$269&amp;", "&amp;$K$269&amp;", "&amp;$L$269&amp;", "&amp;$M$269&amp;", "&amp;$N$269&amp;") VALUES ("&amp;F284&amp;", "&amp;G284&amp;", "&amp;H284&amp;", "&amp;I284&amp;", "&amp;J284&amp;", "&amp;K284&amp;", "&amp;L284&amp;", "&amp;M284&amp;", "&amp;N284&amp;");"</f>
        <v>INSERT INTO DOCUMENTS(idDocument, catDoc, numCatDoc, nameDoc, descriptionDoc, dateDoc, pathDoc, idProjet, idDeGeneration) VALUES (15, Plan, 3, PLA3-BOISDELUX-PROJ232, Plan de face - etc, 44928, , 2, 0);</v>
      </c>
    </row>
    <row r="285" spans="6:19" ht="25.85" customHeight="1" outlineLevel="1" x14ac:dyDescent="0.3">
      <c r="F285" s="160">
        <f t="shared" si="132"/>
        <v>16</v>
      </c>
      <c r="G285" s="160" t="s">
        <v>106</v>
      </c>
      <c r="H285" s="354">
        <f>COUNTIF(G$270:G285,G285)</f>
        <v>4</v>
      </c>
      <c r="I285" s="160" t="str">
        <f t="shared" si="134"/>
        <v>PLA4-BOISDELUX-PROJ232</v>
      </c>
      <c r="J285" s="160" t="s">
        <v>1894</v>
      </c>
      <c r="K285" s="329">
        <f>K284</f>
        <v>44928</v>
      </c>
      <c r="M285" s="160">
        <f t="shared" si="135"/>
        <v>2</v>
      </c>
      <c r="N285" s="160">
        <v>0</v>
      </c>
      <c r="S285" s="353" t="str">
        <f t="shared" si="136"/>
        <v>INSERT INTO DOCUMENTS(idDocument, catDoc, numCatDoc, nameDoc, descriptionDoc, dateDoc, pathDoc, idProjet, idDeGeneration) VALUES (16, Plan, 4, PLA4-BOISDELUX-PROJ232, Plan de coté Est - etc, 44928, , 2, 0);</v>
      </c>
    </row>
    <row r="286" spans="6:19" outlineLevel="1" x14ac:dyDescent="0.3">
      <c r="F286" s="160">
        <f t="shared" si="132"/>
        <v>17</v>
      </c>
      <c r="G286" s="160" t="s">
        <v>1885</v>
      </c>
      <c r="H286" s="354">
        <f>COUNTIF(G$270:G286,G286)</f>
        <v>4</v>
      </c>
      <c r="I286" s="160" t="str">
        <f t="shared" si="134"/>
        <v>IMG4-BOISDELUX-PROJ232</v>
      </c>
      <c r="J286" s="160" t="s">
        <v>1895</v>
      </c>
      <c r="K286" s="329">
        <f>K285+1</f>
        <v>44929</v>
      </c>
      <c r="M286" s="160">
        <f t="shared" si="135"/>
        <v>2</v>
      </c>
      <c r="N286" s="160">
        <v>0</v>
      </c>
      <c r="S286" s="353" t="str">
        <f t="shared" si="136"/>
        <v>INSERT INTO DOCUMENTS(idDocument, catDoc, numCatDoc, nameDoc, descriptionDoc, dateDoc, pathDoc, idProjet, idDeGeneration) VALUES (17, ImgPhoto, 4, IMG4-BOISDELUX-PROJ232, Photo de projection de face, 44929, , 2, 0);</v>
      </c>
    </row>
    <row r="287" spans="6:19" ht="28.05" customHeight="1" outlineLevel="1" x14ac:dyDescent="0.3">
      <c r="F287" s="160">
        <f t="shared" si="132"/>
        <v>18</v>
      </c>
      <c r="G287" s="160" t="s">
        <v>1885</v>
      </c>
      <c r="H287" s="354">
        <f>COUNTIF(G$270:G287,G287)</f>
        <v>5</v>
      </c>
      <c r="I287" s="160" t="str">
        <f t="shared" si="134"/>
        <v>IMG5-BOISDELUX-PROJ232</v>
      </c>
      <c r="J287" s="160" t="s">
        <v>1896</v>
      </c>
      <c r="K287" s="329">
        <f>K286</f>
        <v>44929</v>
      </c>
      <c r="M287" s="160">
        <f t="shared" si="135"/>
        <v>2</v>
      </c>
      <c r="N287" s="160">
        <v>0</v>
      </c>
      <c r="S287" s="353" t="str">
        <f t="shared" si="136"/>
        <v>INSERT INTO DOCUMENTS(idDocument, catDoc, numCatDoc, nameDoc, descriptionDoc, dateDoc, pathDoc, idProjet, idDeGeneration) VALUES (18, ImgPhoto, 5, IMG5-BOISDELUX-PROJ232, Photo de projection de coté Est, 44929, , 2, 0);</v>
      </c>
    </row>
    <row r="288" spans="6:19" ht="30.05" customHeight="1" outlineLevel="1" x14ac:dyDescent="0.3">
      <c r="F288" s="160">
        <f t="shared" si="132"/>
        <v>19</v>
      </c>
      <c r="G288" s="160" t="s">
        <v>1885</v>
      </c>
      <c r="H288" s="354">
        <f>COUNTIF(G$270:G288,G288)</f>
        <v>6</v>
      </c>
      <c r="I288" s="160" t="str">
        <f t="shared" si="134"/>
        <v>IMG6-BOISDELUX-PROJ232</v>
      </c>
      <c r="J288" s="160" t="s">
        <v>1897</v>
      </c>
      <c r="K288" s="329">
        <f>K287+1</f>
        <v>44930</v>
      </c>
      <c r="M288" s="160">
        <f t="shared" si="135"/>
        <v>2</v>
      </c>
      <c r="N288" s="160">
        <v>0</v>
      </c>
      <c r="S288" s="353" t="str">
        <f t="shared" si="136"/>
        <v>INSERT INTO DOCUMENTS(idDocument, catDoc, numCatDoc, nameDoc, descriptionDoc, dateDoc, pathDoc, idProjet, idDeGeneration) VALUES (19, ImgPhoto, 6, IMG6-BOISDELUX-PROJ232, Photo de projection dcoté Ouest et Sud, 44930, , 2, 0);</v>
      </c>
    </row>
    <row r="289" spans="6:19" ht="20.05" customHeight="1" outlineLevel="1" x14ac:dyDescent="0.3">
      <c r="F289" s="160">
        <f t="shared" si="132"/>
        <v>20</v>
      </c>
      <c r="G289" s="160" t="s">
        <v>109</v>
      </c>
      <c r="H289" s="354">
        <f>COUNTIF(G$270:G289,G289)</f>
        <v>2</v>
      </c>
      <c r="I289" s="160" t="str">
        <f t="shared" si="134"/>
        <v>SCH2-BOISDELUX-PROJ232</v>
      </c>
      <c r="J289" s="160" t="s">
        <v>1898</v>
      </c>
      <c r="K289" s="329">
        <f>K288</f>
        <v>44930</v>
      </c>
      <c r="M289" s="160">
        <f t="shared" si="135"/>
        <v>2</v>
      </c>
      <c r="N289" s="160">
        <v>0</v>
      </c>
      <c r="S289" s="353" t="str">
        <f t="shared" si="136"/>
        <v>INSERT INTO DOCUMENTS(idDocument, catDoc, numCatDoc, nameDoc, descriptionDoc, dateDoc, pathDoc, idProjet, idDeGeneration) VALUES (20, Schema, 2, SCH2-BOISDELUX-PROJ232, Schema de principe de circulation, 44930, , 2, 0);</v>
      </c>
    </row>
    <row r="290" spans="6:19" ht="20.05" customHeight="1" outlineLevel="1" x14ac:dyDescent="0.3">
      <c r="F290" s="160">
        <f t="shared" si="132"/>
        <v>21</v>
      </c>
      <c r="G290" s="160" t="s">
        <v>176</v>
      </c>
      <c r="H290" s="354">
        <f>COUNTIF(G$270:G290,G290)</f>
        <v>2</v>
      </c>
      <c r="I290" s="160" t="str">
        <f t="shared" si="134"/>
        <v>COU2-BOISDELUX-PROJ232</v>
      </c>
      <c r="J290" s="160" t="s">
        <v>1899</v>
      </c>
      <c r="K290" s="329">
        <f>K289+4</f>
        <v>44934</v>
      </c>
      <c r="M290" s="160">
        <f t="shared" si="135"/>
        <v>2</v>
      </c>
      <c r="N290" s="160">
        <v>0</v>
      </c>
      <c r="S290" s="353" t="str">
        <f t="shared" si="136"/>
        <v>INSERT INTO DOCUMENTS(idDocument, catDoc, numCatDoc, nameDoc, descriptionDoc, dateDoc, pathDoc, idProjet, idDeGeneration) VALUES (21, Couts, 2, COU2-BOISDELUX-PROJ232, Relevé de Coût pour l'ameublement, 44934, , 2, 0);</v>
      </c>
    </row>
    <row r="291" spans="6:19" ht="20.05" customHeight="1" outlineLevel="1" x14ac:dyDescent="0.3">
      <c r="F291" s="160">
        <f t="shared" si="132"/>
        <v>22</v>
      </c>
      <c r="G291" s="160" t="s">
        <v>1887</v>
      </c>
      <c r="H291" s="354">
        <f>COUNTIF(G$270:G291,G291)</f>
        <v>2</v>
      </c>
      <c r="I291" s="160" t="str">
        <f t="shared" si="134"/>
        <v>DIV2-BOISDELUX-PROJ232</v>
      </c>
      <c r="J291" s="160" t="s">
        <v>1900</v>
      </c>
      <c r="K291" s="329">
        <f>K290+1</f>
        <v>44935</v>
      </c>
      <c r="M291" s="160">
        <f t="shared" si="135"/>
        <v>2</v>
      </c>
      <c r="N291" s="160">
        <v>0</v>
      </c>
      <c r="S291" s="353" t="str">
        <f t="shared" si="136"/>
        <v>INSERT INTO DOCUMENTS(idDocument, catDoc, numCatDoc, nameDoc, descriptionDoc, dateDoc, pathDoc, idProjet, idDeGeneration) VALUES (22, Divers, 2, DIV2-BOISDELUX-PROJ232, Prise des cotes et des piges, 44935, , 2, 0);</v>
      </c>
    </row>
    <row r="292" spans="6:19" ht="20.05" customHeight="1" outlineLevel="1" x14ac:dyDescent="0.3">
      <c r="F292" s="160">
        <f t="shared" si="132"/>
        <v>23</v>
      </c>
      <c r="G292" s="160" t="s">
        <v>1886</v>
      </c>
      <c r="H292" s="354">
        <f>COUNTIF(G$270:G292,G292)</f>
        <v>2</v>
      </c>
      <c r="I292" s="160" t="str">
        <f t="shared" si="134"/>
        <v>CHI2-BOISDELUX-PROJ232</v>
      </c>
      <c r="J292" s="160" t="s">
        <v>1901</v>
      </c>
      <c r="K292" s="329">
        <f>K291</f>
        <v>44935</v>
      </c>
      <c r="M292" s="160">
        <f t="shared" si="135"/>
        <v>2</v>
      </c>
      <c r="N292" s="160">
        <v>0</v>
      </c>
      <c r="S292" s="353" t="str">
        <f t="shared" si="136"/>
        <v>INSERT INTO DOCUMENTS(idDocument, catDoc, numCatDoc, nameDoc, descriptionDoc, dateDoc, pathDoc, idProjet, idDeGeneration) VALUES (23, ChiffrageProj, 2, CHI2-BOISDELUX-PROJ232, Document de Chiffrage du projet, 44935, , 2, 0);</v>
      </c>
    </row>
    <row r="293" spans="6:19" x14ac:dyDescent="0.3">
      <c r="F293" s="160">
        <f t="shared" si="132"/>
        <v>24</v>
      </c>
      <c r="G293" s="160" t="s">
        <v>105</v>
      </c>
      <c r="H293" s="354">
        <f>COUNTIF(G$270:G293,G293)</f>
        <v>4</v>
      </c>
      <c r="I293" s="160" t="str">
        <f t="shared" si="134"/>
        <v>FAC4-BOISDELUX-PROJ232</v>
      </c>
      <c r="J293" s="160" t="s">
        <v>1902</v>
      </c>
      <c r="K293" s="329">
        <f>IF(N293=0,"",_xlfn.XLOOKUP(N293,F$37:F$59,G$37:G$59))</f>
        <v>44960</v>
      </c>
      <c r="M293" s="160">
        <f t="shared" si="135"/>
        <v>2</v>
      </c>
      <c r="N293" s="160">
        <v>9</v>
      </c>
      <c r="S293" s="353" t="str">
        <f t="shared" si="136"/>
        <v>INSERT INTO DOCUMENTS(idDocument, catDoc, numCatDoc, nameDoc, descriptionDoc, dateDoc, pathDoc, idProjet, idDeGeneration) VALUES (24, Facture, 4, FAC4-BOISDELUX-PROJ232, Facture transmise pour autorisation d'exploitation, 44960, , 2, 9);</v>
      </c>
    </row>
    <row r="294" spans="6:19" ht="20.05" customHeight="1" outlineLevel="1" x14ac:dyDescent="0.3">
      <c r="F294" s="160">
        <f t="shared" si="132"/>
        <v>25</v>
      </c>
      <c r="G294" s="160" t="s">
        <v>104</v>
      </c>
      <c r="H294" s="354">
        <f>COUNTIF(G294,G294)</f>
        <v>1</v>
      </c>
      <c r="I294" s="160" t="str">
        <f t="shared" ref="I294:I305" si="137">UPPER(MID(G294,1,3)&amp;H294&amp;"-"&amp;SUBSTITUTE(_xlfn.XLOOKUP(M294,F$122:F$129,G$122:G$129)," ",""))</f>
        <v>DEV1-RAMENETAFRAISE-PROJ233</v>
      </c>
      <c r="J294" s="160" t="s">
        <v>1891</v>
      </c>
      <c r="K294" s="329">
        <f>IF(N294=0,"",_xlfn.XLOOKUP(N294,F$37:F$59,G$37:G$59))</f>
        <v>44936</v>
      </c>
      <c r="L294" s="350"/>
      <c r="M294" s="160">
        <v>3</v>
      </c>
      <c r="N294" s="160">
        <v>5</v>
      </c>
      <c r="S294" s="353" t="str">
        <f>"INSERT INTO "&amp;$E$269&amp;"("&amp;$F$269&amp;", "&amp;$G$269&amp;", "&amp;$H$269&amp;", "&amp;$I$269&amp;", "&amp;$J$269&amp;", "&amp;$K$269&amp;", "&amp;$L$269&amp;", "&amp;$M$269&amp;", "&amp;$N$269&amp;") VALUES ("&amp;F294&amp;", "&amp;G294&amp;", "&amp;H294&amp;", "&amp;I294&amp;", "&amp;J294&amp;", "&amp;K294&amp;", "&amp;L294&amp;", "&amp;M294&amp;", "&amp;N294&amp;");"</f>
        <v>INSERT INTO DOCUMENTS(idDocument, catDoc, numCatDoc, nameDoc, descriptionDoc, dateDoc, pathDoc, idProjet, idDeGeneration) VALUES (25, Devis, 1, DEV1-RAMENETAFRAISE-PROJ233, Proposition commerciale du projet, 44936, , 3, 5);</v>
      </c>
    </row>
    <row r="295" spans="6:19" ht="20.05" customHeight="1" outlineLevel="1" x14ac:dyDescent="0.3">
      <c r="F295" s="160">
        <f t="shared" si="132"/>
        <v>26</v>
      </c>
      <c r="G295" s="160" t="s">
        <v>105</v>
      </c>
      <c r="H295" s="354">
        <f>COUNTIF(G$270:G295,G295)</f>
        <v>5</v>
      </c>
      <c r="I295" s="160" t="str">
        <f t="shared" si="137"/>
        <v>FAC5-RAMENETAFRAISE-PROJ233</v>
      </c>
      <c r="J295" s="160" t="s">
        <v>1892</v>
      </c>
      <c r="K295" s="329">
        <f>IF(N295=0,"",_xlfn.XLOOKUP(N295,F$37:F$59,G$37:G$59))</f>
        <v>44946</v>
      </c>
      <c r="M295" s="160">
        <f>M294</f>
        <v>3</v>
      </c>
      <c r="N295" s="160">
        <v>7</v>
      </c>
      <c r="S295" s="353" t="str">
        <f>"INSERT INTO "&amp;$E$269&amp;"("&amp;$F$269&amp;", "&amp;$G$269&amp;", "&amp;$H$269&amp;", "&amp;$I$269&amp;", "&amp;$J$269&amp;", "&amp;$K$269&amp;", "&amp;$L$269&amp;", "&amp;$M$269&amp;", "&amp;$N$269&amp;") VALUES ("&amp;F295&amp;", "&amp;G295&amp;", "&amp;H295&amp;", "&amp;I295&amp;", "&amp;J295&amp;", "&amp;K295&amp;", "&amp;L295&amp;", "&amp;M295&amp;", "&amp;N295&amp;");"</f>
        <v>INSERT INTO DOCUMENTS(idDocument, catDoc, numCatDoc, nameDoc, descriptionDoc, dateDoc, pathDoc, idProjet, idDeGeneration) VALUES (26, Facture, 5, FAC5-RAMENETAFRAISE-PROJ233, Facture d'accompte pour démarrer les travaux, 44946, , 3, 7);</v>
      </c>
    </row>
    <row r="296" spans="6:19" ht="32.6" customHeight="1" outlineLevel="1" x14ac:dyDescent="0.3">
      <c r="F296" s="160">
        <f t="shared" si="132"/>
        <v>27</v>
      </c>
      <c r="G296" s="160" t="s">
        <v>106</v>
      </c>
      <c r="H296" s="354">
        <f>COUNTIF(G$270:G296,G296)</f>
        <v>5</v>
      </c>
      <c r="I296" s="160" t="str">
        <f t="shared" si="137"/>
        <v>PLA5-RAMENETAFRAISE-PROJ233</v>
      </c>
      <c r="J296" s="160" t="s">
        <v>1893</v>
      </c>
      <c r="K296" s="329">
        <f>K295</f>
        <v>44946</v>
      </c>
      <c r="M296" s="160">
        <f t="shared" ref="M296:M305" si="138">M295</f>
        <v>3</v>
      </c>
      <c r="N296" s="160">
        <v>0</v>
      </c>
      <c r="S296" s="353" t="str">
        <f t="shared" ref="S296:S305" si="139">"INSERT INTO "&amp;$E$269&amp;"("&amp;$F$269&amp;", "&amp;$G$269&amp;", "&amp;$H$269&amp;", "&amp;$I$269&amp;", "&amp;$J$269&amp;", "&amp;$K$269&amp;", "&amp;$L$269&amp;", "&amp;$M$269&amp;", "&amp;$N$269&amp;") VALUES ("&amp;F296&amp;", "&amp;G296&amp;", "&amp;H296&amp;", "&amp;I296&amp;", "&amp;J296&amp;", "&amp;K296&amp;", "&amp;L296&amp;", "&amp;M296&amp;", "&amp;N296&amp;");"</f>
        <v>INSERT INTO DOCUMENTS(idDocument, catDoc, numCatDoc, nameDoc, descriptionDoc, dateDoc, pathDoc, idProjet, idDeGeneration) VALUES (27, Plan, 5, PLA5-RAMENETAFRAISE-PROJ233, Plan de face - etc, 44946, , 3, 0);</v>
      </c>
    </row>
    <row r="297" spans="6:19" ht="25.85" customHeight="1" outlineLevel="1" x14ac:dyDescent="0.3">
      <c r="F297" s="160">
        <f t="shared" si="132"/>
        <v>28</v>
      </c>
      <c r="G297" s="160" t="s">
        <v>106</v>
      </c>
      <c r="H297" s="354">
        <f>COUNTIF(G$270:G297,G297)</f>
        <v>6</v>
      </c>
      <c r="I297" s="160" t="str">
        <f t="shared" si="137"/>
        <v>PLA6-RAMENETAFRAISE-PROJ233</v>
      </c>
      <c r="J297" s="160" t="s">
        <v>1894</v>
      </c>
      <c r="K297" s="329">
        <f>K296</f>
        <v>44946</v>
      </c>
      <c r="M297" s="160">
        <f t="shared" si="138"/>
        <v>3</v>
      </c>
      <c r="N297" s="160">
        <v>0</v>
      </c>
      <c r="S297" s="353" t="str">
        <f t="shared" si="139"/>
        <v>INSERT INTO DOCUMENTS(idDocument, catDoc, numCatDoc, nameDoc, descriptionDoc, dateDoc, pathDoc, idProjet, idDeGeneration) VALUES (28, Plan, 6, PLA6-RAMENETAFRAISE-PROJ233, Plan de coté Est - etc, 44946, , 3, 0);</v>
      </c>
    </row>
    <row r="298" spans="6:19" outlineLevel="1" x14ac:dyDescent="0.3">
      <c r="F298" s="160">
        <f t="shared" si="132"/>
        <v>29</v>
      </c>
      <c r="G298" s="160" t="s">
        <v>1885</v>
      </c>
      <c r="H298" s="354">
        <f>COUNTIF(G$270:G298,G298)</f>
        <v>7</v>
      </c>
      <c r="I298" s="160" t="str">
        <f t="shared" si="137"/>
        <v>IMG7-RAMENETAFRAISE-PROJ233</v>
      </c>
      <c r="J298" s="160" t="s">
        <v>1895</v>
      </c>
      <c r="K298" s="329">
        <f>K297+1</f>
        <v>44947</v>
      </c>
      <c r="M298" s="160">
        <f t="shared" si="138"/>
        <v>3</v>
      </c>
      <c r="N298" s="160">
        <v>0</v>
      </c>
      <c r="S298" s="353" t="str">
        <f t="shared" si="139"/>
        <v>INSERT INTO DOCUMENTS(idDocument, catDoc, numCatDoc, nameDoc, descriptionDoc, dateDoc, pathDoc, idProjet, idDeGeneration) VALUES (29, ImgPhoto, 7, IMG7-RAMENETAFRAISE-PROJ233, Photo de projection de face, 44947, , 3, 0);</v>
      </c>
    </row>
    <row r="299" spans="6:19" ht="28.05" customHeight="1" outlineLevel="1" x14ac:dyDescent="0.3">
      <c r="F299" s="160">
        <f t="shared" si="132"/>
        <v>30</v>
      </c>
      <c r="G299" s="160" t="s">
        <v>1885</v>
      </c>
      <c r="H299" s="354">
        <f>COUNTIF(G$270:G299,G299)</f>
        <v>8</v>
      </c>
      <c r="I299" s="160" t="str">
        <f t="shared" si="137"/>
        <v>IMG8-RAMENETAFRAISE-PROJ233</v>
      </c>
      <c r="J299" s="160" t="s">
        <v>1896</v>
      </c>
      <c r="K299" s="329">
        <f>K298</f>
        <v>44947</v>
      </c>
      <c r="M299" s="160">
        <f t="shared" si="138"/>
        <v>3</v>
      </c>
      <c r="N299" s="160">
        <v>0</v>
      </c>
      <c r="S299" s="353" t="str">
        <f t="shared" si="139"/>
        <v>INSERT INTO DOCUMENTS(idDocument, catDoc, numCatDoc, nameDoc, descriptionDoc, dateDoc, pathDoc, idProjet, idDeGeneration) VALUES (30, ImgPhoto, 8, IMG8-RAMENETAFRAISE-PROJ233, Photo de projection de coté Est, 44947, , 3, 0);</v>
      </c>
    </row>
    <row r="300" spans="6:19" ht="30.05" customHeight="1" outlineLevel="1" x14ac:dyDescent="0.3">
      <c r="F300" s="160">
        <f t="shared" si="132"/>
        <v>31</v>
      </c>
      <c r="G300" s="160" t="s">
        <v>1885</v>
      </c>
      <c r="H300" s="354">
        <f>COUNTIF(G$270:G300,G300)</f>
        <v>9</v>
      </c>
      <c r="I300" s="160" t="str">
        <f t="shared" si="137"/>
        <v>IMG9-RAMENETAFRAISE-PROJ233</v>
      </c>
      <c r="J300" s="160" t="s">
        <v>1897</v>
      </c>
      <c r="K300" s="329">
        <f>K299+1</f>
        <v>44948</v>
      </c>
      <c r="M300" s="160">
        <f t="shared" si="138"/>
        <v>3</v>
      </c>
      <c r="N300" s="160">
        <v>0</v>
      </c>
      <c r="S300" s="353" t="str">
        <f t="shared" si="139"/>
        <v>INSERT INTO DOCUMENTS(idDocument, catDoc, numCatDoc, nameDoc, descriptionDoc, dateDoc, pathDoc, idProjet, idDeGeneration) VALUES (31, ImgPhoto, 9, IMG9-RAMENETAFRAISE-PROJ233, Photo de projection dcoté Ouest et Sud, 44948, , 3, 0);</v>
      </c>
    </row>
    <row r="301" spans="6:19" ht="20.05" customHeight="1" outlineLevel="1" x14ac:dyDescent="0.3">
      <c r="F301" s="160">
        <f t="shared" si="132"/>
        <v>32</v>
      </c>
      <c r="G301" s="160" t="s">
        <v>109</v>
      </c>
      <c r="H301" s="354">
        <f>COUNTIF(G$270:G301,G301)</f>
        <v>3</v>
      </c>
      <c r="I301" s="160" t="str">
        <f t="shared" si="137"/>
        <v>SCH3-RAMENETAFRAISE-PROJ233</v>
      </c>
      <c r="J301" s="160" t="s">
        <v>1898</v>
      </c>
      <c r="K301" s="329">
        <f>K300</f>
        <v>44948</v>
      </c>
      <c r="M301" s="160">
        <f t="shared" si="138"/>
        <v>3</v>
      </c>
      <c r="N301" s="160">
        <v>0</v>
      </c>
      <c r="S301" s="353" t="str">
        <f t="shared" si="139"/>
        <v>INSERT INTO DOCUMENTS(idDocument, catDoc, numCatDoc, nameDoc, descriptionDoc, dateDoc, pathDoc, idProjet, idDeGeneration) VALUES (32, Schema, 3, SCH3-RAMENETAFRAISE-PROJ233, Schema de principe de circulation, 44948, , 3, 0);</v>
      </c>
    </row>
    <row r="302" spans="6:19" ht="20.05" customHeight="1" outlineLevel="1" x14ac:dyDescent="0.3">
      <c r="F302" s="160">
        <f t="shared" si="132"/>
        <v>33</v>
      </c>
      <c r="G302" s="160" t="s">
        <v>176</v>
      </c>
      <c r="H302" s="354">
        <f>COUNTIF(G$270:G302,G302)</f>
        <v>3</v>
      </c>
      <c r="I302" s="160" t="str">
        <f t="shared" si="137"/>
        <v>COU3-RAMENETAFRAISE-PROJ233</v>
      </c>
      <c r="J302" s="160" t="s">
        <v>1899</v>
      </c>
      <c r="K302" s="329">
        <f>K301+4</f>
        <v>44952</v>
      </c>
      <c r="M302" s="160">
        <f t="shared" si="138"/>
        <v>3</v>
      </c>
      <c r="N302" s="160">
        <v>0</v>
      </c>
      <c r="S302" s="353" t="str">
        <f t="shared" si="139"/>
        <v>INSERT INTO DOCUMENTS(idDocument, catDoc, numCatDoc, nameDoc, descriptionDoc, dateDoc, pathDoc, idProjet, idDeGeneration) VALUES (33, Couts, 3, COU3-RAMENETAFRAISE-PROJ233, Relevé de Coût pour l'ameublement, 44952, , 3, 0);</v>
      </c>
    </row>
    <row r="303" spans="6:19" ht="20.05" customHeight="1" outlineLevel="1" x14ac:dyDescent="0.3">
      <c r="F303" s="160">
        <f t="shared" si="132"/>
        <v>34</v>
      </c>
      <c r="G303" s="160" t="s">
        <v>1887</v>
      </c>
      <c r="H303" s="354">
        <f>COUNTIF(G$270:G303,G303)</f>
        <v>3</v>
      </c>
      <c r="I303" s="160" t="str">
        <f t="shared" si="137"/>
        <v>DIV3-RAMENETAFRAISE-PROJ233</v>
      </c>
      <c r="J303" s="160" t="s">
        <v>1900</v>
      </c>
      <c r="K303" s="329">
        <f>K302+1</f>
        <v>44953</v>
      </c>
      <c r="M303" s="160">
        <f t="shared" si="138"/>
        <v>3</v>
      </c>
      <c r="N303" s="160">
        <v>0</v>
      </c>
      <c r="S303" s="353" t="str">
        <f t="shared" si="139"/>
        <v>INSERT INTO DOCUMENTS(idDocument, catDoc, numCatDoc, nameDoc, descriptionDoc, dateDoc, pathDoc, idProjet, idDeGeneration) VALUES (34, Divers, 3, DIV3-RAMENETAFRAISE-PROJ233, Prise des cotes et des piges, 44953, , 3, 0);</v>
      </c>
    </row>
    <row r="304" spans="6:19" ht="20.05" customHeight="1" outlineLevel="1" x14ac:dyDescent="0.3">
      <c r="F304" s="160">
        <f t="shared" si="132"/>
        <v>35</v>
      </c>
      <c r="G304" s="160" t="s">
        <v>1886</v>
      </c>
      <c r="H304" s="354">
        <f>COUNTIF(G$270:G304,G304)</f>
        <v>3</v>
      </c>
      <c r="I304" s="160" t="str">
        <f t="shared" si="137"/>
        <v>CHI3-RAMENETAFRAISE-PROJ233</v>
      </c>
      <c r="J304" s="160" t="s">
        <v>1901</v>
      </c>
      <c r="K304" s="329">
        <f>K303</f>
        <v>44953</v>
      </c>
      <c r="M304" s="160">
        <f t="shared" si="138"/>
        <v>3</v>
      </c>
      <c r="N304" s="160">
        <v>0</v>
      </c>
      <c r="S304" s="353" t="str">
        <f t="shared" si="139"/>
        <v>INSERT INTO DOCUMENTS(idDocument, catDoc, numCatDoc, nameDoc, descriptionDoc, dateDoc, pathDoc, idProjet, idDeGeneration) VALUES (35, ChiffrageProj, 3, CHI3-RAMENETAFRAISE-PROJ233, Document de Chiffrage du projet, 44953, , 3, 0);</v>
      </c>
    </row>
    <row r="305" spans="6:19" x14ac:dyDescent="0.3">
      <c r="F305" s="160">
        <f t="shared" si="132"/>
        <v>36</v>
      </c>
      <c r="G305" s="160" t="s">
        <v>105</v>
      </c>
      <c r="H305" s="354">
        <f>COUNTIF(G$270:G305,G305)</f>
        <v>6</v>
      </c>
      <c r="I305" s="160" t="str">
        <f t="shared" si="137"/>
        <v>FAC6-RAMENETAFRAISE-PROJ233</v>
      </c>
      <c r="J305" s="160" t="s">
        <v>1902</v>
      </c>
      <c r="K305" s="329">
        <f>IF(N305=0,"",_xlfn.XLOOKUP(N305,F$37:F$59,G$37:G$59))</f>
        <v>44981</v>
      </c>
      <c r="M305" s="160">
        <f t="shared" si="138"/>
        <v>3</v>
      </c>
      <c r="N305" s="160">
        <v>12</v>
      </c>
      <c r="S305" s="353" t="str">
        <f t="shared" si="139"/>
        <v>INSERT INTO DOCUMENTS(idDocument, catDoc, numCatDoc, nameDoc, descriptionDoc, dateDoc, pathDoc, idProjet, idDeGeneration) VALUES (36, Facture, 6, FAC6-RAMENETAFRAISE-PROJ233, Facture transmise pour autorisation d'exploitation, 44981, , 3, 12);</v>
      </c>
    </row>
    <row r="306" spans="6:19" ht="20.05" customHeight="1" outlineLevel="1" x14ac:dyDescent="0.3">
      <c r="F306" s="160">
        <f t="shared" si="132"/>
        <v>37</v>
      </c>
      <c r="G306" s="160" t="s">
        <v>104</v>
      </c>
      <c r="H306" s="354">
        <f>COUNTIF(G306,G306)</f>
        <v>1</v>
      </c>
      <c r="I306" s="160" t="str">
        <f t="shared" ref="I306:I317" si="140">UPPER(MID(G306,1,3)&amp;H306&amp;"-"&amp;SUBSTITUTE(_xlfn.XLOOKUP(M306,F$122:F$129,G$122:G$129)," ",""))</f>
        <v>DEV1-TAPUDFUITE-PROJ234</v>
      </c>
      <c r="J306" s="160" t="s">
        <v>1891</v>
      </c>
      <c r="K306" s="329">
        <f>IF(N306=0,"",_xlfn.XLOOKUP(N306,F$37:F$59,G$37:G$59))</f>
        <v>44956</v>
      </c>
      <c r="L306" s="350"/>
      <c r="M306" s="160">
        <v>4</v>
      </c>
      <c r="N306" s="160">
        <v>8</v>
      </c>
      <c r="S306" s="353" t="str">
        <f>"INSERT INTO "&amp;$E$269&amp;"("&amp;$F$269&amp;", "&amp;$G$269&amp;", "&amp;$H$269&amp;", "&amp;$I$269&amp;", "&amp;$J$269&amp;", "&amp;$K$269&amp;", "&amp;$L$269&amp;", "&amp;$M$269&amp;", "&amp;$N$269&amp;") VALUES ("&amp;F306&amp;", "&amp;G306&amp;", "&amp;H306&amp;", "&amp;I306&amp;", "&amp;J306&amp;", "&amp;K306&amp;", "&amp;L306&amp;", "&amp;M306&amp;", "&amp;N306&amp;");"</f>
        <v>INSERT INTO DOCUMENTS(idDocument, catDoc, numCatDoc, nameDoc, descriptionDoc, dateDoc, pathDoc, idProjet, idDeGeneration) VALUES (37, Devis, 1, DEV1-TAPUDFUITE-PROJ234, Proposition commerciale du projet, 44956, , 4, 8);</v>
      </c>
    </row>
    <row r="307" spans="6:19" ht="20.05" customHeight="1" outlineLevel="1" x14ac:dyDescent="0.3">
      <c r="F307" s="160">
        <f t="shared" si="132"/>
        <v>38</v>
      </c>
      <c r="G307" s="160" t="s">
        <v>105</v>
      </c>
      <c r="H307" s="354">
        <f>COUNTIF(G$270:G307,G307)</f>
        <v>7</v>
      </c>
      <c r="I307" s="160" t="str">
        <f t="shared" si="140"/>
        <v>FAC7-TAPUDFUITE-PROJ234</v>
      </c>
      <c r="J307" s="160" t="s">
        <v>1892</v>
      </c>
      <c r="K307" s="329">
        <f>IF(N307=0,"",_xlfn.XLOOKUP(N307,F$37:F$59,G$37:G$59))</f>
        <v>44972</v>
      </c>
      <c r="M307" s="160">
        <f>M306</f>
        <v>4</v>
      </c>
      <c r="N307" s="160">
        <v>10</v>
      </c>
      <c r="S307" s="353" t="str">
        <f>"INSERT INTO "&amp;$E$269&amp;"("&amp;$F$269&amp;", "&amp;$G$269&amp;", "&amp;$H$269&amp;", "&amp;$I$269&amp;", "&amp;$J$269&amp;", "&amp;$K$269&amp;", "&amp;$L$269&amp;", "&amp;$M$269&amp;", "&amp;$N$269&amp;") VALUES ("&amp;F307&amp;", "&amp;G307&amp;", "&amp;H307&amp;", "&amp;I307&amp;", "&amp;J307&amp;", "&amp;K307&amp;", "&amp;L307&amp;", "&amp;M307&amp;", "&amp;N307&amp;");"</f>
        <v>INSERT INTO DOCUMENTS(idDocument, catDoc, numCatDoc, nameDoc, descriptionDoc, dateDoc, pathDoc, idProjet, idDeGeneration) VALUES (38, Facture, 7, FAC7-TAPUDFUITE-PROJ234, Facture d'accompte pour démarrer les travaux, 44972, , 4, 10);</v>
      </c>
    </row>
    <row r="308" spans="6:19" ht="32.6" customHeight="1" outlineLevel="1" x14ac:dyDescent="0.3">
      <c r="F308" s="160">
        <f t="shared" si="132"/>
        <v>39</v>
      </c>
      <c r="G308" s="160" t="s">
        <v>106</v>
      </c>
      <c r="H308" s="354">
        <f>COUNTIF(G$270:G308,G308)</f>
        <v>7</v>
      </c>
      <c r="I308" s="160" t="str">
        <f t="shared" si="140"/>
        <v>PLA7-TAPUDFUITE-PROJ234</v>
      </c>
      <c r="J308" s="160" t="s">
        <v>1893</v>
      </c>
      <c r="K308" s="329">
        <f>K307</f>
        <v>44972</v>
      </c>
      <c r="M308" s="160">
        <f t="shared" ref="M308:M317" si="141">M307</f>
        <v>4</v>
      </c>
      <c r="N308" s="160">
        <v>0</v>
      </c>
      <c r="S308" s="353" t="str">
        <f t="shared" ref="S308:S317" si="142">"INSERT INTO "&amp;$E$269&amp;"("&amp;$F$269&amp;", "&amp;$G$269&amp;", "&amp;$H$269&amp;", "&amp;$I$269&amp;", "&amp;$J$269&amp;", "&amp;$K$269&amp;", "&amp;$L$269&amp;", "&amp;$M$269&amp;", "&amp;$N$269&amp;") VALUES ("&amp;F308&amp;", "&amp;G308&amp;", "&amp;H308&amp;", "&amp;I308&amp;", "&amp;J308&amp;", "&amp;K308&amp;", "&amp;L308&amp;", "&amp;M308&amp;", "&amp;N308&amp;");"</f>
        <v>INSERT INTO DOCUMENTS(idDocument, catDoc, numCatDoc, nameDoc, descriptionDoc, dateDoc, pathDoc, idProjet, idDeGeneration) VALUES (39, Plan, 7, PLA7-TAPUDFUITE-PROJ234, Plan de face - etc, 44972, , 4, 0);</v>
      </c>
    </row>
    <row r="309" spans="6:19" ht="25.85" customHeight="1" outlineLevel="1" x14ac:dyDescent="0.3">
      <c r="F309" s="160">
        <f t="shared" si="132"/>
        <v>40</v>
      </c>
      <c r="G309" s="160" t="s">
        <v>106</v>
      </c>
      <c r="H309" s="354">
        <f>COUNTIF(G$270:G309,G309)</f>
        <v>8</v>
      </c>
      <c r="I309" s="160" t="str">
        <f t="shared" si="140"/>
        <v>PLA8-TAPUDFUITE-PROJ234</v>
      </c>
      <c r="J309" s="160" t="s">
        <v>1894</v>
      </c>
      <c r="K309" s="329">
        <f>K308</f>
        <v>44972</v>
      </c>
      <c r="M309" s="160">
        <f t="shared" si="141"/>
        <v>4</v>
      </c>
      <c r="N309" s="160">
        <v>0</v>
      </c>
      <c r="S309" s="353" t="str">
        <f t="shared" si="142"/>
        <v>INSERT INTO DOCUMENTS(idDocument, catDoc, numCatDoc, nameDoc, descriptionDoc, dateDoc, pathDoc, idProjet, idDeGeneration) VALUES (40, Plan, 8, PLA8-TAPUDFUITE-PROJ234, Plan de coté Est - etc, 44972, , 4, 0);</v>
      </c>
    </row>
    <row r="310" spans="6:19" outlineLevel="1" x14ac:dyDescent="0.3">
      <c r="F310" s="160">
        <f t="shared" si="132"/>
        <v>41</v>
      </c>
      <c r="G310" s="160" t="s">
        <v>1885</v>
      </c>
      <c r="H310" s="354">
        <f>COUNTIF(G$270:G310,G310)</f>
        <v>10</v>
      </c>
      <c r="I310" s="160" t="str">
        <f t="shared" si="140"/>
        <v>IMG10-TAPUDFUITE-PROJ234</v>
      </c>
      <c r="J310" s="160" t="s">
        <v>1895</v>
      </c>
      <c r="K310" s="329">
        <f>K309+1</f>
        <v>44973</v>
      </c>
      <c r="M310" s="160">
        <f t="shared" si="141"/>
        <v>4</v>
      </c>
      <c r="N310" s="160">
        <v>0</v>
      </c>
      <c r="S310" s="353" t="str">
        <f t="shared" si="142"/>
        <v>INSERT INTO DOCUMENTS(idDocument, catDoc, numCatDoc, nameDoc, descriptionDoc, dateDoc, pathDoc, idProjet, idDeGeneration) VALUES (41, ImgPhoto, 10, IMG10-TAPUDFUITE-PROJ234, Photo de projection de face, 44973, , 4, 0);</v>
      </c>
    </row>
    <row r="311" spans="6:19" ht="28.05" customHeight="1" outlineLevel="1" x14ac:dyDescent="0.3">
      <c r="F311" s="160">
        <f t="shared" si="132"/>
        <v>42</v>
      </c>
      <c r="G311" s="160" t="s">
        <v>1885</v>
      </c>
      <c r="H311" s="354">
        <f>COUNTIF(G$270:G311,G311)</f>
        <v>11</v>
      </c>
      <c r="I311" s="160" t="str">
        <f t="shared" si="140"/>
        <v>IMG11-TAPUDFUITE-PROJ234</v>
      </c>
      <c r="J311" s="160" t="s">
        <v>1896</v>
      </c>
      <c r="K311" s="329">
        <f>K310</f>
        <v>44973</v>
      </c>
      <c r="M311" s="160">
        <f t="shared" si="141"/>
        <v>4</v>
      </c>
      <c r="N311" s="160">
        <v>0</v>
      </c>
      <c r="S311" s="353" t="str">
        <f t="shared" si="142"/>
        <v>INSERT INTO DOCUMENTS(idDocument, catDoc, numCatDoc, nameDoc, descriptionDoc, dateDoc, pathDoc, idProjet, idDeGeneration) VALUES (42, ImgPhoto, 11, IMG11-TAPUDFUITE-PROJ234, Photo de projection de coté Est, 44973, , 4, 0);</v>
      </c>
    </row>
    <row r="312" spans="6:19" ht="30.05" customHeight="1" outlineLevel="1" x14ac:dyDescent="0.3">
      <c r="F312" s="160">
        <f t="shared" si="132"/>
        <v>43</v>
      </c>
      <c r="G312" s="160" t="s">
        <v>1885</v>
      </c>
      <c r="H312" s="354">
        <f>COUNTIF(G$270:G312,G312)</f>
        <v>12</v>
      </c>
      <c r="I312" s="160" t="str">
        <f t="shared" si="140"/>
        <v>IMG12-TAPUDFUITE-PROJ234</v>
      </c>
      <c r="J312" s="160" t="s">
        <v>1897</v>
      </c>
      <c r="K312" s="329">
        <f>K311+1</f>
        <v>44974</v>
      </c>
      <c r="M312" s="160">
        <f t="shared" si="141"/>
        <v>4</v>
      </c>
      <c r="N312" s="160">
        <v>0</v>
      </c>
      <c r="S312" s="353" t="str">
        <f t="shared" si="142"/>
        <v>INSERT INTO DOCUMENTS(idDocument, catDoc, numCatDoc, nameDoc, descriptionDoc, dateDoc, pathDoc, idProjet, idDeGeneration) VALUES (43, ImgPhoto, 12, IMG12-TAPUDFUITE-PROJ234, Photo de projection dcoté Ouest et Sud, 44974, , 4, 0);</v>
      </c>
    </row>
    <row r="313" spans="6:19" ht="20.05" customHeight="1" outlineLevel="1" x14ac:dyDescent="0.3">
      <c r="F313" s="160">
        <f t="shared" si="132"/>
        <v>44</v>
      </c>
      <c r="G313" s="160" t="s">
        <v>109</v>
      </c>
      <c r="H313" s="354">
        <f>COUNTIF(G$270:G313,G313)</f>
        <v>4</v>
      </c>
      <c r="I313" s="160" t="str">
        <f t="shared" si="140"/>
        <v>SCH4-TAPUDFUITE-PROJ234</v>
      </c>
      <c r="J313" s="160" t="s">
        <v>1898</v>
      </c>
      <c r="K313" s="329">
        <f>K312</f>
        <v>44974</v>
      </c>
      <c r="M313" s="160">
        <f t="shared" si="141"/>
        <v>4</v>
      </c>
      <c r="N313" s="160">
        <v>0</v>
      </c>
      <c r="S313" s="353" t="str">
        <f t="shared" si="142"/>
        <v>INSERT INTO DOCUMENTS(idDocument, catDoc, numCatDoc, nameDoc, descriptionDoc, dateDoc, pathDoc, idProjet, idDeGeneration) VALUES (44, Schema, 4, SCH4-TAPUDFUITE-PROJ234, Schema de principe de circulation, 44974, , 4, 0);</v>
      </c>
    </row>
    <row r="314" spans="6:19" ht="20.05" customHeight="1" outlineLevel="1" x14ac:dyDescent="0.3">
      <c r="F314" s="160">
        <f t="shared" si="132"/>
        <v>45</v>
      </c>
      <c r="G314" s="160" t="s">
        <v>176</v>
      </c>
      <c r="H314" s="354">
        <f>COUNTIF(G$270:G314,G314)</f>
        <v>4</v>
      </c>
      <c r="I314" s="160" t="str">
        <f t="shared" si="140"/>
        <v>COU4-TAPUDFUITE-PROJ234</v>
      </c>
      <c r="J314" s="160" t="s">
        <v>1899</v>
      </c>
      <c r="K314" s="329">
        <f>K313+4</f>
        <v>44978</v>
      </c>
      <c r="M314" s="160">
        <f t="shared" si="141"/>
        <v>4</v>
      </c>
      <c r="N314" s="160">
        <v>0</v>
      </c>
      <c r="S314" s="353" t="str">
        <f t="shared" si="142"/>
        <v>INSERT INTO DOCUMENTS(idDocument, catDoc, numCatDoc, nameDoc, descriptionDoc, dateDoc, pathDoc, idProjet, idDeGeneration) VALUES (45, Couts, 4, COU4-TAPUDFUITE-PROJ234, Relevé de Coût pour l'ameublement, 44978, , 4, 0);</v>
      </c>
    </row>
    <row r="315" spans="6:19" ht="20.05" customHeight="1" outlineLevel="1" x14ac:dyDescent="0.3">
      <c r="F315" s="160">
        <f t="shared" si="132"/>
        <v>46</v>
      </c>
      <c r="G315" s="160" t="s">
        <v>1887</v>
      </c>
      <c r="H315" s="354">
        <f>COUNTIF(G$270:G315,G315)</f>
        <v>4</v>
      </c>
      <c r="I315" s="160" t="str">
        <f t="shared" si="140"/>
        <v>DIV4-TAPUDFUITE-PROJ234</v>
      </c>
      <c r="J315" s="160" t="s">
        <v>1900</v>
      </c>
      <c r="K315" s="329">
        <f>K314+1</f>
        <v>44979</v>
      </c>
      <c r="M315" s="160">
        <f t="shared" si="141"/>
        <v>4</v>
      </c>
      <c r="N315" s="160">
        <v>0</v>
      </c>
      <c r="S315" s="353" t="str">
        <f t="shared" si="142"/>
        <v>INSERT INTO DOCUMENTS(idDocument, catDoc, numCatDoc, nameDoc, descriptionDoc, dateDoc, pathDoc, idProjet, idDeGeneration) VALUES (46, Divers, 4, DIV4-TAPUDFUITE-PROJ234, Prise des cotes et des piges, 44979, , 4, 0);</v>
      </c>
    </row>
    <row r="316" spans="6:19" ht="20.05" customHeight="1" outlineLevel="1" x14ac:dyDescent="0.3">
      <c r="F316" s="160">
        <f t="shared" si="132"/>
        <v>47</v>
      </c>
      <c r="G316" s="160" t="s">
        <v>1886</v>
      </c>
      <c r="H316" s="354">
        <f>COUNTIF(G$270:G316,G316)</f>
        <v>4</v>
      </c>
      <c r="I316" s="160" t="str">
        <f t="shared" si="140"/>
        <v>CHI4-TAPUDFUITE-PROJ234</v>
      </c>
      <c r="J316" s="160" t="s">
        <v>1901</v>
      </c>
      <c r="K316" s="329">
        <f>K315</f>
        <v>44979</v>
      </c>
      <c r="M316" s="160">
        <f t="shared" si="141"/>
        <v>4</v>
      </c>
      <c r="N316" s="160">
        <v>0</v>
      </c>
      <c r="S316" s="353" t="str">
        <f t="shared" si="142"/>
        <v>INSERT INTO DOCUMENTS(idDocument, catDoc, numCatDoc, nameDoc, descriptionDoc, dateDoc, pathDoc, idProjet, idDeGeneration) VALUES (47, ChiffrageProj, 4, CHI4-TAPUDFUITE-PROJ234, Document de Chiffrage du projet, 44979, , 4, 0);</v>
      </c>
    </row>
    <row r="317" spans="6:19" x14ac:dyDescent="0.3">
      <c r="F317" s="160">
        <f t="shared" si="132"/>
        <v>48</v>
      </c>
      <c r="G317" s="160" t="s">
        <v>105</v>
      </c>
      <c r="H317" s="354">
        <f>COUNTIF(G$270:G317,G317)</f>
        <v>8</v>
      </c>
      <c r="I317" s="160" t="str">
        <f t="shared" si="140"/>
        <v>FAC8-TAPUDFUITE-PROJ234</v>
      </c>
      <c r="J317" s="160" t="s">
        <v>1902</v>
      </c>
      <c r="K317" s="329">
        <f>IF(N317=0,"",_xlfn.XLOOKUP(N317,F$37:F$59,G$37:G$59))</f>
        <v>44995</v>
      </c>
      <c r="M317" s="160">
        <f t="shared" si="141"/>
        <v>4</v>
      </c>
      <c r="N317" s="160">
        <v>15</v>
      </c>
      <c r="S317" s="353" t="str">
        <f t="shared" si="142"/>
        <v>INSERT INTO DOCUMENTS(idDocument, catDoc, numCatDoc, nameDoc, descriptionDoc, dateDoc, pathDoc, idProjet, idDeGeneration) VALUES (48, Facture, 8, FAC8-TAPUDFUITE-PROJ234, Facture transmise pour autorisation d'exploitation, 44995, , 4, 15);</v>
      </c>
    </row>
    <row r="318" spans="6:19" ht="20.05" customHeight="1" outlineLevel="1" x14ac:dyDescent="0.3">
      <c r="F318" s="160">
        <f t="shared" si="132"/>
        <v>49</v>
      </c>
      <c r="G318" s="160" t="s">
        <v>104</v>
      </c>
      <c r="H318" s="354">
        <f>COUNTIF(G318,G318)</f>
        <v>1</v>
      </c>
      <c r="I318" s="160" t="str">
        <f t="shared" ref="I318:I329" si="143">UPPER(MID(G318,1,3)&amp;H318&amp;"-"&amp;SUBSTITUTE(_xlfn.XLOOKUP(M318,F$122:F$129,G$122:G$129)," ",""))</f>
        <v>DEV1-LABONNEBAGUETTE-PROJ235</v>
      </c>
      <c r="J318" s="160" t="s">
        <v>1891</v>
      </c>
      <c r="K318" s="329">
        <f>IF(N318=0,"",_xlfn.XLOOKUP(N318,F$37:F$59,G$37:G$59))</f>
        <v>44972</v>
      </c>
      <c r="L318" s="350"/>
      <c r="M318" s="160">
        <v>5</v>
      </c>
      <c r="N318" s="160">
        <v>11</v>
      </c>
      <c r="S318" s="353" t="str">
        <f>"INSERT INTO "&amp;$E$269&amp;"("&amp;$F$269&amp;", "&amp;$G$269&amp;", "&amp;$H$269&amp;", "&amp;$I$269&amp;", "&amp;$J$269&amp;", "&amp;$K$269&amp;", "&amp;$L$269&amp;", "&amp;$M$269&amp;", "&amp;$N$269&amp;") VALUES ("&amp;F318&amp;", "&amp;G318&amp;", "&amp;H318&amp;", "&amp;I318&amp;", "&amp;J318&amp;", "&amp;K318&amp;", "&amp;L318&amp;", "&amp;M318&amp;", "&amp;N318&amp;");"</f>
        <v>INSERT INTO DOCUMENTS(idDocument, catDoc, numCatDoc, nameDoc, descriptionDoc, dateDoc, pathDoc, idProjet, idDeGeneration) VALUES (49, Devis, 1, DEV1-LABONNEBAGUETTE-PROJ235, Proposition commerciale du projet, 44972, , 5, 11);</v>
      </c>
    </row>
    <row r="319" spans="6:19" ht="20.05" customHeight="1" outlineLevel="1" x14ac:dyDescent="0.3">
      <c r="F319" s="160">
        <f t="shared" si="132"/>
        <v>50</v>
      </c>
      <c r="G319" s="160" t="s">
        <v>105</v>
      </c>
      <c r="H319" s="354">
        <f>COUNTIF(G$270:G319,G319)</f>
        <v>9</v>
      </c>
      <c r="I319" s="160" t="str">
        <f t="shared" si="143"/>
        <v>FAC9-LABONNEBAGUETTE-PROJ235</v>
      </c>
      <c r="J319" s="160" t="s">
        <v>1892</v>
      </c>
      <c r="K319" s="329">
        <f>IF(N319=0,"",_xlfn.XLOOKUP(N319,F$37:F$59,G$37:G$59))</f>
        <v>44983</v>
      </c>
      <c r="M319" s="160">
        <f>M318</f>
        <v>5</v>
      </c>
      <c r="N319" s="160">
        <v>13</v>
      </c>
      <c r="S319" s="353" t="str">
        <f>"INSERT INTO "&amp;$E$269&amp;"("&amp;$F$269&amp;", "&amp;$G$269&amp;", "&amp;$H$269&amp;", "&amp;$I$269&amp;", "&amp;$J$269&amp;", "&amp;$K$269&amp;", "&amp;$L$269&amp;", "&amp;$M$269&amp;", "&amp;$N$269&amp;") VALUES ("&amp;F319&amp;", "&amp;G319&amp;", "&amp;H319&amp;", "&amp;I319&amp;", "&amp;J319&amp;", "&amp;K319&amp;", "&amp;L319&amp;", "&amp;M319&amp;", "&amp;N319&amp;");"</f>
        <v>INSERT INTO DOCUMENTS(idDocument, catDoc, numCatDoc, nameDoc, descriptionDoc, dateDoc, pathDoc, idProjet, idDeGeneration) VALUES (50, Facture, 9, FAC9-LABONNEBAGUETTE-PROJ235, Facture d'accompte pour démarrer les travaux, 44983, , 5, 13);</v>
      </c>
    </row>
    <row r="320" spans="6:19" ht="32.6" customHeight="1" outlineLevel="1" x14ac:dyDescent="0.3">
      <c r="F320" s="160">
        <f t="shared" si="132"/>
        <v>51</v>
      </c>
      <c r="G320" s="160" t="s">
        <v>106</v>
      </c>
      <c r="H320" s="354">
        <f>COUNTIF(G$270:G320,G320)</f>
        <v>9</v>
      </c>
      <c r="I320" s="160" t="str">
        <f t="shared" si="143"/>
        <v>PLA9-LABONNEBAGUETTE-PROJ235</v>
      </c>
      <c r="J320" s="160" t="s">
        <v>1893</v>
      </c>
      <c r="K320" s="329">
        <f>K319</f>
        <v>44983</v>
      </c>
      <c r="M320" s="160">
        <f t="shared" ref="M320:M329" si="144">M319</f>
        <v>5</v>
      </c>
      <c r="N320" s="160">
        <v>0</v>
      </c>
      <c r="S320" s="353" t="str">
        <f t="shared" ref="S320:S329" si="145">"INSERT INTO "&amp;$E$269&amp;"("&amp;$F$269&amp;", "&amp;$G$269&amp;", "&amp;$H$269&amp;", "&amp;$I$269&amp;", "&amp;$J$269&amp;", "&amp;$K$269&amp;", "&amp;$L$269&amp;", "&amp;$M$269&amp;", "&amp;$N$269&amp;") VALUES ("&amp;F320&amp;", "&amp;G320&amp;", "&amp;H320&amp;", "&amp;I320&amp;", "&amp;J320&amp;", "&amp;K320&amp;", "&amp;L320&amp;", "&amp;M320&amp;", "&amp;N320&amp;");"</f>
        <v>INSERT INTO DOCUMENTS(idDocument, catDoc, numCatDoc, nameDoc, descriptionDoc, dateDoc, pathDoc, idProjet, idDeGeneration) VALUES (51, Plan, 9, PLA9-LABONNEBAGUETTE-PROJ235, Plan de face - etc, 44983, , 5, 0);</v>
      </c>
    </row>
    <row r="321" spans="6:19" ht="25.85" customHeight="1" outlineLevel="1" x14ac:dyDescent="0.3">
      <c r="F321" s="160">
        <f t="shared" si="132"/>
        <v>52</v>
      </c>
      <c r="G321" s="160" t="s">
        <v>106</v>
      </c>
      <c r="H321" s="354">
        <f>COUNTIF(G$270:G321,G321)</f>
        <v>10</v>
      </c>
      <c r="I321" s="160" t="str">
        <f t="shared" si="143"/>
        <v>PLA10-LABONNEBAGUETTE-PROJ235</v>
      </c>
      <c r="J321" s="160" t="s">
        <v>1894</v>
      </c>
      <c r="K321" s="329">
        <f>K320</f>
        <v>44983</v>
      </c>
      <c r="M321" s="160">
        <f t="shared" si="144"/>
        <v>5</v>
      </c>
      <c r="N321" s="160">
        <v>0</v>
      </c>
      <c r="S321" s="353" t="str">
        <f t="shared" si="145"/>
        <v>INSERT INTO DOCUMENTS(idDocument, catDoc, numCatDoc, nameDoc, descriptionDoc, dateDoc, pathDoc, idProjet, idDeGeneration) VALUES (52, Plan, 10, PLA10-LABONNEBAGUETTE-PROJ235, Plan de coté Est - etc, 44983, , 5, 0);</v>
      </c>
    </row>
    <row r="322" spans="6:19" outlineLevel="1" x14ac:dyDescent="0.3">
      <c r="F322" s="160">
        <f t="shared" si="132"/>
        <v>53</v>
      </c>
      <c r="G322" s="160" t="s">
        <v>1885</v>
      </c>
      <c r="H322" s="354">
        <f>COUNTIF(G$270:G322,G322)</f>
        <v>13</v>
      </c>
      <c r="I322" s="160" t="str">
        <f t="shared" si="143"/>
        <v>IMG13-LABONNEBAGUETTE-PROJ235</v>
      </c>
      <c r="J322" s="160" t="s">
        <v>1895</v>
      </c>
      <c r="K322" s="329">
        <f>K321+1</f>
        <v>44984</v>
      </c>
      <c r="M322" s="160">
        <f t="shared" si="144"/>
        <v>5</v>
      </c>
      <c r="N322" s="160">
        <v>0</v>
      </c>
      <c r="S322" s="353" t="str">
        <f t="shared" si="145"/>
        <v>INSERT INTO DOCUMENTS(idDocument, catDoc, numCatDoc, nameDoc, descriptionDoc, dateDoc, pathDoc, idProjet, idDeGeneration) VALUES (53, ImgPhoto, 13, IMG13-LABONNEBAGUETTE-PROJ235, Photo de projection de face, 44984, , 5, 0);</v>
      </c>
    </row>
    <row r="323" spans="6:19" ht="28.05" customHeight="1" outlineLevel="1" x14ac:dyDescent="0.3">
      <c r="F323" s="160">
        <f t="shared" si="132"/>
        <v>54</v>
      </c>
      <c r="G323" s="160" t="s">
        <v>1885</v>
      </c>
      <c r="H323" s="354">
        <f>COUNTIF(G$270:G323,G323)</f>
        <v>14</v>
      </c>
      <c r="I323" s="160" t="str">
        <f t="shared" si="143"/>
        <v>IMG14-LABONNEBAGUETTE-PROJ235</v>
      </c>
      <c r="J323" s="160" t="s">
        <v>1896</v>
      </c>
      <c r="K323" s="329">
        <f>K322</f>
        <v>44984</v>
      </c>
      <c r="M323" s="160">
        <f t="shared" si="144"/>
        <v>5</v>
      </c>
      <c r="N323" s="160">
        <v>0</v>
      </c>
      <c r="S323" s="353" t="str">
        <f t="shared" si="145"/>
        <v>INSERT INTO DOCUMENTS(idDocument, catDoc, numCatDoc, nameDoc, descriptionDoc, dateDoc, pathDoc, idProjet, idDeGeneration) VALUES (54, ImgPhoto, 14, IMG14-LABONNEBAGUETTE-PROJ235, Photo de projection de coté Est, 44984, , 5, 0);</v>
      </c>
    </row>
    <row r="324" spans="6:19" ht="30.05" customHeight="1" outlineLevel="1" x14ac:dyDescent="0.3">
      <c r="F324" s="160">
        <f t="shared" si="132"/>
        <v>55</v>
      </c>
      <c r="G324" s="160" t="s">
        <v>1885</v>
      </c>
      <c r="H324" s="354">
        <f>COUNTIF(G$270:G324,G324)</f>
        <v>15</v>
      </c>
      <c r="I324" s="160" t="str">
        <f t="shared" si="143"/>
        <v>IMG15-LABONNEBAGUETTE-PROJ235</v>
      </c>
      <c r="J324" s="160" t="s">
        <v>1897</v>
      </c>
      <c r="K324" s="329">
        <f>K323+1</f>
        <v>44985</v>
      </c>
      <c r="M324" s="160">
        <f t="shared" si="144"/>
        <v>5</v>
      </c>
      <c r="N324" s="160">
        <v>0</v>
      </c>
      <c r="S324" s="353" t="str">
        <f t="shared" si="145"/>
        <v>INSERT INTO DOCUMENTS(idDocument, catDoc, numCatDoc, nameDoc, descriptionDoc, dateDoc, pathDoc, idProjet, idDeGeneration) VALUES (55, ImgPhoto, 15, IMG15-LABONNEBAGUETTE-PROJ235, Photo de projection dcoté Ouest et Sud, 44985, , 5, 0);</v>
      </c>
    </row>
    <row r="325" spans="6:19" ht="20.05" customHeight="1" outlineLevel="1" x14ac:dyDescent="0.3">
      <c r="F325" s="160">
        <f t="shared" si="132"/>
        <v>56</v>
      </c>
      <c r="G325" s="160" t="s">
        <v>109</v>
      </c>
      <c r="H325" s="354">
        <f>COUNTIF(G$270:G325,G325)</f>
        <v>5</v>
      </c>
      <c r="I325" s="160" t="str">
        <f t="shared" si="143"/>
        <v>SCH5-LABONNEBAGUETTE-PROJ235</v>
      </c>
      <c r="J325" s="160" t="s">
        <v>1898</v>
      </c>
      <c r="K325" s="329">
        <f>K324</f>
        <v>44985</v>
      </c>
      <c r="M325" s="160">
        <f t="shared" si="144"/>
        <v>5</v>
      </c>
      <c r="N325" s="160">
        <v>0</v>
      </c>
      <c r="S325" s="353" t="str">
        <f t="shared" si="145"/>
        <v>INSERT INTO DOCUMENTS(idDocument, catDoc, numCatDoc, nameDoc, descriptionDoc, dateDoc, pathDoc, idProjet, idDeGeneration) VALUES (56, Schema, 5, SCH5-LABONNEBAGUETTE-PROJ235, Schema de principe de circulation, 44985, , 5, 0);</v>
      </c>
    </row>
    <row r="326" spans="6:19" ht="20.05" customHeight="1" outlineLevel="1" x14ac:dyDescent="0.3">
      <c r="F326" s="160">
        <f t="shared" si="132"/>
        <v>57</v>
      </c>
      <c r="G326" s="160" t="s">
        <v>176</v>
      </c>
      <c r="H326" s="354">
        <f>COUNTIF(G$270:G326,G326)</f>
        <v>5</v>
      </c>
      <c r="I326" s="160" t="str">
        <f t="shared" si="143"/>
        <v>COU5-LABONNEBAGUETTE-PROJ235</v>
      </c>
      <c r="J326" s="160" t="s">
        <v>1899</v>
      </c>
      <c r="K326" s="329">
        <f>K325+4</f>
        <v>44989</v>
      </c>
      <c r="M326" s="160">
        <f t="shared" si="144"/>
        <v>5</v>
      </c>
      <c r="N326" s="160">
        <v>0</v>
      </c>
      <c r="S326" s="353" t="str">
        <f t="shared" si="145"/>
        <v>INSERT INTO DOCUMENTS(idDocument, catDoc, numCatDoc, nameDoc, descriptionDoc, dateDoc, pathDoc, idProjet, idDeGeneration) VALUES (57, Couts, 5, COU5-LABONNEBAGUETTE-PROJ235, Relevé de Coût pour l'ameublement, 44989, , 5, 0);</v>
      </c>
    </row>
    <row r="327" spans="6:19" ht="20.05" customHeight="1" outlineLevel="1" x14ac:dyDescent="0.3">
      <c r="F327" s="160">
        <f t="shared" si="132"/>
        <v>58</v>
      </c>
      <c r="G327" s="160" t="s">
        <v>1887</v>
      </c>
      <c r="H327" s="354">
        <f>COUNTIF(G$270:G327,G327)</f>
        <v>5</v>
      </c>
      <c r="I327" s="160" t="str">
        <f t="shared" si="143"/>
        <v>DIV5-LABONNEBAGUETTE-PROJ235</v>
      </c>
      <c r="J327" s="160" t="s">
        <v>1900</v>
      </c>
      <c r="K327" s="329">
        <f>K326+1</f>
        <v>44990</v>
      </c>
      <c r="M327" s="160">
        <f t="shared" si="144"/>
        <v>5</v>
      </c>
      <c r="N327" s="160">
        <v>0</v>
      </c>
      <c r="S327" s="353" t="str">
        <f t="shared" si="145"/>
        <v>INSERT INTO DOCUMENTS(idDocument, catDoc, numCatDoc, nameDoc, descriptionDoc, dateDoc, pathDoc, idProjet, idDeGeneration) VALUES (58, Divers, 5, DIV5-LABONNEBAGUETTE-PROJ235, Prise des cotes et des piges, 44990, , 5, 0);</v>
      </c>
    </row>
    <row r="328" spans="6:19" ht="20.05" customHeight="1" outlineLevel="1" x14ac:dyDescent="0.3">
      <c r="F328" s="160">
        <f t="shared" si="132"/>
        <v>59</v>
      </c>
      <c r="G328" s="160" t="s">
        <v>1886</v>
      </c>
      <c r="H328" s="354">
        <f>COUNTIF(G$270:G328,G328)</f>
        <v>5</v>
      </c>
      <c r="I328" s="160" t="str">
        <f t="shared" si="143"/>
        <v>CHI5-LABONNEBAGUETTE-PROJ235</v>
      </c>
      <c r="J328" s="160" t="s">
        <v>1901</v>
      </c>
      <c r="K328" s="329">
        <f>K327</f>
        <v>44990</v>
      </c>
      <c r="M328" s="160">
        <f t="shared" si="144"/>
        <v>5</v>
      </c>
      <c r="N328" s="160">
        <v>0</v>
      </c>
      <c r="S328" s="353" t="str">
        <f t="shared" si="145"/>
        <v>INSERT INTO DOCUMENTS(idDocument, catDoc, numCatDoc, nameDoc, descriptionDoc, dateDoc, pathDoc, idProjet, idDeGeneration) VALUES (59, ChiffrageProj, 5, CHI5-LABONNEBAGUETTE-PROJ235, Document de Chiffrage du projet, 44990, , 5, 0);</v>
      </c>
    </row>
    <row r="329" spans="6:19" x14ac:dyDescent="0.3">
      <c r="F329" s="160">
        <f t="shared" si="132"/>
        <v>60</v>
      </c>
      <c r="G329" s="160" t="s">
        <v>105</v>
      </c>
      <c r="H329" s="354">
        <f>COUNTIF(G$270:G329,G329)</f>
        <v>10</v>
      </c>
      <c r="I329" s="160" t="str">
        <f t="shared" si="143"/>
        <v>FAC10-LABONNEBAGUETTE-PROJ235</v>
      </c>
      <c r="J329" s="160" t="s">
        <v>1902</v>
      </c>
      <c r="K329" s="329">
        <f>IF(N329=0,"",_xlfn.XLOOKUP(N329,F$37:F$59,G$37:G$59))</f>
        <v>45020</v>
      </c>
      <c r="M329" s="160">
        <f t="shared" si="144"/>
        <v>5</v>
      </c>
      <c r="N329" s="160">
        <v>17</v>
      </c>
      <c r="S329" s="353" t="str">
        <f t="shared" si="145"/>
        <v>INSERT INTO DOCUMENTS(idDocument, catDoc, numCatDoc, nameDoc, descriptionDoc, dateDoc, pathDoc, idProjet, idDeGeneration) VALUES (60, Facture, 10, FAC10-LABONNEBAGUETTE-PROJ235, Facture transmise pour autorisation d'exploitation, 45020, , 5, 17);</v>
      </c>
    </row>
    <row r="330" spans="6:19" ht="20.05" customHeight="1" outlineLevel="1" x14ac:dyDescent="0.3">
      <c r="F330" s="160">
        <f t="shared" si="132"/>
        <v>61</v>
      </c>
      <c r="G330" s="160" t="s">
        <v>104</v>
      </c>
      <c r="H330" s="354">
        <f>COUNTIF(G330,G330)</f>
        <v>1</v>
      </c>
      <c r="I330" s="160" t="str">
        <f t="shared" ref="I330:I341" si="146">UPPER(MID(G330,1,3)&amp;H330&amp;"-"&amp;SUBSTITUTE(_xlfn.XLOOKUP(M330,F$122:F$129,G$122:G$129)," ",""))</f>
        <v>DEV1-GLESBOULES-PROJ236</v>
      </c>
      <c r="J330" s="160" t="s">
        <v>1891</v>
      </c>
      <c r="K330" s="329">
        <f>IF(N330=0,"",_xlfn.XLOOKUP(N330,F$37:F$59,G$37:G$59))</f>
        <v>44990</v>
      </c>
      <c r="L330" s="350"/>
      <c r="M330" s="160">
        <v>6</v>
      </c>
      <c r="N330" s="160">
        <v>14</v>
      </c>
      <c r="S330" s="353" t="str">
        <f>"INSERT INTO "&amp;$E$269&amp;"("&amp;$F$269&amp;", "&amp;$G$269&amp;", "&amp;$H$269&amp;", "&amp;$I$269&amp;", "&amp;$J$269&amp;", "&amp;$K$269&amp;", "&amp;$L$269&amp;", "&amp;$M$269&amp;", "&amp;$N$269&amp;") VALUES ("&amp;F330&amp;", "&amp;G330&amp;", "&amp;H330&amp;", "&amp;I330&amp;", "&amp;J330&amp;", "&amp;K330&amp;", "&amp;L330&amp;", "&amp;M330&amp;", "&amp;N330&amp;");"</f>
        <v>INSERT INTO DOCUMENTS(idDocument, catDoc, numCatDoc, nameDoc, descriptionDoc, dateDoc, pathDoc, idProjet, idDeGeneration) VALUES (61, Devis, 1, DEV1-GLESBOULES-PROJ236, Proposition commerciale du projet, 44990, , 6, 14);</v>
      </c>
    </row>
    <row r="331" spans="6:19" ht="20.05" customHeight="1" outlineLevel="1" x14ac:dyDescent="0.3">
      <c r="F331" s="160">
        <f t="shared" si="132"/>
        <v>62</v>
      </c>
      <c r="G331" s="160" t="s">
        <v>105</v>
      </c>
      <c r="H331" s="354">
        <f>COUNTIF(G$270:G331,G331)</f>
        <v>11</v>
      </c>
      <c r="I331" s="160" t="str">
        <f t="shared" si="146"/>
        <v>FAC11-GLESBOULES-PROJ236</v>
      </c>
      <c r="J331" s="160" t="s">
        <v>1892</v>
      </c>
      <c r="K331" s="329">
        <f>IF(N331=0,"",_xlfn.XLOOKUP(N331,F$37:F$59,G$37:G$59))</f>
        <v>44997</v>
      </c>
      <c r="M331" s="160">
        <f>M330</f>
        <v>6</v>
      </c>
      <c r="N331" s="160">
        <v>16</v>
      </c>
      <c r="S331" s="353" t="str">
        <f>"INSERT INTO "&amp;$E$269&amp;"("&amp;$F$269&amp;", "&amp;$G$269&amp;", "&amp;$H$269&amp;", "&amp;$I$269&amp;", "&amp;$J$269&amp;", "&amp;$K$269&amp;", "&amp;$L$269&amp;", "&amp;$M$269&amp;", "&amp;$N$269&amp;") VALUES ("&amp;F331&amp;", "&amp;G331&amp;", "&amp;H331&amp;", "&amp;I331&amp;", "&amp;J331&amp;", "&amp;K331&amp;", "&amp;L331&amp;", "&amp;M331&amp;", "&amp;N331&amp;");"</f>
        <v>INSERT INTO DOCUMENTS(idDocument, catDoc, numCatDoc, nameDoc, descriptionDoc, dateDoc, pathDoc, idProjet, idDeGeneration) VALUES (62, Facture, 11, FAC11-GLESBOULES-PROJ236, Facture d'accompte pour démarrer les travaux, 44997, , 6, 16);</v>
      </c>
    </row>
    <row r="332" spans="6:19" ht="32.6" customHeight="1" outlineLevel="1" x14ac:dyDescent="0.3">
      <c r="F332" s="160">
        <f t="shared" si="132"/>
        <v>63</v>
      </c>
      <c r="G332" s="160" t="s">
        <v>106</v>
      </c>
      <c r="H332" s="354">
        <f>COUNTIF(G$270:G332,G332)</f>
        <v>11</v>
      </c>
      <c r="I332" s="160" t="str">
        <f t="shared" si="146"/>
        <v>PLA11-GLESBOULES-PROJ236</v>
      </c>
      <c r="J332" s="160" t="s">
        <v>1893</v>
      </c>
      <c r="K332" s="329">
        <f>K331</f>
        <v>44997</v>
      </c>
      <c r="M332" s="160">
        <f t="shared" ref="M332:M341" si="147">M331</f>
        <v>6</v>
      </c>
      <c r="N332" s="160">
        <v>0</v>
      </c>
      <c r="S332" s="353" t="str">
        <f t="shared" ref="S332:S341" si="148">"INSERT INTO "&amp;$E$269&amp;"("&amp;$F$269&amp;", "&amp;$G$269&amp;", "&amp;$H$269&amp;", "&amp;$I$269&amp;", "&amp;$J$269&amp;", "&amp;$K$269&amp;", "&amp;$L$269&amp;", "&amp;$M$269&amp;", "&amp;$N$269&amp;") VALUES ("&amp;F332&amp;", "&amp;G332&amp;", "&amp;H332&amp;", "&amp;I332&amp;", "&amp;J332&amp;", "&amp;K332&amp;", "&amp;L332&amp;", "&amp;M332&amp;", "&amp;N332&amp;");"</f>
        <v>INSERT INTO DOCUMENTS(idDocument, catDoc, numCatDoc, nameDoc, descriptionDoc, dateDoc, pathDoc, idProjet, idDeGeneration) VALUES (63, Plan, 11, PLA11-GLESBOULES-PROJ236, Plan de face - etc, 44997, , 6, 0);</v>
      </c>
    </row>
    <row r="333" spans="6:19" ht="25.85" customHeight="1" outlineLevel="1" x14ac:dyDescent="0.3">
      <c r="F333" s="160">
        <f t="shared" si="132"/>
        <v>64</v>
      </c>
      <c r="G333" s="160" t="s">
        <v>106</v>
      </c>
      <c r="H333" s="354">
        <f>COUNTIF(G$270:G333,G333)</f>
        <v>12</v>
      </c>
      <c r="I333" s="160" t="str">
        <f t="shared" si="146"/>
        <v>PLA12-GLESBOULES-PROJ236</v>
      </c>
      <c r="J333" s="160" t="s">
        <v>1894</v>
      </c>
      <c r="K333" s="329">
        <f>K332</f>
        <v>44997</v>
      </c>
      <c r="M333" s="160">
        <f t="shared" si="147"/>
        <v>6</v>
      </c>
      <c r="N333" s="160">
        <v>0</v>
      </c>
      <c r="S333" s="353" t="str">
        <f t="shared" si="148"/>
        <v>INSERT INTO DOCUMENTS(idDocument, catDoc, numCatDoc, nameDoc, descriptionDoc, dateDoc, pathDoc, idProjet, idDeGeneration) VALUES (64, Plan, 12, PLA12-GLESBOULES-PROJ236, Plan de coté Est - etc, 44997, , 6, 0);</v>
      </c>
    </row>
    <row r="334" spans="6:19" outlineLevel="1" x14ac:dyDescent="0.3">
      <c r="F334" s="160">
        <f t="shared" si="132"/>
        <v>65</v>
      </c>
      <c r="G334" s="160" t="s">
        <v>1885</v>
      </c>
      <c r="H334" s="354">
        <f>COUNTIF(G$270:G334,G334)</f>
        <v>16</v>
      </c>
      <c r="I334" s="160" t="str">
        <f t="shared" si="146"/>
        <v>IMG16-GLESBOULES-PROJ236</v>
      </c>
      <c r="J334" s="160" t="s">
        <v>1895</v>
      </c>
      <c r="K334" s="329">
        <f>K333+1</f>
        <v>44998</v>
      </c>
      <c r="M334" s="160">
        <f t="shared" si="147"/>
        <v>6</v>
      </c>
      <c r="N334" s="160">
        <v>0</v>
      </c>
      <c r="S334" s="353" t="str">
        <f t="shared" si="148"/>
        <v>INSERT INTO DOCUMENTS(idDocument, catDoc, numCatDoc, nameDoc, descriptionDoc, dateDoc, pathDoc, idProjet, idDeGeneration) VALUES (65, ImgPhoto, 16, IMG16-GLESBOULES-PROJ236, Photo de projection de face, 44998, , 6, 0);</v>
      </c>
    </row>
    <row r="335" spans="6:19" ht="28.05" customHeight="1" outlineLevel="1" x14ac:dyDescent="0.3">
      <c r="F335" s="160">
        <f t="shared" si="132"/>
        <v>66</v>
      </c>
      <c r="G335" s="160" t="s">
        <v>1885</v>
      </c>
      <c r="H335" s="354">
        <f>COUNTIF(G$270:G335,G335)</f>
        <v>17</v>
      </c>
      <c r="I335" s="160" t="str">
        <f t="shared" si="146"/>
        <v>IMG17-GLESBOULES-PROJ236</v>
      </c>
      <c r="J335" s="160" t="s">
        <v>1896</v>
      </c>
      <c r="K335" s="329">
        <f>K334</f>
        <v>44998</v>
      </c>
      <c r="M335" s="160">
        <f t="shared" si="147"/>
        <v>6</v>
      </c>
      <c r="N335" s="160">
        <v>0</v>
      </c>
      <c r="S335" s="353" t="str">
        <f t="shared" si="148"/>
        <v>INSERT INTO DOCUMENTS(idDocument, catDoc, numCatDoc, nameDoc, descriptionDoc, dateDoc, pathDoc, idProjet, idDeGeneration) VALUES (66, ImgPhoto, 17, IMG17-GLESBOULES-PROJ236, Photo de projection de coté Est, 44998, , 6, 0);</v>
      </c>
    </row>
    <row r="336" spans="6:19" ht="30.05" customHeight="1" outlineLevel="1" x14ac:dyDescent="0.3">
      <c r="F336" s="160">
        <f t="shared" ref="F336:F354" si="149">F335+1</f>
        <v>67</v>
      </c>
      <c r="G336" s="160" t="s">
        <v>1885</v>
      </c>
      <c r="H336" s="354">
        <f>COUNTIF(G$270:G336,G336)</f>
        <v>18</v>
      </c>
      <c r="I336" s="160" t="str">
        <f t="shared" si="146"/>
        <v>IMG18-GLESBOULES-PROJ236</v>
      </c>
      <c r="J336" s="160" t="s">
        <v>1897</v>
      </c>
      <c r="K336" s="329">
        <f>K335+1</f>
        <v>44999</v>
      </c>
      <c r="M336" s="160">
        <f t="shared" si="147"/>
        <v>6</v>
      </c>
      <c r="N336" s="160">
        <v>0</v>
      </c>
      <c r="S336" s="353" t="str">
        <f t="shared" si="148"/>
        <v>INSERT INTO DOCUMENTS(idDocument, catDoc, numCatDoc, nameDoc, descriptionDoc, dateDoc, pathDoc, idProjet, idDeGeneration) VALUES (67, ImgPhoto, 18, IMG18-GLESBOULES-PROJ236, Photo de projection dcoté Ouest et Sud, 44999, , 6, 0);</v>
      </c>
    </row>
    <row r="337" spans="6:19" ht="20.05" customHeight="1" outlineLevel="1" x14ac:dyDescent="0.3">
      <c r="F337" s="160">
        <f t="shared" si="149"/>
        <v>68</v>
      </c>
      <c r="G337" s="160" t="s">
        <v>109</v>
      </c>
      <c r="H337" s="354">
        <f>COUNTIF(G$270:G337,G337)</f>
        <v>6</v>
      </c>
      <c r="I337" s="160" t="str">
        <f t="shared" si="146"/>
        <v>SCH6-GLESBOULES-PROJ236</v>
      </c>
      <c r="J337" s="160" t="s">
        <v>1898</v>
      </c>
      <c r="K337" s="329">
        <f>K336</f>
        <v>44999</v>
      </c>
      <c r="M337" s="160">
        <f t="shared" si="147"/>
        <v>6</v>
      </c>
      <c r="N337" s="160">
        <v>0</v>
      </c>
      <c r="S337" s="353" t="str">
        <f t="shared" si="148"/>
        <v>INSERT INTO DOCUMENTS(idDocument, catDoc, numCatDoc, nameDoc, descriptionDoc, dateDoc, pathDoc, idProjet, idDeGeneration) VALUES (68, Schema, 6, SCH6-GLESBOULES-PROJ236, Schema de principe de circulation, 44999, , 6, 0);</v>
      </c>
    </row>
    <row r="338" spans="6:19" ht="20.05" customHeight="1" outlineLevel="1" x14ac:dyDescent="0.3">
      <c r="F338" s="160">
        <f t="shared" si="149"/>
        <v>69</v>
      </c>
      <c r="G338" s="160" t="s">
        <v>176</v>
      </c>
      <c r="H338" s="354">
        <f>COUNTIF(G$270:G338,G338)</f>
        <v>6</v>
      </c>
      <c r="I338" s="160" t="str">
        <f t="shared" si="146"/>
        <v>COU6-GLESBOULES-PROJ236</v>
      </c>
      <c r="J338" s="160" t="s">
        <v>1899</v>
      </c>
      <c r="K338" s="329">
        <f>K337+4</f>
        <v>45003</v>
      </c>
      <c r="M338" s="160">
        <f t="shared" si="147"/>
        <v>6</v>
      </c>
      <c r="N338" s="160">
        <v>0</v>
      </c>
      <c r="S338" s="353" t="str">
        <f t="shared" si="148"/>
        <v>INSERT INTO DOCUMENTS(idDocument, catDoc, numCatDoc, nameDoc, descriptionDoc, dateDoc, pathDoc, idProjet, idDeGeneration) VALUES (69, Couts, 6, COU6-GLESBOULES-PROJ236, Relevé de Coût pour l'ameublement, 45003, , 6, 0);</v>
      </c>
    </row>
    <row r="339" spans="6:19" ht="20.05" customHeight="1" outlineLevel="1" x14ac:dyDescent="0.3">
      <c r="F339" s="160">
        <f t="shared" si="149"/>
        <v>70</v>
      </c>
      <c r="G339" s="160" t="s">
        <v>1887</v>
      </c>
      <c r="H339" s="354">
        <f>COUNTIF(G$270:G339,G339)</f>
        <v>6</v>
      </c>
      <c r="I339" s="160" t="str">
        <f t="shared" si="146"/>
        <v>DIV6-GLESBOULES-PROJ236</v>
      </c>
      <c r="J339" s="160" t="s">
        <v>1900</v>
      </c>
      <c r="K339" s="329">
        <f>K338+1</f>
        <v>45004</v>
      </c>
      <c r="M339" s="160">
        <f t="shared" si="147"/>
        <v>6</v>
      </c>
      <c r="N339" s="160">
        <v>0</v>
      </c>
      <c r="S339" s="353" t="str">
        <f t="shared" si="148"/>
        <v>INSERT INTO DOCUMENTS(idDocument, catDoc, numCatDoc, nameDoc, descriptionDoc, dateDoc, pathDoc, idProjet, idDeGeneration) VALUES (70, Divers, 6, DIV6-GLESBOULES-PROJ236, Prise des cotes et des piges, 45004, , 6, 0);</v>
      </c>
    </row>
    <row r="340" spans="6:19" ht="20.05" customHeight="1" outlineLevel="1" x14ac:dyDescent="0.3">
      <c r="F340" s="160">
        <f t="shared" si="149"/>
        <v>71</v>
      </c>
      <c r="G340" s="160" t="s">
        <v>1886</v>
      </c>
      <c r="H340" s="354">
        <f>COUNTIF(G$270:G340,G340)</f>
        <v>6</v>
      </c>
      <c r="I340" s="160" t="str">
        <f t="shared" si="146"/>
        <v>CHI6-GLESBOULES-PROJ236</v>
      </c>
      <c r="J340" s="160" t="s">
        <v>1901</v>
      </c>
      <c r="K340" s="329">
        <f>K339</f>
        <v>45004</v>
      </c>
      <c r="M340" s="160">
        <f t="shared" si="147"/>
        <v>6</v>
      </c>
      <c r="N340" s="160">
        <v>0</v>
      </c>
      <c r="S340" s="353" t="str">
        <f t="shared" si="148"/>
        <v>INSERT INTO DOCUMENTS(idDocument, catDoc, numCatDoc, nameDoc, descriptionDoc, dateDoc, pathDoc, idProjet, idDeGeneration) VALUES (71, ChiffrageProj, 6, CHI6-GLESBOULES-PROJ236, Document de Chiffrage du projet, 45004, , 6, 0);</v>
      </c>
    </row>
    <row r="341" spans="6:19" x14ac:dyDescent="0.3">
      <c r="F341" s="160">
        <f t="shared" si="149"/>
        <v>72</v>
      </c>
      <c r="G341" s="160" t="s">
        <v>105</v>
      </c>
      <c r="H341" s="354">
        <f>COUNTIF(G$270:G341,G341)</f>
        <v>12</v>
      </c>
      <c r="I341" s="160" t="str">
        <f t="shared" si="146"/>
        <v>FAC12-GLESBOULES-PROJ236</v>
      </c>
      <c r="J341" s="160" t="s">
        <v>1902</v>
      </c>
      <c r="K341" s="329">
        <f>IF(N341=0,"",_xlfn.XLOOKUP(N341,F$37:F$59,G$37:G$59))</f>
        <v>45044</v>
      </c>
      <c r="M341" s="160">
        <f t="shared" si="147"/>
        <v>6</v>
      </c>
      <c r="N341" s="160">
        <v>20</v>
      </c>
      <c r="S341" s="353" t="str">
        <f t="shared" si="148"/>
        <v>INSERT INTO DOCUMENTS(idDocument, catDoc, numCatDoc, nameDoc, descriptionDoc, dateDoc, pathDoc, idProjet, idDeGeneration) VALUES (72, Facture, 12, FAC12-GLESBOULES-PROJ236, Facture transmise pour autorisation d'exploitation, 45044, , 6, 20);</v>
      </c>
    </row>
    <row r="342" spans="6:19" ht="20.05" customHeight="1" x14ac:dyDescent="0.3">
      <c r="F342" s="160">
        <f t="shared" si="149"/>
        <v>73</v>
      </c>
      <c r="G342" s="160" t="s">
        <v>104</v>
      </c>
      <c r="H342" s="354">
        <f>COUNTIF(G342,G342)</f>
        <v>1</v>
      </c>
      <c r="I342" s="160" t="str">
        <f t="shared" ref="I342:I352" si="150">UPPER(MID(G342,1,3)&amp;H342&amp;"-"&amp;SUBSTITUTE(_xlfn.XLOOKUP(M342,F$122:F$129,G$122:G$129)," ",""))</f>
        <v>DEV1-AUPIRATE-PROJ237</v>
      </c>
      <c r="J342" s="160" t="s">
        <v>1891</v>
      </c>
      <c r="K342" s="329">
        <f>IF(N342=0,"",_xlfn.XLOOKUP(N342,F$37:F$59,G$37:G$59))</f>
        <v>45021</v>
      </c>
      <c r="L342" s="350"/>
      <c r="M342" s="160">
        <v>7</v>
      </c>
      <c r="N342" s="160">
        <v>18</v>
      </c>
      <c r="S342" s="353" t="str">
        <f>"INSERT INTO "&amp;$E$269&amp;"("&amp;$F$269&amp;", "&amp;$G$269&amp;", "&amp;$H$269&amp;", "&amp;$I$269&amp;", "&amp;$J$269&amp;", "&amp;$K$269&amp;", "&amp;$L$269&amp;", "&amp;$M$269&amp;", "&amp;$N$269&amp;") VALUES ("&amp;F342&amp;", "&amp;G342&amp;", "&amp;H342&amp;", "&amp;I342&amp;", "&amp;J342&amp;", "&amp;K342&amp;", "&amp;L342&amp;", "&amp;M342&amp;", "&amp;N342&amp;");"</f>
        <v>INSERT INTO DOCUMENTS(idDocument, catDoc, numCatDoc, nameDoc, descriptionDoc, dateDoc, pathDoc, idProjet, idDeGeneration) VALUES (73, Devis, 1, DEV1-AUPIRATE-PROJ237, Proposition commerciale du projet, 45021, , 7, 18);</v>
      </c>
    </row>
    <row r="343" spans="6:19" ht="20.05" customHeight="1" x14ac:dyDescent="0.3">
      <c r="F343" s="160">
        <f t="shared" si="149"/>
        <v>74</v>
      </c>
      <c r="G343" s="160" t="s">
        <v>105</v>
      </c>
      <c r="H343" s="354">
        <f>COUNTIF(G$270:G343,G343)</f>
        <v>13</v>
      </c>
      <c r="I343" s="160" t="str">
        <f t="shared" si="150"/>
        <v>FAC13-AUPIRATE-PROJ237</v>
      </c>
      <c r="J343" s="160" t="s">
        <v>1892</v>
      </c>
      <c r="K343" s="329">
        <f>IF(N343=0,"",_xlfn.XLOOKUP(N343,F$37:F$59,G$37:G$59))</f>
        <v>45031</v>
      </c>
      <c r="M343" s="160">
        <f>M342</f>
        <v>7</v>
      </c>
      <c r="N343" s="160">
        <v>19</v>
      </c>
      <c r="S343" s="353" t="str">
        <f>"INSERT INTO "&amp;$E$269&amp;"("&amp;$F$269&amp;", "&amp;$G$269&amp;", "&amp;$H$269&amp;", "&amp;$I$269&amp;", "&amp;$J$269&amp;", "&amp;$K$269&amp;", "&amp;$L$269&amp;", "&amp;$M$269&amp;", "&amp;$N$269&amp;") VALUES ("&amp;F343&amp;", "&amp;G343&amp;", "&amp;H343&amp;", "&amp;I343&amp;", "&amp;J343&amp;", "&amp;K343&amp;", "&amp;L343&amp;", "&amp;M343&amp;", "&amp;N343&amp;");"</f>
        <v>INSERT INTO DOCUMENTS(idDocument, catDoc, numCatDoc, nameDoc, descriptionDoc, dateDoc, pathDoc, idProjet, idDeGeneration) VALUES (74, Facture, 13, FAC13-AUPIRATE-PROJ237, Facture d'accompte pour démarrer les travaux, 45031, , 7, 19);</v>
      </c>
    </row>
    <row r="344" spans="6:19" ht="32.6" customHeight="1" x14ac:dyDescent="0.3">
      <c r="F344" s="160">
        <f t="shared" si="149"/>
        <v>75</v>
      </c>
      <c r="G344" s="160" t="s">
        <v>106</v>
      </c>
      <c r="H344" s="354">
        <f>COUNTIF(G$270:G344,G344)</f>
        <v>13</v>
      </c>
      <c r="I344" s="160" t="str">
        <f t="shared" si="150"/>
        <v>PLA13-AUPIRATE-PROJ237</v>
      </c>
      <c r="J344" s="160" t="s">
        <v>1893</v>
      </c>
      <c r="K344" s="329">
        <f>K343</f>
        <v>45031</v>
      </c>
      <c r="M344" s="160">
        <f t="shared" ref="M344:M352" si="151">M343</f>
        <v>7</v>
      </c>
      <c r="N344" s="160">
        <v>0</v>
      </c>
      <c r="S344" s="353" t="str">
        <f t="shared" ref="S344:S354" si="152">"INSERT INTO "&amp;$E$269&amp;"("&amp;$F$269&amp;", "&amp;$G$269&amp;", "&amp;$H$269&amp;", "&amp;$I$269&amp;", "&amp;$J$269&amp;", "&amp;$K$269&amp;", "&amp;$L$269&amp;", "&amp;$M$269&amp;", "&amp;$N$269&amp;") VALUES ("&amp;F344&amp;", "&amp;G344&amp;", "&amp;H344&amp;", "&amp;I344&amp;", "&amp;J344&amp;", "&amp;K344&amp;", "&amp;L344&amp;", "&amp;M344&amp;", "&amp;N344&amp;");"</f>
        <v>INSERT INTO DOCUMENTS(idDocument, catDoc, numCatDoc, nameDoc, descriptionDoc, dateDoc, pathDoc, idProjet, idDeGeneration) VALUES (75, Plan, 13, PLA13-AUPIRATE-PROJ237, Plan de face - etc, 45031, , 7, 0);</v>
      </c>
    </row>
    <row r="345" spans="6:19" ht="25.85" customHeight="1" x14ac:dyDescent="0.3">
      <c r="F345" s="160">
        <f t="shared" si="149"/>
        <v>76</v>
      </c>
      <c r="G345" s="160" t="s">
        <v>106</v>
      </c>
      <c r="H345" s="354">
        <f>COUNTIF(G$270:G345,G345)</f>
        <v>14</v>
      </c>
      <c r="I345" s="160" t="str">
        <f t="shared" si="150"/>
        <v>PLA14-AUPIRATE-PROJ237</v>
      </c>
      <c r="J345" s="160" t="s">
        <v>1894</v>
      </c>
      <c r="K345" s="329">
        <f>K344</f>
        <v>45031</v>
      </c>
      <c r="M345" s="160">
        <f t="shared" si="151"/>
        <v>7</v>
      </c>
      <c r="N345" s="160">
        <v>0</v>
      </c>
      <c r="S345" s="353" t="str">
        <f t="shared" si="152"/>
        <v>INSERT INTO DOCUMENTS(idDocument, catDoc, numCatDoc, nameDoc, descriptionDoc, dateDoc, pathDoc, idProjet, idDeGeneration) VALUES (76, Plan, 14, PLA14-AUPIRATE-PROJ237, Plan de coté Est - etc, 45031, , 7, 0);</v>
      </c>
    </row>
    <row r="346" spans="6:19" x14ac:dyDescent="0.3">
      <c r="F346" s="160">
        <f t="shared" si="149"/>
        <v>77</v>
      </c>
      <c r="G346" s="160" t="s">
        <v>1885</v>
      </c>
      <c r="H346" s="354">
        <f>COUNTIF(G$270:G346,G346)</f>
        <v>19</v>
      </c>
      <c r="I346" s="160" t="str">
        <f t="shared" si="150"/>
        <v>IMG19-AUPIRATE-PROJ237</v>
      </c>
      <c r="J346" s="160" t="s">
        <v>1895</v>
      </c>
      <c r="K346" s="329">
        <f>K345+1</f>
        <v>45032</v>
      </c>
      <c r="M346" s="160">
        <f t="shared" si="151"/>
        <v>7</v>
      </c>
      <c r="N346" s="160">
        <v>0</v>
      </c>
      <c r="S346" s="353" t="str">
        <f t="shared" si="152"/>
        <v>INSERT INTO DOCUMENTS(idDocument, catDoc, numCatDoc, nameDoc, descriptionDoc, dateDoc, pathDoc, idProjet, idDeGeneration) VALUES (77, ImgPhoto, 19, IMG19-AUPIRATE-PROJ237, Photo de projection de face, 45032, , 7, 0);</v>
      </c>
    </row>
    <row r="347" spans="6:19" ht="28.05" customHeight="1" x14ac:dyDescent="0.3">
      <c r="F347" s="160">
        <f t="shared" si="149"/>
        <v>78</v>
      </c>
      <c r="G347" s="160" t="s">
        <v>1885</v>
      </c>
      <c r="H347" s="354">
        <f>COUNTIF(G$270:G347,G347)</f>
        <v>20</v>
      </c>
      <c r="I347" s="160" t="str">
        <f t="shared" si="150"/>
        <v>IMG20-AUPIRATE-PROJ237</v>
      </c>
      <c r="J347" s="160" t="s">
        <v>1896</v>
      </c>
      <c r="K347" s="329">
        <f>K346</f>
        <v>45032</v>
      </c>
      <c r="M347" s="160">
        <f t="shared" si="151"/>
        <v>7</v>
      </c>
      <c r="N347" s="160">
        <v>0</v>
      </c>
      <c r="S347" s="353" t="str">
        <f t="shared" si="152"/>
        <v>INSERT INTO DOCUMENTS(idDocument, catDoc, numCatDoc, nameDoc, descriptionDoc, dateDoc, pathDoc, idProjet, idDeGeneration) VALUES (78, ImgPhoto, 20, IMG20-AUPIRATE-PROJ237, Photo de projection de coté Est, 45032, , 7, 0);</v>
      </c>
    </row>
    <row r="348" spans="6:19" ht="30.05" customHeight="1" x14ac:dyDescent="0.3">
      <c r="F348" s="160">
        <f t="shared" si="149"/>
        <v>79</v>
      </c>
      <c r="G348" s="160" t="s">
        <v>1885</v>
      </c>
      <c r="H348" s="354">
        <f>COUNTIF(G$270:G348,G348)</f>
        <v>21</v>
      </c>
      <c r="I348" s="160" t="str">
        <f t="shared" si="150"/>
        <v>IMG21-AUPIRATE-PROJ237</v>
      </c>
      <c r="J348" s="160" t="s">
        <v>1897</v>
      </c>
      <c r="K348" s="329">
        <f>K347+1</f>
        <v>45033</v>
      </c>
      <c r="M348" s="160">
        <f t="shared" si="151"/>
        <v>7</v>
      </c>
      <c r="N348" s="160">
        <v>0</v>
      </c>
      <c r="S348" s="353" t="str">
        <f t="shared" si="152"/>
        <v>INSERT INTO DOCUMENTS(idDocument, catDoc, numCatDoc, nameDoc, descriptionDoc, dateDoc, pathDoc, idProjet, idDeGeneration) VALUES (79, ImgPhoto, 21, IMG21-AUPIRATE-PROJ237, Photo de projection dcoté Ouest et Sud, 45033, , 7, 0);</v>
      </c>
    </row>
    <row r="349" spans="6:19" ht="20.05" customHeight="1" x14ac:dyDescent="0.3">
      <c r="F349" s="160">
        <f t="shared" si="149"/>
        <v>80</v>
      </c>
      <c r="G349" s="160" t="s">
        <v>109</v>
      </c>
      <c r="H349" s="354">
        <f>COUNTIF(G$270:G349,G349)</f>
        <v>7</v>
      </c>
      <c r="I349" s="160" t="str">
        <f t="shared" si="150"/>
        <v>SCH7-AUPIRATE-PROJ237</v>
      </c>
      <c r="J349" s="160" t="s">
        <v>1898</v>
      </c>
      <c r="K349" s="329">
        <f>K348</f>
        <v>45033</v>
      </c>
      <c r="M349" s="160">
        <f t="shared" si="151"/>
        <v>7</v>
      </c>
      <c r="N349" s="160">
        <v>0</v>
      </c>
      <c r="S349" s="353" t="str">
        <f t="shared" si="152"/>
        <v>INSERT INTO DOCUMENTS(idDocument, catDoc, numCatDoc, nameDoc, descriptionDoc, dateDoc, pathDoc, idProjet, idDeGeneration) VALUES (80, Schema, 7, SCH7-AUPIRATE-PROJ237, Schema de principe de circulation, 45033, , 7, 0);</v>
      </c>
    </row>
    <row r="350" spans="6:19" ht="20.05" customHeight="1" x14ac:dyDescent="0.3">
      <c r="F350" s="160">
        <f t="shared" si="149"/>
        <v>81</v>
      </c>
      <c r="G350" s="160" t="s">
        <v>176</v>
      </c>
      <c r="H350" s="354">
        <f>COUNTIF(G$270:G350,G350)</f>
        <v>7</v>
      </c>
      <c r="I350" s="160" t="str">
        <f t="shared" si="150"/>
        <v>COU7-AUPIRATE-PROJ237</v>
      </c>
      <c r="J350" s="160" t="s">
        <v>1899</v>
      </c>
      <c r="K350" s="329">
        <f>K349+4</f>
        <v>45037</v>
      </c>
      <c r="M350" s="160">
        <f t="shared" si="151"/>
        <v>7</v>
      </c>
      <c r="N350" s="160">
        <v>0</v>
      </c>
      <c r="S350" s="353" t="str">
        <f t="shared" si="152"/>
        <v>INSERT INTO DOCUMENTS(idDocument, catDoc, numCatDoc, nameDoc, descriptionDoc, dateDoc, pathDoc, idProjet, idDeGeneration) VALUES (81, Couts, 7, COU7-AUPIRATE-PROJ237, Relevé de Coût pour l'ameublement, 45037, , 7, 0);</v>
      </c>
    </row>
    <row r="351" spans="6:19" ht="20.05" customHeight="1" x14ac:dyDescent="0.3">
      <c r="F351" s="160">
        <f t="shared" si="149"/>
        <v>82</v>
      </c>
      <c r="G351" s="160" t="s">
        <v>1887</v>
      </c>
      <c r="H351" s="354">
        <f>COUNTIF(G$270:G351,G351)</f>
        <v>7</v>
      </c>
      <c r="I351" s="160" t="str">
        <f t="shared" si="150"/>
        <v>DIV7-AUPIRATE-PROJ237</v>
      </c>
      <c r="J351" s="160" t="s">
        <v>1900</v>
      </c>
      <c r="K351" s="329">
        <f>K350+1</f>
        <v>45038</v>
      </c>
      <c r="M351" s="160">
        <f t="shared" si="151"/>
        <v>7</v>
      </c>
      <c r="N351" s="160">
        <v>0</v>
      </c>
      <c r="S351" s="353" t="str">
        <f t="shared" si="152"/>
        <v>INSERT INTO DOCUMENTS(idDocument, catDoc, numCatDoc, nameDoc, descriptionDoc, dateDoc, pathDoc, idProjet, idDeGeneration) VALUES (82, Divers, 7, DIV7-AUPIRATE-PROJ237, Prise des cotes et des piges, 45038, , 7, 0);</v>
      </c>
    </row>
    <row r="352" spans="6:19" ht="20.05" customHeight="1" x14ac:dyDescent="0.3">
      <c r="F352" s="160">
        <f t="shared" si="149"/>
        <v>83</v>
      </c>
      <c r="G352" s="160" t="s">
        <v>1886</v>
      </c>
      <c r="H352" s="354">
        <f>COUNTIF(G$270:G352,G352)</f>
        <v>7</v>
      </c>
      <c r="I352" s="160" t="str">
        <f t="shared" si="150"/>
        <v>CHI7-AUPIRATE-PROJ237</v>
      </c>
      <c r="J352" s="160" t="s">
        <v>1901</v>
      </c>
      <c r="K352" s="329">
        <f>K351</f>
        <v>45038</v>
      </c>
      <c r="M352" s="160">
        <f t="shared" si="151"/>
        <v>7</v>
      </c>
      <c r="N352" s="160">
        <v>0</v>
      </c>
      <c r="S352" s="353" t="str">
        <f t="shared" si="152"/>
        <v>INSERT INTO DOCUMENTS(idDocument, catDoc, numCatDoc, nameDoc, descriptionDoc, dateDoc, pathDoc, idProjet, idDeGeneration) VALUES (83, ChiffrageProj, 7, CHI7-AUPIRATE-PROJ237, Document de Chiffrage du projet, 45038, , 7, 0);</v>
      </c>
    </row>
    <row r="353" spans="5:19" ht="20.05" customHeight="1" x14ac:dyDescent="0.3">
      <c r="F353" s="160">
        <f t="shared" si="149"/>
        <v>84</v>
      </c>
      <c r="G353" s="160" t="s">
        <v>104</v>
      </c>
      <c r="H353" s="354">
        <f>COUNTIF(G353,G353)</f>
        <v>1</v>
      </c>
      <c r="I353" s="160" t="str">
        <f t="shared" ref="I353:I354" si="153">UPPER(MID(G353,1,3)&amp;H353&amp;"-"&amp;SUBSTITUTE(_xlfn.XLOOKUP(M353,F$122:F$129,G$122:G$129)," ",""))</f>
        <v>DEV1-BOISDELUX-PROJ238</v>
      </c>
      <c r="J353" s="160" t="s">
        <v>1891</v>
      </c>
      <c r="K353" s="329">
        <f>IF(N353=0,"",_xlfn.XLOOKUP(N353,F$37:F$59,G$37:G$59))</f>
        <v>45061</v>
      </c>
      <c r="L353" s="350"/>
      <c r="M353" s="160">
        <v>8</v>
      </c>
      <c r="N353" s="160">
        <v>21</v>
      </c>
      <c r="S353" s="353" t="str">
        <f t="shared" si="152"/>
        <v>INSERT INTO DOCUMENTS(idDocument, catDoc, numCatDoc, nameDoc, descriptionDoc, dateDoc, pathDoc, idProjet, idDeGeneration) VALUES (84, Devis, 1, DEV1-BOISDELUX-PROJ238, Proposition commerciale du projet, 45061, , 8, 21);</v>
      </c>
    </row>
    <row r="354" spans="5:19" ht="20.05" customHeight="1" x14ac:dyDescent="0.3">
      <c r="F354" s="160">
        <f t="shared" si="149"/>
        <v>85</v>
      </c>
      <c r="G354" s="160" t="s">
        <v>105</v>
      </c>
      <c r="H354" s="354">
        <f>COUNTIF(G$270:G354,G354)</f>
        <v>14</v>
      </c>
      <c r="I354" s="160" t="str">
        <f t="shared" si="153"/>
        <v>FAC14-BOISDELUX-PROJ238</v>
      </c>
      <c r="J354" s="160" t="s">
        <v>1892</v>
      </c>
      <c r="K354" s="329">
        <f>IF(N354=0,"",_xlfn.XLOOKUP(N354,F$37:F$59,G$37:G$59))</f>
        <v>45071</v>
      </c>
      <c r="M354" s="160">
        <f>M353</f>
        <v>8</v>
      </c>
      <c r="N354" s="160">
        <v>22</v>
      </c>
      <c r="S354" s="353" t="str">
        <f t="shared" si="152"/>
        <v>INSERT INTO DOCUMENTS(idDocument, catDoc, numCatDoc, nameDoc, descriptionDoc, dateDoc, pathDoc, idProjet, idDeGeneration) VALUES (85, Facture, 14, FAC14-BOISDELUX-PROJ238, Facture d'accompte pour démarrer les travaux, 45071, , 8, 22);</v>
      </c>
    </row>
    <row r="355" spans="5:19" ht="32.6" customHeight="1" x14ac:dyDescent="0.3">
      <c r="H355" s="354"/>
      <c r="K355" s="329"/>
      <c r="S355" s="353"/>
    </row>
    <row r="356" spans="5:19" ht="25.85" customHeight="1" x14ac:dyDescent="0.3">
      <c r="H356" s="354"/>
      <c r="K356" s="329"/>
      <c r="S356" s="353"/>
    </row>
    <row r="358" spans="5:19" s="323" customFormat="1" ht="28.05" customHeight="1" thickBot="1" x14ac:dyDescent="0.35"/>
    <row r="359" spans="5:19" s="322" customFormat="1" ht="30.05" customHeight="1" thickBot="1" x14ac:dyDescent="0.35">
      <c r="E359" s="323" t="s">
        <v>379</v>
      </c>
      <c r="F359" s="278" t="s">
        <v>358</v>
      </c>
      <c r="G359" s="221" t="s">
        <v>192</v>
      </c>
      <c r="H359" s="221" t="s">
        <v>317</v>
      </c>
      <c r="I359" s="221" t="s">
        <v>319</v>
      </c>
      <c r="J359" s="359" t="s">
        <v>1888</v>
      </c>
      <c r="K359" s="221" t="s">
        <v>225</v>
      </c>
      <c r="L359" s="269" t="s">
        <v>359</v>
      </c>
      <c r="M359" s="295" t="s">
        <v>349</v>
      </c>
      <c r="N359" s="295" t="s">
        <v>11</v>
      </c>
      <c r="O359" s="295" t="s">
        <v>287</v>
      </c>
    </row>
    <row r="360" spans="5:19" ht="20.05" customHeight="1" x14ac:dyDescent="0.3">
      <c r="F360" s="160">
        <v>1</v>
      </c>
      <c r="G360" s="160" t="str">
        <f t="shared" ref="G360:G373" si="154">IF((DAY(_xlfn.XLOOKUP(M360,F$37:F$59,G$37:G$59)))&lt;10,IF((MONTH(_xlfn.XLOOKUP(M360,F$37:F$59,G$37:G$59)))&lt;10,"0"&amp;DAY(_xlfn.XLOOKUP(M360,F$37:F$59,G$37:G$59))&amp;"0"&amp;MONTH(_xlfn.XLOOKUP(M360,F$37:F$59,G$37:G$59))&amp;MID(YEAR(_xlfn.XLOOKUP(M360,F$37:F$59,G$37:G$59)),3,2),"0"&amp;DAY(_xlfn.XLOOKUP(M360,F$37:F$59,G$37:G$59))&amp;MONTH(_xlfn.XLOOKUP(M360,F$37:F$59,G$37:G$59))&amp;MID(YEAR(_xlfn.XLOOKUP(M360,F$37:F$59,G$37:G$59)),3,2)),IF((MONTH(_xlfn.XLOOKUP(M360,F$37:F$59,G$37:G$59)))&lt;10,DAY(_xlfn.XLOOKUP(M360,F$37:F$59,G$37:G$59))&amp;"0"&amp;MONTH(_xlfn.XLOOKUP(M360,F$37:F$59,G$37:G$59))&amp;MID(YEAR(_xlfn.XLOOKUP(M360,F$37:F$59,G$37:G$59)),3,2),DAY(_xlfn.XLOOKUP(M360,F$37:F$59,G$37:G$59))&amp;MONTH(_xlfn.XLOOKUP(M360,F$37:F$59,G$37:G$59))&amp;MID(YEAR(_xlfn.XLOOKUP(M360,F$37:F$59,G$37:G$59)),3,2)))&amp;"-Fact-"&amp;UPPER(SUBSTITUTE(_xlfn.XLOOKUP(O360,F$122:F$129,G$122:G$129)," ",""))&amp;"-"&amp;F360</f>
        <v>101222-Fact-MUNICIPALITÉDEPARIS11E-PROJ231-1</v>
      </c>
      <c r="H360" s="160" t="str">
        <f>G360</f>
        <v>101222-Fact-MUNICIPALITÉDEPARIS11E-PROJ231-1</v>
      </c>
      <c r="I360" s="329">
        <f t="shared" ref="I360:I373" si="155">_xlfn.XLOOKUP(M360,F$37:F$59,G$37:G$59)</f>
        <v>44905</v>
      </c>
      <c r="J360" s="160">
        <v>1</v>
      </c>
      <c r="K360" s="160" t="s">
        <v>1808</v>
      </c>
      <c r="L360" s="160">
        <f>IF(J360=1,(_xlfn.XLOOKUP(_xlfn.XLOOKUP(O360,F$122:F$129,P$122:P$129),F$71:F$79,L$71:L$79))*30%,(_xlfn.XLOOKUP(_xlfn.XLOOKUP(O360,F$122:F$129,P$122:P$129),F$71:F$79,L$71:L$79))*70%)</f>
        <v>1800</v>
      </c>
      <c r="M360" s="160">
        <v>3</v>
      </c>
      <c r="N360" s="160">
        <v>1</v>
      </c>
      <c r="O360" s="160">
        <v>1</v>
      </c>
      <c r="S360" s="353" t="str">
        <f>"INSERT INTO "&amp;$E$359&amp;"("&amp;$F$359&amp;", "&amp;$G$359&amp;", "&amp;$H$359&amp;", "&amp;$I$359&amp;", "&amp;$J$359&amp;", "&amp;$K$359&amp;", "&amp;$L$359&amp;", "&amp;$M$359&amp;", "&amp;$N$359&amp;", "&amp;$O$359&amp;") VALUES ("&amp;F360&amp;", "&amp;G360&amp;", "&amp;H360&amp;", "&amp;I360&amp;", "&amp;J360&amp;", "&amp;K360&amp;", "&amp;L360&amp;", "&amp;M360&amp;", "&amp;N360&amp;", "&amp;$O$360&amp;");"</f>
        <v>INSERT INTO FACTURES(idFacture, numFact, nameFact, dateAcquittalFact, isAccount, typeFact, totalHTFact, idDeGeneration, idTVA, idProjet) VALUES (1, 101222-Fact-MUNICIPALITÉDEPARIS11E-PROJ231-1, 101222-Fact-MUNICIPALITÉDEPARIS11E-PROJ231-1, 44905, 1, Forfait, 1800, 3, 1, 1);</v>
      </c>
    </row>
    <row r="361" spans="5:19" ht="20.05" customHeight="1" x14ac:dyDescent="0.3">
      <c r="F361" s="160">
        <f>F360+1</f>
        <v>2</v>
      </c>
      <c r="G361" s="160" t="str">
        <f t="shared" si="154"/>
        <v>170123-Fact-MUNICIPALITÉDEPARIS11E-PROJ231-2</v>
      </c>
      <c r="H361" s="160" t="str">
        <f t="shared" ref="H361:H373" si="156">G361</f>
        <v>170123-Fact-MUNICIPALITÉDEPARIS11E-PROJ231-2</v>
      </c>
      <c r="I361" s="329">
        <f t="shared" si="155"/>
        <v>44943</v>
      </c>
      <c r="J361" s="160">
        <v>0</v>
      </c>
      <c r="K361" s="160" t="s">
        <v>1808</v>
      </c>
      <c r="L361" s="160">
        <f>IF(J361=1,(_xlfn.XLOOKUP(_xlfn.XLOOKUP(O361,F$122:F$129,P$122:P$129),F$71:F$79,L$71:L$79))*30%,(_xlfn.XLOOKUP(_xlfn.XLOOKUP(O361,F$122:F$129,P$122:P$129),F$71:F$79,L$71:L$79))*70%)</f>
        <v>4200</v>
      </c>
      <c r="M361" s="160">
        <v>6</v>
      </c>
      <c r="N361" s="160">
        <v>1</v>
      </c>
      <c r="O361" s="160">
        <v>1</v>
      </c>
      <c r="S361" s="353" t="str">
        <f t="shared" ref="S361:S373" si="157">"INSERT INTO "&amp;$E$359&amp;"("&amp;$F$359&amp;", "&amp;$G$359&amp;", "&amp;$H$359&amp;", "&amp;$I$359&amp;", "&amp;$J$359&amp;", "&amp;$K$359&amp;", "&amp;$L$359&amp;", "&amp;$M$359&amp;", "&amp;$N$359&amp;", "&amp;$O$359&amp;") VALUES ("&amp;F361&amp;", "&amp;G361&amp;", "&amp;H361&amp;", "&amp;I361&amp;", "&amp;J361&amp;", "&amp;K361&amp;", "&amp;L361&amp;", "&amp;M361&amp;", "&amp;N361&amp;", "&amp;$O$360&amp;");"</f>
        <v>INSERT INTO FACTURES(idFacture, numFact, nameFact, dateAcquittalFact, isAccount, typeFact, totalHTFact, idDeGeneration, idTVA, idProjet) VALUES (2, 170123-Fact-MUNICIPALITÉDEPARIS11E-PROJ231-2, 170123-Fact-MUNICIPALITÉDEPARIS11E-PROJ231-2, 44943, 0, Forfait, 4200, 6, 1, 1);</v>
      </c>
    </row>
    <row r="362" spans="5:19" ht="20.05" customHeight="1" x14ac:dyDescent="0.3">
      <c r="F362" s="160">
        <f t="shared" ref="F362:F373" si="158">F361+1</f>
        <v>3</v>
      </c>
      <c r="G362" s="160" t="str">
        <f t="shared" si="154"/>
        <v>020123-Fact-BOISDELUX-PROJ232-3</v>
      </c>
      <c r="H362" s="160" t="str">
        <f t="shared" si="156"/>
        <v>020123-Fact-BOISDELUX-PROJ232-3</v>
      </c>
      <c r="I362" s="329">
        <f t="shared" si="155"/>
        <v>44928</v>
      </c>
      <c r="J362" s="160">
        <v>1</v>
      </c>
      <c r="K362" s="160" t="s">
        <v>1816</v>
      </c>
      <c r="L362" s="160">
        <f t="shared" ref="L362:L373" si="159">IF(J362=1,(_xlfn.XLOOKUP(_xlfn.XLOOKUP(O362,F$122:F$129,P$122:P$129),F$71:F$79,L$71:L$79))*30%,(_xlfn.XLOOKUP(_xlfn.XLOOKUP(O362,F$122:F$129,P$122:P$129),F$71:F$79,L$71:L$79))*70%)</f>
        <v>1950</v>
      </c>
      <c r="M362" s="160">
        <v>4</v>
      </c>
      <c r="N362" s="160">
        <v>1</v>
      </c>
      <c r="O362" s="160">
        <v>2</v>
      </c>
      <c r="S362" s="353" t="str">
        <f t="shared" si="157"/>
        <v>INSERT INTO FACTURES(idFacture, numFact, nameFact, dateAcquittalFact, isAccount, typeFact, totalHTFact, idDeGeneration, idTVA, idProjet) VALUES (3, 020123-Fact-BOISDELUX-PROJ232-3, 020123-Fact-BOISDELUX-PROJ232-3, 44928, 1, QPU, 1950, 4, 1, 1);</v>
      </c>
    </row>
    <row r="363" spans="5:19" ht="20.05" customHeight="1" x14ac:dyDescent="0.3">
      <c r="F363" s="160">
        <f t="shared" si="158"/>
        <v>4</v>
      </c>
      <c r="G363" s="160" t="str">
        <f t="shared" si="154"/>
        <v>030223-Fact-BOISDELUX-PROJ232-4</v>
      </c>
      <c r="H363" s="160" t="str">
        <f t="shared" si="156"/>
        <v>030223-Fact-BOISDELUX-PROJ232-4</v>
      </c>
      <c r="I363" s="329">
        <f t="shared" si="155"/>
        <v>44960</v>
      </c>
      <c r="J363" s="160">
        <v>0</v>
      </c>
      <c r="K363" s="160" t="s">
        <v>1816</v>
      </c>
      <c r="L363" s="160">
        <f t="shared" si="159"/>
        <v>4550</v>
      </c>
      <c r="M363" s="160">
        <v>9</v>
      </c>
      <c r="N363" s="160">
        <v>1</v>
      </c>
      <c r="O363" s="160">
        <v>2</v>
      </c>
      <c r="S363" s="353" t="str">
        <f t="shared" si="157"/>
        <v>INSERT INTO FACTURES(idFacture, numFact, nameFact, dateAcquittalFact, isAccount, typeFact, totalHTFact, idDeGeneration, idTVA, idProjet) VALUES (4, 030223-Fact-BOISDELUX-PROJ232-4, 030223-Fact-BOISDELUX-PROJ232-4, 44960, 0, QPU, 4550, 9, 1, 1);</v>
      </c>
    </row>
    <row r="364" spans="5:19" ht="20.05" customHeight="1" x14ac:dyDescent="0.3">
      <c r="F364" s="160">
        <f t="shared" si="158"/>
        <v>5</v>
      </c>
      <c r="G364" s="160" t="str">
        <f t="shared" si="154"/>
        <v>200123-Fact-RAMENETAFRAISE-PROJ233-5</v>
      </c>
      <c r="H364" s="160" t="str">
        <f t="shared" si="156"/>
        <v>200123-Fact-RAMENETAFRAISE-PROJ233-5</v>
      </c>
      <c r="I364" s="329">
        <f t="shared" si="155"/>
        <v>44946</v>
      </c>
      <c r="J364" s="160">
        <v>1</v>
      </c>
      <c r="K364" s="160" t="s">
        <v>1816</v>
      </c>
      <c r="L364" s="160">
        <f t="shared" si="159"/>
        <v>1890</v>
      </c>
      <c r="M364" s="160">
        <v>7</v>
      </c>
      <c r="N364" s="160">
        <v>1</v>
      </c>
      <c r="O364" s="160">
        <v>3</v>
      </c>
      <c r="S364" s="353" t="str">
        <f t="shared" si="157"/>
        <v>INSERT INTO FACTURES(idFacture, numFact, nameFact, dateAcquittalFact, isAccount, typeFact, totalHTFact, idDeGeneration, idTVA, idProjet) VALUES (5, 200123-Fact-RAMENETAFRAISE-PROJ233-5, 200123-Fact-RAMENETAFRAISE-PROJ233-5, 44946, 1, QPU, 1890, 7, 1, 1);</v>
      </c>
    </row>
    <row r="365" spans="5:19" ht="20.05" customHeight="1" x14ac:dyDescent="0.3">
      <c r="F365" s="160">
        <f t="shared" si="158"/>
        <v>6</v>
      </c>
      <c r="G365" s="160" t="str">
        <f t="shared" si="154"/>
        <v>240223-Fact-RAMENETAFRAISE-PROJ233-6</v>
      </c>
      <c r="H365" s="160" t="str">
        <f t="shared" si="156"/>
        <v>240223-Fact-RAMENETAFRAISE-PROJ233-6</v>
      </c>
      <c r="I365" s="329">
        <f t="shared" si="155"/>
        <v>44981</v>
      </c>
      <c r="J365" s="160">
        <v>0</v>
      </c>
      <c r="K365" s="160" t="s">
        <v>1816</v>
      </c>
      <c r="L365" s="160">
        <f t="shared" si="159"/>
        <v>4410</v>
      </c>
      <c r="M365" s="160">
        <v>12</v>
      </c>
      <c r="N365" s="160">
        <v>1</v>
      </c>
      <c r="O365" s="160">
        <v>3</v>
      </c>
      <c r="S365" s="353" t="str">
        <f t="shared" si="157"/>
        <v>INSERT INTO FACTURES(idFacture, numFact, nameFact, dateAcquittalFact, isAccount, typeFact, totalHTFact, idDeGeneration, idTVA, idProjet) VALUES (6, 240223-Fact-RAMENETAFRAISE-PROJ233-6, 240223-Fact-RAMENETAFRAISE-PROJ233-6, 44981, 0, QPU, 4410, 12, 1, 1);</v>
      </c>
    </row>
    <row r="366" spans="5:19" ht="20.05" customHeight="1" x14ac:dyDescent="0.3">
      <c r="F366" s="160">
        <f t="shared" si="158"/>
        <v>7</v>
      </c>
      <c r="G366" s="160" t="str">
        <f t="shared" si="154"/>
        <v>150223-Fact-TAPUDFUITE-PROJ234-7</v>
      </c>
      <c r="H366" s="160" t="str">
        <f t="shared" si="156"/>
        <v>150223-Fact-TAPUDFUITE-PROJ234-7</v>
      </c>
      <c r="I366" s="329">
        <f t="shared" si="155"/>
        <v>44972</v>
      </c>
      <c r="J366" s="160">
        <v>1</v>
      </c>
      <c r="K366" s="160" t="s">
        <v>1816</v>
      </c>
      <c r="L366" s="160">
        <f t="shared" si="159"/>
        <v>3630</v>
      </c>
      <c r="M366" s="160">
        <v>10</v>
      </c>
      <c r="N366" s="160">
        <v>1</v>
      </c>
      <c r="O366" s="160">
        <v>4</v>
      </c>
      <c r="S366" s="353" t="str">
        <f t="shared" si="157"/>
        <v>INSERT INTO FACTURES(idFacture, numFact, nameFact, dateAcquittalFact, isAccount, typeFact, totalHTFact, idDeGeneration, idTVA, idProjet) VALUES (7, 150223-Fact-TAPUDFUITE-PROJ234-7, 150223-Fact-TAPUDFUITE-PROJ234-7, 44972, 1, QPU, 3630, 10, 1, 1);</v>
      </c>
    </row>
    <row r="367" spans="5:19" ht="20.05" customHeight="1" x14ac:dyDescent="0.3">
      <c r="F367" s="160">
        <f t="shared" si="158"/>
        <v>8</v>
      </c>
      <c r="G367" s="160" t="str">
        <f t="shared" si="154"/>
        <v>100323-Fact-TAPUDFUITE-PROJ234-8</v>
      </c>
      <c r="H367" s="160" t="str">
        <f t="shared" si="156"/>
        <v>100323-Fact-TAPUDFUITE-PROJ234-8</v>
      </c>
      <c r="I367" s="329">
        <f t="shared" si="155"/>
        <v>44995</v>
      </c>
      <c r="J367" s="160">
        <v>0</v>
      </c>
      <c r="K367" s="160" t="s">
        <v>1816</v>
      </c>
      <c r="L367" s="160">
        <f t="shared" si="159"/>
        <v>8470</v>
      </c>
      <c r="M367" s="323">
        <v>15</v>
      </c>
      <c r="N367" s="323">
        <v>1</v>
      </c>
      <c r="O367" s="323">
        <v>4</v>
      </c>
      <c r="S367" s="353" t="str">
        <f t="shared" si="157"/>
        <v>INSERT INTO FACTURES(idFacture, numFact, nameFact, dateAcquittalFact, isAccount, typeFact, totalHTFact, idDeGeneration, idTVA, idProjet) VALUES (8, 100323-Fact-TAPUDFUITE-PROJ234-8, 100323-Fact-TAPUDFUITE-PROJ234-8, 44995, 0, QPU, 8470, 15, 1, 1);</v>
      </c>
    </row>
    <row r="368" spans="5:19" ht="20.05" customHeight="1" x14ac:dyDescent="0.3">
      <c r="F368" s="160">
        <f t="shared" si="158"/>
        <v>9</v>
      </c>
      <c r="G368" s="160" t="str">
        <f t="shared" si="154"/>
        <v>260223-Fact-LABONNEBAGUETTE-PROJ235-9</v>
      </c>
      <c r="H368" s="160" t="str">
        <f t="shared" si="156"/>
        <v>260223-Fact-LABONNEBAGUETTE-PROJ235-9</v>
      </c>
      <c r="I368" s="329">
        <f t="shared" si="155"/>
        <v>44983</v>
      </c>
      <c r="J368" s="160">
        <v>1</v>
      </c>
      <c r="K368" s="160" t="s">
        <v>1808</v>
      </c>
      <c r="L368" s="160">
        <f t="shared" si="159"/>
        <v>1890</v>
      </c>
      <c r="M368" s="322">
        <v>13</v>
      </c>
      <c r="N368" s="322">
        <v>1</v>
      </c>
      <c r="O368" s="322">
        <v>5</v>
      </c>
      <c r="S368" s="353" t="str">
        <f t="shared" si="157"/>
        <v>INSERT INTO FACTURES(idFacture, numFact, nameFact, dateAcquittalFact, isAccount, typeFact, totalHTFact, idDeGeneration, idTVA, idProjet) VALUES (9, 260223-Fact-LABONNEBAGUETTE-PROJ235-9, 260223-Fact-LABONNEBAGUETTE-PROJ235-9, 44983, 1, Forfait, 1890, 13, 1, 1);</v>
      </c>
    </row>
    <row r="369" spans="5:19" ht="20.05" customHeight="1" x14ac:dyDescent="0.3">
      <c r="F369" s="160">
        <f t="shared" si="158"/>
        <v>10</v>
      </c>
      <c r="G369" s="160" t="str">
        <f t="shared" si="154"/>
        <v>040423-Fact-LABONNEBAGUETTE-PROJ235-10</v>
      </c>
      <c r="H369" s="160" t="str">
        <f t="shared" si="156"/>
        <v>040423-Fact-LABONNEBAGUETTE-PROJ235-10</v>
      </c>
      <c r="I369" s="329">
        <f t="shared" si="155"/>
        <v>45020</v>
      </c>
      <c r="J369" s="160">
        <v>0</v>
      </c>
      <c r="K369" s="160" t="s">
        <v>1808</v>
      </c>
      <c r="L369" s="160">
        <f t="shared" si="159"/>
        <v>4410</v>
      </c>
      <c r="M369" s="160">
        <v>17</v>
      </c>
      <c r="N369" s="160">
        <v>1</v>
      </c>
      <c r="O369" s="160">
        <v>5</v>
      </c>
      <c r="S369" s="353" t="str">
        <f t="shared" si="157"/>
        <v>INSERT INTO FACTURES(idFacture, numFact, nameFact, dateAcquittalFact, isAccount, typeFact, totalHTFact, idDeGeneration, idTVA, idProjet) VALUES (10, 040423-Fact-LABONNEBAGUETTE-PROJ235-10, 040423-Fact-LABONNEBAGUETTE-PROJ235-10, 45020, 0, Forfait, 4410, 17, 1, 1);</v>
      </c>
    </row>
    <row r="370" spans="5:19" ht="20.05" customHeight="1" x14ac:dyDescent="0.3">
      <c r="F370" s="160">
        <f t="shared" si="158"/>
        <v>11</v>
      </c>
      <c r="G370" s="160" t="str">
        <f t="shared" si="154"/>
        <v>120323-Fact-GLESBOULES-PROJ236-11</v>
      </c>
      <c r="H370" s="160" t="str">
        <f t="shared" si="156"/>
        <v>120323-Fact-GLESBOULES-PROJ236-11</v>
      </c>
      <c r="I370" s="329">
        <f t="shared" si="155"/>
        <v>44997</v>
      </c>
      <c r="J370" s="160">
        <v>1</v>
      </c>
      <c r="K370" s="160" t="s">
        <v>1808</v>
      </c>
      <c r="L370" s="160">
        <f t="shared" si="159"/>
        <v>1800</v>
      </c>
      <c r="M370" s="160">
        <v>16</v>
      </c>
      <c r="N370" s="160">
        <v>1</v>
      </c>
      <c r="O370" s="160">
        <v>6</v>
      </c>
      <c r="S370" s="353" t="str">
        <f t="shared" si="157"/>
        <v>INSERT INTO FACTURES(idFacture, numFact, nameFact, dateAcquittalFact, isAccount, typeFact, totalHTFact, idDeGeneration, idTVA, idProjet) VALUES (11, 120323-Fact-GLESBOULES-PROJ236-11, 120323-Fact-GLESBOULES-PROJ236-11, 44997, 1, Forfait, 1800, 16, 1, 1);</v>
      </c>
    </row>
    <row r="371" spans="5:19" ht="20.05" customHeight="1" x14ac:dyDescent="0.3">
      <c r="F371" s="160">
        <f>F370+1</f>
        <v>12</v>
      </c>
      <c r="G371" s="160" t="str">
        <f t="shared" si="154"/>
        <v>280423-Fact-GLESBOULES-PROJ236-12</v>
      </c>
      <c r="H371" s="160" t="str">
        <f t="shared" si="156"/>
        <v>280423-Fact-GLESBOULES-PROJ236-12</v>
      </c>
      <c r="I371" s="329">
        <f t="shared" si="155"/>
        <v>45044</v>
      </c>
      <c r="J371" s="160">
        <v>0</v>
      </c>
      <c r="K371" s="160" t="s">
        <v>1808</v>
      </c>
      <c r="L371" s="160">
        <f t="shared" si="159"/>
        <v>4200</v>
      </c>
      <c r="M371" s="160">
        <v>20</v>
      </c>
      <c r="N371" s="160">
        <v>1</v>
      </c>
      <c r="O371" s="160">
        <v>6</v>
      </c>
      <c r="S371" s="353" t="str">
        <f t="shared" si="157"/>
        <v>INSERT INTO FACTURES(idFacture, numFact, nameFact, dateAcquittalFact, isAccount, typeFact, totalHTFact, idDeGeneration, idTVA, idProjet) VALUES (12, 280423-Fact-GLESBOULES-PROJ236-12, 280423-Fact-GLESBOULES-PROJ236-12, 45044, 0, Forfait, 4200, 20, 1, 1);</v>
      </c>
    </row>
    <row r="372" spans="5:19" ht="20.05" customHeight="1" x14ac:dyDescent="0.3">
      <c r="F372" s="160">
        <f t="shared" si="158"/>
        <v>13</v>
      </c>
      <c r="G372" s="160" t="str">
        <f t="shared" si="154"/>
        <v>150423-Fact-AUPIRATE-PROJ237-13</v>
      </c>
      <c r="H372" s="160" t="str">
        <f t="shared" si="156"/>
        <v>150423-Fact-AUPIRATE-PROJ237-13</v>
      </c>
      <c r="I372" s="329">
        <f t="shared" si="155"/>
        <v>45031</v>
      </c>
      <c r="J372" s="160">
        <v>1</v>
      </c>
      <c r="K372" s="160" t="s">
        <v>1808</v>
      </c>
      <c r="L372" s="160">
        <f t="shared" si="159"/>
        <v>2130</v>
      </c>
      <c r="M372" s="160">
        <v>19</v>
      </c>
      <c r="N372" s="160">
        <v>1</v>
      </c>
      <c r="O372" s="160">
        <v>7</v>
      </c>
      <c r="S372" s="353" t="str">
        <f t="shared" si="157"/>
        <v>INSERT INTO FACTURES(idFacture, numFact, nameFact, dateAcquittalFact, isAccount, typeFact, totalHTFact, idDeGeneration, idTVA, idProjet) VALUES (13, 150423-Fact-AUPIRATE-PROJ237-13, 150423-Fact-AUPIRATE-PROJ237-13, 45031, 1, Forfait, 2130, 19, 1, 1);</v>
      </c>
    </row>
    <row r="373" spans="5:19" ht="20.05" customHeight="1" x14ac:dyDescent="0.3">
      <c r="F373" s="160">
        <f t="shared" si="158"/>
        <v>14</v>
      </c>
      <c r="G373" s="160" t="str">
        <f t="shared" si="154"/>
        <v>250523-Fact-BOISDELUX-PROJ238-14</v>
      </c>
      <c r="H373" s="160" t="str">
        <f t="shared" si="156"/>
        <v>250523-Fact-BOISDELUX-PROJ238-14</v>
      </c>
      <c r="I373" s="329">
        <f t="shared" si="155"/>
        <v>45071</v>
      </c>
      <c r="J373" s="160">
        <v>0</v>
      </c>
      <c r="K373" s="160" t="s">
        <v>1808</v>
      </c>
      <c r="L373" s="160">
        <f t="shared" si="159"/>
        <v>5250</v>
      </c>
      <c r="M373" s="160">
        <v>22</v>
      </c>
      <c r="N373" s="160">
        <v>1</v>
      </c>
      <c r="O373" s="160">
        <v>8</v>
      </c>
      <c r="S373" s="353" t="str">
        <f t="shared" si="157"/>
        <v>INSERT INTO FACTURES(idFacture, numFact, nameFact, dateAcquittalFact, isAccount, typeFact, totalHTFact, idDeGeneration, idTVA, idProjet) VALUES (14, 250523-Fact-BOISDELUX-PROJ238-14, 250523-Fact-BOISDELUX-PROJ238-14, 45071, 0, Forfait, 5250, 22, 1, 1);</v>
      </c>
    </row>
    <row r="374" spans="5:19" ht="20.05" customHeight="1" x14ac:dyDescent="0.3"/>
    <row r="375" spans="5:19" s="323" customFormat="1" ht="28.05" customHeight="1" x14ac:dyDescent="0.3"/>
    <row r="376" spans="5:19" s="322" customFormat="1" ht="30.05" customHeight="1" x14ac:dyDescent="0.3">
      <c r="E376" s="323" t="s">
        <v>380</v>
      </c>
      <c r="F376" s="279" t="s">
        <v>323</v>
      </c>
      <c r="G376" s="224" t="s">
        <v>345</v>
      </c>
      <c r="H376" s="224" t="s">
        <v>325</v>
      </c>
      <c r="I376" s="224" t="s">
        <v>326</v>
      </c>
      <c r="J376" s="224" t="s">
        <v>327</v>
      </c>
      <c r="K376" s="295" t="s">
        <v>358</v>
      </c>
    </row>
    <row r="377" spans="5:19" ht="20.05" customHeight="1" x14ac:dyDescent="0.3">
      <c r="F377" s="160">
        <v>1</v>
      </c>
      <c r="G377" s="329">
        <v>45270</v>
      </c>
      <c r="H377" s="160">
        <v>1</v>
      </c>
      <c r="I377" s="160" t="str">
        <f>"Facture d'Acompte de 30% - du devis "&amp;_xlfn.XLOOKUP(K377,F$360:F$373,G$360:G$373)&amp;" Montant "</f>
        <v xml:space="preserve">Facture d'Acompte de 30% - du devis 101222-Fact-MUNICIPALITÉDEPARIS11E-PROJ231-1 Montant </v>
      </c>
      <c r="J377" s="160">
        <f>6000*0.3</f>
        <v>1800</v>
      </c>
      <c r="K377" s="160">
        <v>1</v>
      </c>
      <c r="L377" s="160">
        <v>1</v>
      </c>
      <c r="S377" s="353" t="str">
        <f>"INSERT INTO "&amp;$E$376&amp;"("&amp;$F$376&amp;", "&amp;$G$376&amp;", "&amp;$H$376&amp;", "&amp;$I$376&amp;", "&amp;$J$376&amp;", "&amp;$K$376&amp;") VALUES ("&amp;F377&amp;", "&amp;G377&amp;", "&amp;H377&amp;", "&amp;I377&amp;", "&amp;J377&amp;", "&amp;K377&amp;");"</f>
        <v>INSERT INTO LIGFACTFORFAIT(idLigFactForfait, dateInterventionLigFactForfait, numLigFactForfait, designationLigFactForfait, montantLigFactForfait, idFacture) VALUES (1, 45270, 1, Facture d'Acompte de 30% - du devis 101222-Fact-MUNICIPALITÉDEPARIS11E-PROJ231-1 Montant , 1800, 1);</v>
      </c>
    </row>
    <row r="378" spans="5:19" ht="47.45" customHeight="1" x14ac:dyDescent="0.3">
      <c r="F378" s="160">
        <f>F377+1</f>
        <v>2</v>
      </c>
      <c r="G378" s="329">
        <v>44928</v>
      </c>
      <c r="H378" s="160">
        <v>1</v>
      </c>
      <c r="I378" s="304" t="s">
        <v>1813</v>
      </c>
      <c r="J378" s="160">
        <f>300*0.7</f>
        <v>210</v>
      </c>
      <c r="K378" s="160">
        <v>2</v>
      </c>
      <c r="L378" s="160">
        <v>1</v>
      </c>
      <c r="S378" s="353" t="str">
        <f t="shared" ref="S378:S390" si="160">"INSERT INTO "&amp;$E$376&amp;"("&amp;$F$376&amp;", "&amp;$G$376&amp;", "&amp;$H$376&amp;", "&amp;$I$376&amp;", "&amp;$J$376&amp;", "&amp;$K$376&amp;") VALUES ("&amp;F378&amp;", "&amp;G378&amp;", "&amp;H378&amp;", "&amp;I378&amp;", "&amp;J378&amp;", "&amp;K378&amp;");"</f>
        <v>INSERT INTO LIGFACTFORFAIT(idLigFactForfait, dateInterventionLigFactForfait, numLigFactForfait, designationLigFactForfait, montantLigFactForfait, idFacture) VALUES (2, 44928, 1, Echanges Rdv
prise de cotes
reportage photos, 210, 2);</v>
      </c>
    </row>
    <row r="379" spans="5:19" ht="47.45" customHeight="1" x14ac:dyDescent="0.3">
      <c r="F379" s="160">
        <f t="shared" ref="F379:F390" si="161">F378+1</f>
        <v>3</v>
      </c>
      <c r="G379" s="329">
        <v>44928</v>
      </c>
      <c r="H379" s="160">
        <v>2</v>
      </c>
      <c r="I379" s="304" t="s">
        <v>1814</v>
      </c>
      <c r="J379" s="160">
        <f>2200*0.7</f>
        <v>1540</v>
      </c>
      <c r="K379" s="160">
        <v>2</v>
      </c>
      <c r="L379" s="160">
        <v>1</v>
      </c>
      <c r="S379" s="353" t="str">
        <f t="shared" si="160"/>
        <v>INSERT INTO LIGFACTFORFAIT(idLigFactForfait, dateInterventionLigFactForfait, numLigFactForfait, designationLigFactForfait, montantLigFactForfait, idFacture) VALUES (3, 44928, 2, Etude et propositions
Description de la partie a réaliser
Enumération des fournitures, 1540, 2);</v>
      </c>
    </row>
    <row r="380" spans="5:19" ht="47.45" customHeight="1" x14ac:dyDescent="0.3">
      <c r="F380" s="160">
        <f t="shared" si="161"/>
        <v>4</v>
      </c>
      <c r="G380" s="329">
        <v>44943</v>
      </c>
      <c r="H380" s="160">
        <v>3</v>
      </c>
      <c r="I380" s="304" t="s">
        <v>1815</v>
      </c>
      <c r="J380" s="160">
        <f>3500*0.7</f>
        <v>2450</v>
      </c>
      <c r="K380" s="160">
        <v>2</v>
      </c>
      <c r="L380" s="160">
        <v>1</v>
      </c>
      <c r="S380" s="353" t="str">
        <f t="shared" si="160"/>
        <v>INSERT INTO LIGFACTFORFAIT(idLigFactForfait, dateInterventionLigFactForfait, numLigFactForfait, designationLigFactForfait, montantLigFactForfait, idFacture) VALUES (4, 44943, 3, Réalisation
Fabrication et pose des elements validés à la phase 2 
indication éventuelle date de livraison, 2450, 2);</v>
      </c>
    </row>
    <row r="381" spans="5:19" ht="25.05" customHeight="1" x14ac:dyDescent="0.3">
      <c r="F381" s="160">
        <f t="shared" si="161"/>
        <v>5</v>
      </c>
      <c r="G381" s="329">
        <v>44998</v>
      </c>
      <c r="H381" s="160">
        <v>1</v>
      </c>
      <c r="I381" s="160" t="str">
        <f>"Facture d'Acompte de 30% - du devis "&amp;_xlfn.XLOOKUP(K381,F$360:F$373,G$360:G$373)&amp;" Montant "</f>
        <v xml:space="preserve">Facture d'Acompte de 30% - du devis 260223-Fact-LABONNEBAGUETTE-PROJ235-9 Montant </v>
      </c>
      <c r="J381" s="160">
        <f>6300*0.3</f>
        <v>1890</v>
      </c>
      <c r="K381" s="160">
        <v>9</v>
      </c>
      <c r="L381" s="160">
        <v>5</v>
      </c>
      <c r="S381" s="353" t="str">
        <f t="shared" si="160"/>
        <v>INSERT INTO LIGFACTFORFAIT(idLigFactForfait, dateInterventionLigFactForfait, numLigFactForfait, designationLigFactForfait, montantLigFactForfait, idFacture) VALUES (5, 44998, 1, Facture d'Acompte de 30% - du devis 260223-Fact-LABONNEBAGUETTE-PROJ235-9 Montant , 1890, 9);</v>
      </c>
    </row>
    <row r="382" spans="5:19" ht="25.05" customHeight="1" x14ac:dyDescent="0.3">
      <c r="F382" s="160">
        <f t="shared" si="161"/>
        <v>6</v>
      </c>
      <c r="G382" s="329">
        <v>44998</v>
      </c>
      <c r="H382" s="160">
        <v>1</v>
      </c>
      <c r="I382" s="304" t="s">
        <v>1817</v>
      </c>
      <c r="J382" s="160">
        <f>400*0.7</f>
        <v>280</v>
      </c>
      <c r="K382" s="160">
        <v>10</v>
      </c>
      <c r="L382" s="160">
        <v>5</v>
      </c>
      <c r="S382" s="353" t="str">
        <f t="shared" si="160"/>
        <v>INSERT INTO LIGFACTFORFAIT(idLigFactForfait, dateInterventionLigFactForfait, numLigFactForfait, designationLigFactForfait, montantLigFactForfait, idFacture) VALUES (6, 44998, 1, Ligne prise des exigences test Forfait 1, 280, 10);</v>
      </c>
    </row>
    <row r="383" spans="5:19" ht="25.05" customHeight="1" x14ac:dyDescent="0.3">
      <c r="F383" s="160">
        <f t="shared" si="161"/>
        <v>7</v>
      </c>
      <c r="G383" s="329">
        <v>44998</v>
      </c>
      <c r="H383" s="160">
        <v>2</v>
      </c>
      <c r="I383" s="304" t="s">
        <v>1818</v>
      </c>
      <c r="J383" s="160">
        <f>2300*0.7</f>
        <v>1610</v>
      </c>
      <c r="K383" s="160">
        <v>10</v>
      </c>
      <c r="L383" s="160">
        <v>5</v>
      </c>
      <c r="S383" s="353" t="str">
        <f t="shared" si="160"/>
        <v>INSERT INTO LIGFACTFORFAIT(idLigFactForfait, dateInterventionLigFactForfait, numLigFactForfait, designationLigFactForfait, montantLigFactForfait, idFacture) VALUES (7, 44998, 2, Ligne de la conception test Forfait1, 1610, 10);</v>
      </c>
    </row>
    <row r="384" spans="5:19" ht="25.05" customHeight="1" x14ac:dyDescent="0.3">
      <c r="F384" s="160">
        <f t="shared" si="161"/>
        <v>8</v>
      </c>
      <c r="G384" s="329">
        <v>45020</v>
      </c>
      <c r="H384" s="160">
        <v>3</v>
      </c>
      <c r="I384" s="304" t="s">
        <v>1819</v>
      </c>
      <c r="J384" s="160">
        <f>3600*0.7</f>
        <v>2520</v>
      </c>
      <c r="K384" s="160">
        <v>10</v>
      </c>
      <c r="L384" s="160">
        <v>5</v>
      </c>
      <c r="S384" s="353" t="str">
        <f t="shared" si="160"/>
        <v>INSERT INTO LIGFACTFORFAIT(idLigFactForfait, dateInterventionLigFactForfait, numLigFactForfait, designationLigFactForfait, montantLigFactForfait, idFacture) VALUES (8, 45020, 3, Ligne réalisation et indication date butoir projet test Forfait 1, 2520, 10);</v>
      </c>
    </row>
    <row r="385" spans="5:19" ht="25.05" customHeight="1" x14ac:dyDescent="0.3">
      <c r="F385" s="160">
        <f t="shared" si="161"/>
        <v>9</v>
      </c>
      <c r="G385" s="329">
        <v>45019</v>
      </c>
      <c r="H385" s="160">
        <v>1</v>
      </c>
      <c r="I385" s="160" t="str">
        <f>"Facture d'Acompte de 30% - du devis "&amp;_xlfn.XLOOKUP(K385,F$360:F$373,G$360:G$373)&amp;" Montant "</f>
        <v xml:space="preserve">Facture d'Acompte de 30% - du devis 120323-Fact-GLESBOULES-PROJ236-11 Montant </v>
      </c>
      <c r="J385" s="160">
        <f>6000*0.3</f>
        <v>1800</v>
      </c>
      <c r="K385" s="160">
        <v>11</v>
      </c>
      <c r="L385" s="160">
        <v>6</v>
      </c>
      <c r="S385" s="353" t="str">
        <f t="shared" si="160"/>
        <v>INSERT INTO LIGFACTFORFAIT(idLigFactForfait, dateInterventionLigFactForfait, numLigFactForfait, designationLigFactForfait, montantLigFactForfait, idFacture) VALUES (9, 45019, 1, Facture d'Acompte de 30% - du devis 120323-Fact-GLESBOULES-PROJ236-11 Montant , 1800, 11);</v>
      </c>
    </row>
    <row r="386" spans="5:19" ht="25.05" customHeight="1" x14ac:dyDescent="0.3">
      <c r="F386" s="160">
        <f t="shared" si="161"/>
        <v>10</v>
      </c>
      <c r="G386" s="329">
        <v>45019</v>
      </c>
      <c r="H386" s="160">
        <v>1</v>
      </c>
      <c r="I386" s="304" t="s">
        <v>1826</v>
      </c>
      <c r="J386" s="160">
        <f>500*0.7</f>
        <v>350</v>
      </c>
      <c r="K386" s="160">
        <v>12</v>
      </c>
      <c r="L386" s="160">
        <v>6</v>
      </c>
      <c r="M386" s="351"/>
      <c r="N386" s="352"/>
      <c r="O386" s="352"/>
      <c r="Q386" s="322"/>
      <c r="S386" s="353" t="str">
        <f t="shared" si="160"/>
        <v>INSERT INTO LIGFACTFORFAIT(idLigFactForfait, dateInterventionLigFactForfait, numLigFactForfait, designationLigFactForfait, montantLigFactForfait, idFacture) VALUES (10, 45019, 1, Ligne prise des exigences test Forfait 2, 350, 12);</v>
      </c>
    </row>
    <row r="387" spans="5:19" ht="25.05" customHeight="1" x14ac:dyDescent="0.3">
      <c r="F387" s="160">
        <f t="shared" si="161"/>
        <v>11</v>
      </c>
      <c r="G387" s="329">
        <v>45019</v>
      </c>
      <c r="H387" s="160">
        <v>2</v>
      </c>
      <c r="I387" s="304" t="s">
        <v>1827</v>
      </c>
      <c r="J387" s="160">
        <f>2500*0.7</f>
        <v>1750</v>
      </c>
      <c r="K387" s="160">
        <v>12</v>
      </c>
      <c r="L387" s="160">
        <v>6</v>
      </c>
      <c r="N387" s="329"/>
      <c r="S387" s="353" t="str">
        <f t="shared" si="160"/>
        <v>INSERT INTO LIGFACTFORFAIT(idLigFactForfait, dateInterventionLigFactForfait, numLigFactForfait, designationLigFactForfait, montantLigFactForfait, idFacture) VALUES (11, 45019, 2, Ligne de la conception test Forfait2, 1750, 12);</v>
      </c>
    </row>
    <row r="388" spans="5:19" ht="25.05" customHeight="1" x14ac:dyDescent="0.3">
      <c r="F388" s="160">
        <f t="shared" si="161"/>
        <v>12</v>
      </c>
      <c r="G388" s="329">
        <v>45044</v>
      </c>
      <c r="H388" s="160">
        <v>3</v>
      </c>
      <c r="I388" s="304" t="s">
        <v>1828</v>
      </c>
      <c r="J388" s="160">
        <f>3000*0.7</f>
        <v>2100</v>
      </c>
      <c r="K388" s="160">
        <v>12</v>
      </c>
      <c r="L388" s="160">
        <v>6</v>
      </c>
      <c r="N388" s="329"/>
      <c r="S388" s="353" t="str">
        <f t="shared" si="160"/>
        <v>INSERT INTO LIGFACTFORFAIT(idLigFactForfait, dateInterventionLigFactForfait, numLigFactForfait, designationLigFactForfait, montantLigFactForfait, idFacture) VALUES (12, 45044, 3, Ligne réalisation et indication date butoir projet test Forfait 2, 2100, 12);</v>
      </c>
    </row>
    <row r="389" spans="5:19" ht="25.05" customHeight="1" x14ac:dyDescent="0.3">
      <c r="F389" s="160">
        <f t="shared" si="161"/>
        <v>13</v>
      </c>
      <c r="G389" s="329">
        <v>45048</v>
      </c>
      <c r="H389" s="160">
        <v>1</v>
      </c>
      <c r="I389" s="160" t="str">
        <f>"Facture d'Acompte de 30% - du devis "&amp;_xlfn.XLOOKUP(K389,F$360:F$373,G$360:G$373)&amp;" Montant "</f>
        <v xml:space="preserve">Facture d'Acompte de 30% - du devis 150423-Fact-AUPIRATE-PROJ237-13 Montant </v>
      </c>
      <c r="J389" s="160">
        <f>7100*0.3</f>
        <v>2130</v>
      </c>
      <c r="K389" s="160">
        <v>13</v>
      </c>
      <c r="L389" s="160">
        <v>7</v>
      </c>
      <c r="N389" s="335"/>
      <c r="S389" s="353" t="str">
        <f t="shared" si="160"/>
        <v>INSERT INTO LIGFACTFORFAIT(idLigFactForfait, dateInterventionLigFactForfait, numLigFactForfait, designationLigFactForfait, montantLigFactForfait, idFacture) VALUES (13, 45048, 1, Facture d'Acompte de 30% - du devis 150423-Fact-AUPIRATE-PROJ237-13 Montant , 2130, 13);</v>
      </c>
    </row>
    <row r="390" spans="5:19" ht="25.05" customHeight="1" x14ac:dyDescent="0.3">
      <c r="F390" s="160">
        <f t="shared" si="161"/>
        <v>14</v>
      </c>
      <c r="G390" s="329">
        <v>45089</v>
      </c>
      <c r="H390" s="160">
        <v>1</v>
      </c>
      <c r="I390" s="160" t="str">
        <f>"Facture d'Acompte de 30% - du devis "&amp;_xlfn.XLOOKUP(K390,F$360:F$373,G$360:G$373)&amp;" Montant "</f>
        <v xml:space="preserve">Facture d'Acompte de 30% - du devis 250523-Fact-BOISDELUX-PROJ238-14 Montant </v>
      </c>
      <c r="J390" s="160">
        <f>7500*0.3</f>
        <v>2250</v>
      </c>
      <c r="K390" s="160">
        <v>14</v>
      </c>
      <c r="L390" s="160">
        <v>8</v>
      </c>
      <c r="N390" s="335"/>
      <c r="S390" s="353" t="str">
        <f t="shared" si="160"/>
        <v>INSERT INTO LIGFACTFORFAIT(idLigFactForfait, dateInterventionLigFactForfait, numLigFactForfait, designationLigFactForfait, montantLigFactForfait, idFacture) VALUES (14, 45089, 1, Facture d'Acompte de 30% - du devis 250523-Fact-BOISDELUX-PROJ238-14 Montant , 2250, 14);</v>
      </c>
    </row>
    <row r="391" spans="5:19" ht="25.05" customHeight="1" x14ac:dyDescent="0.3">
      <c r="I391" s="304"/>
      <c r="N391" s="329"/>
    </row>
    <row r="392" spans="5:19" s="322" customFormat="1" ht="30.05" customHeight="1" x14ac:dyDescent="0.3">
      <c r="E392" s="323" t="s">
        <v>381</v>
      </c>
      <c r="F392" s="280" t="s">
        <v>233</v>
      </c>
      <c r="G392" s="226" t="s">
        <v>343</v>
      </c>
      <c r="H392" s="226" t="s">
        <v>330</v>
      </c>
      <c r="I392" s="226" t="s">
        <v>333</v>
      </c>
      <c r="J392" s="226" t="s">
        <v>344</v>
      </c>
      <c r="K392" s="226" t="s">
        <v>334</v>
      </c>
      <c r="L392" s="295" t="s">
        <v>358</v>
      </c>
      <c r="M392" s="160"/>
      <c r="N392" s="329"/>
      <c r="O392" s="160"/>
      <c r="P392" s="160"/>
      <c r="Q392" s="160"/>
    </row>
    <row r="393" spans="5:19" ht="20.05" customHeight="1" x14ac:dyDescent="0.3">
      <c r="F393" s="160">
        <v>1</v>
      </c>
      <c r="G393" s="329">
        <v>44928</v>
      </c>
      <c r="H393" s="160">
        <v>1</v>
      </c>
      <c r="I393" s="160" t="str">
        <f>"Facture d'Acompte de 30% - du devis "&amp;_xlfn.XLOOKUP(L393,F$360:F$373,G$360:G$373)&amp;" Montant "</f>
        <v xml:space="preserve">Facture d'Acompte de 30% - du devis 020123-Fact-BOISDELUX-PROJ232-3 Montant </v>
      </c>
      <c r="J393" s="160">
        <v>1</v>
      </c>
      <c r="K393" s="160">
        <f>(J394*K394+J395*K395+J396*K396)*0.3</f>
        <v>1950</v>
      </c>
      <c r="L393" s="160">
        <v>3</v>
      </c>
      <c r="N393" s="335"/>
      <c r="S393" s="353" t="str">
        <f>"INSERT INTO "&amp;$E$392&amp;"("&amp;$F$392&amp;", "&amp;$G$392&amp;", "&amp;$H$392&amp;", "&amp;$I$392&amp;", "&amp;$J$392&amp;", "&amp;$K$392&amp;", "&amp;L$392&amp;") VALUES ("&amp;F393&amp;", "&amp;G393&amp;", "&amp;H393&amp;", "&amp;I393&amp;", "&amp;J393&amp;", "&amp;K393&amp;", "&amp;L393&amp;");"</f>
        <v>INSERT INTO LIGFACTQPU(idLigFactQPU, dateInterventionLigFactQPU, numLigFactQPU, designationLigFactQPU, qLigFactQPU, montantLigFactQPU, idFacture) VALUES (1, 44928, 1, Facture d'Acompte de 30% - du devis 020123-Fact-BOISDELUX-PROJ232-3 Montant , 1, 1950, 3);</v>
      </c>
    </row>
    <row r="394" spans="5:19" ht="20.05" customHeight="1" x14ac:dyDescent="0.3">
      <c r="F394" s="160">
        <f>F393+1</f>
        <v>2</v>
      </c>
      <c r="G394" s="329">
        <v>44946</v>
      </c>
      <c r="H394" s="160">
        <v>1</v>
      </c>
      <c r="I394" s="160" t="s">
        <v>1813</v>
      </c>
      <c r="J394" s="160">
        <v>3</v>
      </c>
      <c r="K394" s="160">
        <v>100</v>
      </c>
      <c r="L394" s="160">
        <v>4</v>
      </c>
      <c r="N394" s="329"/>
      <c r="S394" s="353" t="str">
        <f t="shared" ref="S394:S407" si="162">"INSERT INTO "&amp;$E$392&amp;"("&amp;$F$392&amp;", "&amp;$G$392&amp;", "&amp;$H$392&amp;", "&amp;$I$392&amp;", "&amp;$J$392&amp;", "&amp;$K$392&amp;", "&amp;L$392&amp;") VALUES ("&amp;F394&amp;", "&amp;G394&amp;", "&amp;H394&amp;", "&amp;I394&amp;", "&amp;J394&amp;", "&amp;K394&amp;", "&amp;L394&amp;");"</f>
        <v>INSERT INTO LIGFACTQPU(idLigFactQPU, dateInterventionLigFactQPU, numLigFactQPU, designationLigFactQPU, qLigFactQPU, montantLigFactQPU, idFacture) VALUES (2, 44946, 1, Echanges Rdv
prise de cotes
reportage photos, 3, 100, 4);</v>
      </c>
    </row>
    <row r="395" spans="5:19" ht="20.05" customHeight="1" x14ac:dyDescent="0.3">
      <c r="F395" s="160">
        <f t="shared" ref="F395:F407" si="163">F394+1</f>
        <v>3</v>
      </c>
      <c r="G395" s="329">
        <v>44946</v>
      </c>
      <c r="H395" s="160">
        <v>2</v>
      </c>
      <c r="I395" s="160" t="s">
        <v>1814</v>
      </c>
      <c r="J395" s="160">
        <v>2</v>
      </c>
      <c r="K395" s="160">
        <v>1100</v>
      </c>
      <c r="L395" s="160">
        <v>4</v>
      </c>
      <c r="N395" s="329"/>
      <c r="S395" s="353" t="str">
        <f t="shared" si="162"/>
        <v>INSERT INTO LIGFACTQPU(idLigFactQPU, dateInterventionLigFactQPU, numLigFactQPU, designationLigFactQPU, qLigFactQPU, montantLigFactQPU, idFacture) VALUES (3, 44946, 2, Etude et propositions
Description de la partie a réaliser
Enumération des fournitures, 2, 1100, 4);</v>
      </c>
    </row>
    <row r="396" spans="5:19" ht="20.05" customHeight="1" x14ac:dyDescent="0.3">
      <c r="F396" s="160">
        <f t="shared" si="163"/>
        <v>4</v>
      </c>
      <c r="G396" s="329">
        <v>44981</v>
      </c>
      <c r="H396" s="160">
        <v>3</v>
      </c>
      <c r="I396" s="160" t="s">
        <v>1815</v>
      </c>
      <c r="J396" s="160">
        <v>4</v>
      </c>
      <c r="K396" s="160">
        <v>1000</v>
      </c>
      <c r="L396" s="160">
        <v>4</v>
      </c>
      <c r="N396" s="335"/>
      <c r="S396" s="353" t="str">
        <f t="shared" si="162"/>
        <v>INSERT INTO LIGFACTQPU(idLigFactQPU, dateInterventionLigFactQPU, numLigFactQPU, designationLigFactQPU, qLigFactQPU, montantLigFactQPU, idFacture) VALUES (4, 44981, 3, Réalisation
Fabrication et pose des elements validés à la phase 2 
indication éventuelle date de livraison, 4, 1000, 4);</v>
      </c>
    </row>
    <row r="397" spans="5:19" ht="20.05" customHeight="1" x14ac:dyDescent="0.3">
      <c r="F397" s="160">
        <f t="shared" si="163"/>
        <v>5</v>
      </c>
      <c r="G397" s="329">
        <v>44981</v>
      </c>
      <c r="H397" s="160">
        <v>4</v>
      </c>
      <c r="I397" s="160" t="s">
        <v>1903</v>
      </c>
      <c r="J397" s="160">
        <v>1</v>
      </c>
      <c r="K397" s="160">
        <f>(J396*K396+J395*K395+J394*K394)*(-0.3)</f>
        <v>-1950</v>
      </c>
      <c r="L397" s="160">
        <v>4</v>
      </c>
      <c r="N397" s="329"/>
      <c r="S397" s="353" t="str">
        <f t="shared" si="162"/>
        <v>INSERT INTO LIGFACTQPU(idLigFactQPU, dateInterventionLigFactQPU, numLigFactQPU, designationLigFactQPU, qLigFactQPU, montantLigFactQPU, idFacture) VALUES (5, 44981, 4, Remise suite versement Acompte (facture NOMFacture30), 1, -1950, 4);</v>
      </c>
    </row>
    <row r="398" spans="5:19" ht="20.05" customHeight="1" x14ac:dyDescent="0.3">
      <c r="F398" s="160">
        <f t="shared" si="163"/>
        <v>6</v>
      </c>
      <c r="G398" s="329">
        <v>44946</v>
      </c>
      <c r="H398" s="160">
        <v>1</v>
      </c>
      <c r="I398" s="160" t="str">
        <f>"Facture d'Acompte de 30% - du devis "&amp;_xlfn.XLOOKUP(L398,F$360:F$373,G$360:G$373)&amp;" Montant "</f>
        <v xml:space="preserve">Facture d'Acompte de 30% - du devis 200123-Fact-RAMENETAFRAISE-PROJ233-5 Montant </v>
      </c>
      <c r="J398" s="160">
        <v>1</v>
      </c>
      <c r="K398" s="160">
        <f>(J399*K399+J400*K400+J401*K401)*0.3</f>
        <v>1890</v>
      </c>
      <c r="L398" s="160">
        <v>5</v>
      </c>
      <c r="N398" s="329"/>
      <c r="S398" s="353" t="str">
        <f t="shared" si="162"/>
        <v>INSERT INTO LIGFACTQPU(idLigFactQPU, dateInterventionLigFactQPU, numLigFactQPU, designationLigFactQPU, qLigFactQPU, montantLigFactQPU, idFacture) VALUES (6, 44946, 1, Facture d'Acompte de 30% - du devis 200123-Fact-RAMENETAFRAISE-PROJ233-5 Montant , 1, 1890, 5);</v>
      </c>
    </row>
    <row r="399" spans="5:19" x14ac:dyDescent="0.3">
      <c r="F399" s="160">
        <f t="shared" si="163"/>
        <v>7</v>
      </c>
      <c r="G399" s="329">
        <v>44946</v>
      </c>
      <c r="H399" s="160">
        <v>1</v>
      </c>
      <c r="I399" s="160" t="s">
        <v>1820</v>
      </c>
      <c r="J399" s="160">
        <v>4</v>
      </c>
      <c r="K399" s="160">
        <v>100</v>
      </c>
      <c r="L399" s="160">
        <v>6</v>
      </c>
      <c r="N399" s="335"/>
      <c r="S399" s="353" t="str">
        <f t="shared" si="162"/>
        <v>INSERT INTO LIGFACTQPU(idLigFactQPU, dateInterventionLigFactQPU, numLigFactQPU, designationLigFactQPU, qLigFactQPU, montantLigFactQPU, idFacture) VALUES (7, 44946, 1, Ligne prise des exigences test QPU 1, 4, 100, 6);</v>
      </c>
    </row>
    <row r="400" spans="5:19" s="323" customFormat="1" ht="28.05" customHeight="1" x14ac:dyDescent="0.3">
      <c r="F400" s="160">
        <f t="shared" si="163"/>
        <v>8</v>
      </c>
      <c r="G400" s="329">
        <v>44946</v>
      </c>
      <c r="H400" s="160">
        <v>2</v>
      </c>
      <c r="I400" s="160" t="s">
        <v>1821</v>
      </c>
      <c r="J400" s="160">
        <v>2</v>
      </c>
      <c r="K400" s="160">
        <v>1150</v>
      </c>
      <c r="L400" s="160">
        <v>6</v>
      </c>
      <c r="M400" s="160"/>
      <c r="N400" s="329"/>
      <c r="O400" s="160"/>
      <c r="P400" s="160"/>
      <c r="Q400" s="160"/>
      <c r="S400" s="353" t="str">
        <f t="shared" si="162"/>
        <v>INSERT INTO LIGFACTQPU(idLigFactQPU, dateInterventionLigFactQPU, numLigFactQPU, designationLigFactQPU, qLigFactQPU, montantLigFactQPU, idFacture) VALUES (8, 44946, 2, Ligne de la conception test QPU 1, 2, 1150, 6);</v>
      </c>
    </row>
    <row r="401" spans="5:19" s="322" customFormat="1" ht="30.05" customHeight="1" x14ac:dyDescent="0.3">
      <c r="F401" s="160">
        <f t="shared" si="163"/>
        <v>9</v>
      </c>
      <c r="G401" s="327">
        <v>44981</v>
      </c>
      <c r="H401" s="160">
        <v>3</v>
      </c>
      <c r="I401" s="160" t="s">
        <v>1822</v>
      </c>
      <c r="J401" s="160">
        <v>3</v>
      </c>
      <c r="K401" s="160">
        <v>1200</v>
      </c>
      <c r="L401" s="323">
        <v>6</v>
      </c>
      <c r="M401" s="160"/>
      <c r="N401" s="329"/>
      <c r="O401" s="160"/>
      <c r="P401" s="160"/>
      <c r="Q401" s="160"/>
      <c r="S401" s="353" t="str">
        <f t="shared" si="162"/>
        <v>INSERT INTO LIGFACTQPU(idLigFactQPU, dateInterventionLigFactQPU, numLigFactQPU, designationLigFactQPU, qLigFactQPU, montantLigFactQPU, idFacture) VALUES (9, 44981, 3, Ligne réalisation et indication date butoir projet test QPU 1, 3, 1200, 6);</v>
      </c>
    </row>
    <row r="402" spans="5:19" ht="20.05" customHeight="1" x14ac:dyDescent="0.3">
      <c r="F402" s="160">
        <f t="shared" si="163"/>
        <v>10</v>
      </c>
      <c r="G402" s="329">
        <v>44981</v>
      </c>
      <c r="H402" s="160">
        <v>4</v>
      </c>
      <c r="I402" s="160" t="s">
        <v>1903</v>
      </c>
      <c r="J402" s="160">
        <v>1</v>
      </c>
      <c r="K402" s="160">
        <f>(J401*K401+J400*K400+J399*K399)*(-0.3)</f>
        <v>-1890</v>
      </c>
      <c r="L402" s="160">
        <v>6</v>
      </c>
      <c r="N402" s="335"/>
      <c r="S402" s="353" t="str">
        <f t="shared" si="162"/>
        <v>INSERT INTO LIGFACTQPU(idLigFactQPU, dateInterventionLigFactQPU, numLigFactQPU, designationLigFactQPU, qLigFactQPU, montantLigFactQPU, idFacture) VALUES (10, 44981, 4, Remise suite versement Acompte (facture NOMFacture30), 1, -1890, 6);</v>
      </c>
    </row>
    <row r="403" spans="5:19" ht="20.05" customHeight="1" x14ac:dyDescent="0.3">
      <c r="F403" s="160">
        <f t="shared" si="163"/>
        <v>11</v>
      </c>
      <c r="G403" s="329">
        <v>44972</v>
      </c>
      <c r="H403" s="160">
        <v>1</v>
      </c>
      <c r="I403" s="160" t="str">
        <f>"Facture d'Acompte de 30% - du devis "&amp;_xlfn.XLOOKUP(L403,F$360:F$373,G$360:G$373)&amp;" Montant "</f>
        <v xml:space="preserve">Facture d'Acompte de 30% - du devis 150223-Fact-TAPUDFUITE-PROJ234-7 Montant </v>
      </c>
      <c r="J403" s="322">
        <v>1</v>
      </c>
      <c r="K403" s="160">
        <f>(J404*K404+J405*K405+J406*K406)*0.3</f>
        <v>3930</v>
      </c>
      <c r="L403" s="322">
        <v>7</v>
      </c>
      <c r="N403" s="329"/>
      <c r="S403" s="353" t="str">
        <f t="shared" si="162"/>
        <v>INSERT INTO LIGFACTQPU(idLigFactQPU, dateInterventionLigFactQPU, numLigFactQPU, designationLigFactQPU, qLigFactQPU, montantLigFactQPU, idFacture) VALUES (11, 44972, 1, Facture d'Acompte de 30% - du devis 150223-Fact-TAPUDFUITE-PROJ234-7 Montant , 1, 3930, 7);</v>
      </c>
    </row>
    <row r="404" spans="5:19" x14ac:dyDescent="0.3">
      <c r="F404" s="160">
        <f t="shared" si="163"/>
        <v>12</v>
      </c>
      <c r="G404" s="329">
        <v>44972</v>
      </c>
      <c r="H404" s="160">
        <v>1</v>
      </c>
      <c r="I404" s="160" t="s">
        <v>1823</v>
      </c>
      <c r="J404" s="160">
        <v>5</v>
      </c>
      <c r="K404" s="160">
        <v>100</v>
      </c>
      <c r="L404" s="160">
        <v>8</v>
      </c>
      <c r="N404" s="329"/>
      <c r="S404" s="353" t="str">
        <f t="shared" si="162"/>
        <v>INSERT INTO LIGFACTQPU(idLigFactQPU, dateInterventionLigFactQPU, numLigFactQPU, designationLigFactQPU, qLigFactQPU, montantLigFactQPU, idFacture) VALUES (12, 44972, 1, Ligne prise des exigences test QPU 2, 5, 100, 8);</v>
      </c>
    </row>
    <row r="405" spans="5:19" ht="20.85" customHeight="1" x14ac:dyDescent="0.3">
      <c r="F405" s="160">
        <f t="shared" si="163"/>
        <v>13</v>
      </c>
      <c r="G405" s="329">
        <v>44972</v>
      </c>
      <c r="H405" s="160">
        <v>2</v>
      </c>
      <c r="I405" s="323" t="s">
        <v>1824</v>
      </c>
      <c r="J405" s="323">
        <v>6</v>
      </c>
      <c r="K405" s="323">
        <v>1100</v>
      </c>
      <c r="L405" s="160">
        <v>8</v>
      </c>
      <c r="N405" s="335"/>
      <c r="S405" s="353" t="str">
        <f t="shared" si="162"/>
        <v>INSERT INTO LIGFACTQPU(idLigFactQPU, dateInterventionLigFactQPU, numLigFactQPU, designationLigFactQPU, qLigFactQPU, montantLigFactQPU, idFacture) VALUES (13, 44972, 2, Ligne de la conception test QPU 2, 6, 1100, 8);</v>
      </c>
    </row>
    <row r="406" spans="5:19" ht="20.85" customHeight="1" x14ac:dyDescent="0.3">
      <c r="F406" s="160">
        <f t="shared" si="163"/>
        <v>14</v>
      </c>
      <c r="G406" s="329">
        <v>44995</v>
      </c>
      <c r="H406" s="160">
        <v>3</v>
      </c>
      <c r="I406" s="322" t="s">
        <v>1825</v>
      </c>
      <c r="J406" s="322">
        <v>6</v>
      </c>
      <c r="K406" s="322">
        <v>1000</v>
      </c>
      <c r="L406" s="160">
        <v>8</v>
      </c>
      <c r="N406" s="329"/>
      <c r="S406" s="353" t="str">
        <f t="shared" si="162"/>
        <v>INSERT INTO LIGFACTQPU(idLigFactQPU, dateInterventionLigFactQPU, numLigFactQPU, designationLigFactQPU, qLigFactQPU, montantLigFactQPU, idFacture) VALUES (14, 44995, 3, Ligne réalisation et indication date butoir projet test QPU 2, 6, 1000, 8);</v>
      </c>
    </row>
    <row r="407" spans="5:19" ht="20.85" customHeight="1" x14ac:dyDescent="0.3">
      <c r="F407" s="160">
        <f t="shared" si="163"/>
        <v>15</v>
      </c>
      <c r="G407" s="329">
        <v>44995</v>
      </c>
      <c r="H407" s="160">
        <v>4</v>
      </c>
      <c r="I407" s="160" t="s">
        <v>1903</v>
      </c>
      <c r="J407" s="322">
        <v>1</v>
      </c>
      <c r="K407" s="160">
        <f>(J406*K406+J405*K405+J404*K404)*(-0.3)</f>
        <v>-3930</v>
      </c>
      <c r="L407" s="160">
        <v>8</v>
      </c>
      <c r="N407" s="329"/>
      <c r="S407" s="353" t="str">
        <f t="shared" si="162"/>
        <v>INSERT INTO LIGFACTQPU(idLigFactQPU, dateInterventionLigFactQPU, numLigFactQPU, designationLigFactQPU, qLigFactQPU, montantLigFactQPU, idFacture) VALUES (15, 44995, 4, Remise suite versement Acompte (facture NOMFacture30), 1, -3930, 8);</v>
      </c>
    </row>
    <row r="408" spans="5:19" ht="23.35" customHeight="1" x14ac:dyDescent="0.3">
      <c r="I408" s="322"/>
      <c r="J408" s="322"/>
      <c r="K408" s="322"/>
      <c r="N408" s="335"/>
    </row>
    <row r="409" spans="5:19" s="323" customFormat="1" ht="28.05" customHeight="1" thickBot="1" x14ac:dyDescent="0.35">
      <c r="M409" s="160"/>
      <c r="N409" s="329"/>
      <c r="O409" s="160"/>
      <c r="P409" s="160"/>
      <c r="Q409" s="160"/>
    </row>
    <row r="410" spans="5:19" s="322" customFormat="1" ht="30.05" customHeight="1" thickBot="1" x14ac:dyDescent="0.35">
      <c r="E410" s="323" t="s">
        <v>382</v>
      </c>
      <c r="F410" s="282" t="s">
        <v>177</v>
      </c>
      <c r="G410" s="234" t="s">
        <v>178</v>
      </c>
      <c r="H410" s="234" t="s">
        <v>188</v>
      </c>
      <c r="I410" s="236" t="s">
        <v>263</v>
      </c>
      <c r="J410" s="236" t="s">
        <v>361</v>
      </c>
      <c r="K410" s="295" t="s">
        <v>287</v>
      </c>
      <c r="M410" s="335"/>
      <c r="N410" s="160"/>
      <c r="O410" s="160"/>
      <c r="P410" s="160"/>
    </row>
    <row r="411" spans="5:19" ht="20.05" customHeight="1" outlineLevel="1" x14ac:dyDescent="0.3">
      <c r="F411" s="160">
        <v>1</v>
      </c>
      <c r="G411" s="160" t="s">
        <v>182</v>
      </c>
      <c r="H411" s="329">
        <f>_xlfn.XLOOKUP(K411,F$122:F$129,J$122:J$129)</f>
        <v>44928</v>
      </c>
      <c r="I411" s="160" t="s">
        <v>1907</v>
      </c>
      <c r="J411" s="160">
        <f>140*30</f>
        <v>4200</v>
      </c>
      <c r="K411" s="160">
        <v>1</v>
      </c>
      <c r="M411" s="329"/>
      <c r="S411" s="353" t="str">
        <f>"INSERT INTO "&amp;$E$410&amp;"("&amp;$F$410&amp;", "&amp;$G$410&amp;", "&amp;$H$410&amp;", "&amp;$I$410&amp;", "&amp;$J$410&amp;", "&amp;$K$410&amp;") VALUES ("&amp;F411&amp;", "&amp;G411&amp;", "&amp;H411&amp;", "&amp;I411&amp;", "&amp;J411&amp;", "&amp;K411&amp;");"</f>
        <v>INSERT INTO COUTS(idCout, catCout, dateCout, descriptionCout, montantCout, idProjet) VALUES (1, RH, 44928, salaires, 4200, 1);</v>
      </c>
    </row>
    <row r="412" spans="5:19" ht="88.3" customHeight="1" outlineLevel="1" x14ac:dyDescent="0.3">
      <c r="F412" s="160">
        <f>F411+1</f>
        <v>2</v>
      </c>
      <c r="G412" s="160" t="s">
        <v>1904</v>
      </c>
      <c r="H412" s="329">
        <f t="shared" ref="H412:H418" si="164">_xlfn.XLOOKUP(K412,F$122:F$129,J$122:J$129)</f>
        <v>44928</v>
      </c>
      <c r="I412" s="160" t="s">
        <v>1908</v>
      </c>
      <c r="J412" s="160">
        <v>123</v>
      </c>
      <c r="K412" s="160">
        <f>K411</f>
        <v>1</v>
      </c>
      <c r="S412" s="353" t="str">
        <f t="shared" ref="S412:S419" si="165">"INSERT INTO "&amp;$E$410&amp;"("&amp;$F$410&amp;", "&amp;$G$410&amp;", "&amp;$H$410&amp;", "&amp;$I$410&amp;", "&amp;$J$410&amp;", "&amp;$K$410&amp;") VALUES ("&amp;F412&amp;", "&amp;G412&amp;", "&amp;H412&amp;", "&amp;I412&amp;", "&amp;J412&amp;", "&amp;K412&amp;");"</f>
        <v>INSERT INTO COUTS(idCout, catCout, dateCout, descriptionCout, montantCout, idProjet) VALUES (2, Materiaux, 44928, planches + colles+ agraffes + vissseries + consommables, 123, 1);</v>
      </c>
    </row>
    <row r="413" spans="5:19" outlineLevel="1" x14ac:dyDescent="0.3">
      <c r="F413" s="160">
        <f t="shared" ref="F413:F415" si="166">F412+1</f>
        <v>3</v>
      </c>
      <c r="G413" s="160" t="s">
        <v>1905</v>
      </c>
      <c r="H413" s="329">
        <f t="shared" si="164"/>
        <v>44928</v>
      </c>
      <c r="I413" s="160" t="s">
        <v>1909</v>
      </c>
      <c r="J413" s="160">
        <f>(300*12)/360*38</f>
        <v>380</v>
      </c>
      <c r="K413" s="160">
        <f t="shared" ref="K413:K415" si="167">K412</f>
        <v>1</v>
      </c>
      <c r="S413" s="353" t="str">
        <f t="shared" si="165"/>
        <v>INSERT INTO COUTS(idCout, catCout, dateCout, descriptionCout, montantCout, idProjet) VALUES (3, Charges, 44928, electricité, 380, 1);</v>
      </c>
    </row>
    <row r="414" spans="5:19" outlineLevel="1" x14ac:dyDescent="0.3">
      <c r="F414" s="160">
        <f t="shared" si="166"/>
        <v>4</v>
      </c>
      <c r="G414" s="160" t="s">
        <v>1906</v>
      </c>
      <c r="H414" s="329">
        <f>_xlfn.XLOOKUP(K414,F$122:F$129,J$122:J$129)</f>
        <v>44928</v>
      </c>
      <c r="I414" s="160" t="s">
        <v>1910</v>
      </c>
      <c r="J414" s="160">
        <f>ROUNDUP(33*7/100*2,0)</f>
        <v>5</v>
      </c>
      <c r="K414" s="160">
        <f t="shared" si="167"/>
        <v>1</v>
      </c>
      <c r="S414" s="353" t="str">
        <f t="shared" si="165"/>
        <v>INSERT INTO COUTS(idCout, catCout, dateCout, descriptionCout, montantCout, idProjet) VALUES (4, Frais, 44928, déplacement 33km (7L/100km), 5, 1);</v>
      </c>
    </row>
    <row r="415" spans="5:19" x14ac:dyDescent="0.3">
      <c r="F415" s="160">
        <f t="shared" si="166"/>
        <v>5</v>
      </c>
      <c r="G415" s="160" t="s">
        <v>1887</v>
      </c>
      <c r="H415" s="329">
        <f>_xlfn.XLOOKUP(K415,F$122:F$129,L$122:L$129)</f>
        <v>44943</v>
      </c>
      <c r="I415" s="160" t="s">
        <v>1911</v>
      </c>
      <c r="J415" s="160">
        <v>16</v>
      </c>
      <c r="K415" s="160">
        <f t="shared" si="167"/>
        <v>1</v>
      </c>
      <c r="S415" s="353" t="str">
        <f t="shared" si="165"/>
        <v>INSERT INTO COUTS(idCout, catCout, dateCout, descriptionCout, montantCout, idProjet) VALUES (5, Divers, 44943, Mug (Mug kdo client flockage SD), 16, 1);</v>
      </c>
    </row>
    <row r="416" spans="5:19" outlineLevel="1" x14ac:dyDescent="0.3">
      <c r="F416" s="160">
        <v>1</v>
      </c>
      <c r="G416" s="160" t="s">
        <v>182</v>
      </c>
      <c r="H416" s="329">
        <f>_xlfn.XLOOKUP(K416,F$122:F$129,J$122:J$129)</f>
        <v>44942</v>
      </c>
      <c r="I416" s="160" t="s">
        <v>1907</v>
      </c>
      <c r="J416" s="160">
        <f>140*28</f>
        <v>3920</v>
      </c>
      <c r="K416" s="160">
        <f>K415+1</f>
        <v>2</v>
      </c>
      <c r="S416" s="353" t="str">
        <f t="shared" si="165"/>
        <v>INSERT INTO COUTS(idCout, catCout, dateCout, descriptionCout, montantCout, idProjet) VALUES (1, RH, 44942, salaires, 3920, 2);</v>
      </c>
    </row>
    <row r="417" spans="6:19" outlineLevel="1" x14ac:dyDescent="0.3">
      <c r="F417" s="160">
        <f>F416+1</f>
        <v>2</v>
      </c>
      <c r="G417" s="160" t="s">
        <v>1904</v>
      </c>
      <c r="H417" s="329">
        <f t="shared" si="164"/>
        <v>44942</v>
      </c>
      <c r="I417" s="160" t="s">
        <v>1908</v>
      </c>
      <c r="J417" s="160">
        <v>123</v>
      </c>
      <c r="K417" s="160">
        <f>K416</f>
        <v>2</v>
      </c>
      <c r="S417" s="353" t="str">
        <f t="shared" si="165"/>
        <v>INSERT INTO COUTS(idCout, catCout, dateCout, descriptionCout, montantCout, idProjet) VALUES (2, Materiaux, 44942, planches + colles+ agraffes + vissseries + consommables, 123, 2);</v>
      </c>
    </row>
    <row r="418" spans="6:19" outlineLevel="1" x14ac:dyDescent="0.3">
      <c r="F418" s="160">
        <f t="shared" ref="F418:F420" si="168">F417+1</f>
        <v>3</v>
      </c>
      <c r="G418" s="160" t="s">
        <v>1905</v>
      </c>
      <c r="H418" s="329">
        <f t="shared" si="164"/>
        <v>44942</v>
      </c>
      <c r="I418" s="160" t="s">
        <v>1909</v>
      </c>
      <c r="J418" s="160">
        <f>(300*12)/360*38</f>
        <v>380</v>
      </c>
      <c r="K418" s="160">
        <f t="shared" ref="K418:K420" si="169">K417</f>
        <v>2</v>
      </c>
      <c r="S418" s="353" t="str">
        <f t="shared" si="165"/>
        <v>INSERT INTO COUTS(idCout, catCout, dateCout, descriptionCout, montantCout, idProjet) VALUES (3, Charges, 44942, electricité, 380, 2);</v>
      </c>
    </row>
    <row r="419" spans="6:19" outlineLevel="1" x14ac:dyDescent="0.3">
      <c r="F419" s="160">
        <f t="shared" si="168"/>
        <v>4</v>
      </c>
      <c r="G419" s="160" t="s">
        <v>1906</v>
      </c>
      <c r="H419" s="329">
        <f>_xlfn.XLOOKUP(K419,F$122:F$129,J$122:J$129)</f>
        <v>44942</v>
      </c>
      <c r="I419" s="160" t="s">
        <v>1910</v>
      </c>
      <c r="J419" s="160">
        <f>ROUNDUP(33*7/100*2,0)</f>
        <v>5</v>
      </c>
      <c r="K419" s="160">
        <f t="shared" si="169"/>
        <v>2</v>
      </c>
      <c r="S419" s="353" t="str">
        <f t="shared" si="165"/>
        <v>INSERT INTO COUTS(idCout, catCout, dateCout, descriptionCout, montantCout, idProjet) VALUES (4, Frais, 44942, déplacement 33km (7L/100km), 5, 2);</v>
      </c>
    </row>
    <row r="420" spans="6:19" x14ac:dyDescent="0.3">
      <c r="F420" s="160">
        <f t="shared" si="168"/>
        <v>5</v>
      </c>
      <c r="G420" s="160" t="s">
        <v>1887</v>
      </c>
      <c r="H420" s="329">
        <f>_xlfn.XLOOKUP(K420,F$122:F$129,L$122:L$129)</f>
        <v>44960</v>
      </c>
      <c r="I420" s="160" t="s">
        <v>1911</v>
      </c>
      <c r="J420" s="160">
        <v>16</v>
      </c>
      <c r="K420" s="160">
        <f t="shared" si="169"/>
        <v>2</v>
      </c>
      <c r="S420" s="353" t="str">
        <f>"INSERT INTO "&amp;$E$410&amp;"("&amp;$F$410&amp;", "&amp;$G$410&amp;", "&amp;$H$410&amp;", "&amp;$I$410&amp;", "&amp;$J$410&amp;", "&amp;$K$410&amp;") VALUES ("&amp;F420&amp;", "&amp;G420&amp;", "&amp;H420&amp;", "&amp;I420&amp;", "&amp;J420&amp;", "&amp;K420&amp;");"</f>
        <v>INSERT INTO COUTS(idCout, catCout, dateCout, descriptionCout, montantCout, idProjet) VALUES (5, Divers, 44960, Mug (Mug kdo client flockage SD), 16, 2);</v>
      </c>
    </row>
    <row r="421" spans="6:19" outlineLevel="1" x14ac:dyDescent="0.3">
      <c r="F421" s="160">
        <v>1</v>
      </c>
      <c r="G421" s="160" t="s">
        <v>182</v>
      </c>
      <c r="H421" s="329">
        <f>_xlfn.XLOOKUP(K421,F$122:F$129,J$122:J$129)</f>
        <v>44963</v>
      </c>
      <c r="I421" s="160" t="s">
        <v>1907</v>
      </c>
      <c r="J421" s="160">
        <f>140*28</f>
        <v>3920</v>
      </c>
      <c r="K421" s="160">
        <f>K420+1</f>
        <v>3</v>
      </c>
      <c r="S421" s="353" t="str">
        <f t="shared" ref="S421:S424" si="170">"INSERT INTO "&amp;$E$410&amp;"("&amp;$F$410&amp;", "&amp;$G$410&amp;", "&amp;$H$410&amp;", "&amp;$I$410&amp;", "&amp;$J$410&amp;", "&amp;$K$410&amp;") VALUES ("&amp;F421&amp;", "&amp;G421&amp;", "&amp;H421&amp;", "&amp;I421&amp;", "&amp;J421&amp;", "&amp;K421&amp;");"</f>
        <v>INSERT INTO COUTS(idCout, catCout, dateCout, descriptionCout, montantCout, idProjet) VALUES (1, RH, 44963, salaires, 3920, 3);</v>
      </c>
    </row>
    <row r="422" spans="6:19" outlineLevel="1" x14ac:dyDescent="0.3">
      <c r="F422" s="160">
        <f>F421+1</f>
        <v>2</v>
      </c>
      <c r="G422" s="160" t="s">
        <v>1904</v>
      </c>
      <c r="H422" s="329">
        <f t="shared" ref="H422:H423" si="171">_xlfn.XLOOKUP(K422,F$122:F$129,J$122:J$129)</f>
        <v>44963</v>
      </c>
      <c r="I422" s="160" t="s">
        <v>1908</v>
      </c>
      <c r="J422" s="160">
        <v>123</v>
      </c>
      <c r="K422" s="160">
        <f>K421</f>
        <v>3</v>
      </c>
      <c r="S422" s="353" t="str">
        <f t="shared" si="170"/>
        <v>INSERT INTO COUTS(idCout, catCout, dateCout, descriptionCout, montantCout, idProjet) VALUES (2, Materiaux, 44963, planches + colles+ agraffes + vissseries + consommables, 123, 3);</v>
      </c>
    </row>
    <row r="423" spans="6:19" outlineLevel="1" x14ac:dyDescent="0.3">
      <c r="F423" s="160">
        <f t="shared" ref="F423:F425" si="172">F422+1</f>
        <v>3</v>
      </c>
      <c r="G423" s="160" t="s">
        <v>1905</v>
      </c>
      <c r="H423" s="329">
        <f t="shared" si="171"/>
        <v>44963</v>
      </c>
      <c r="I423" s="160" t="s">
        <v>1909</v>
      </c>
      <c r="J423" s="160">
        <f>(300*12)/360*38</f>
        <v>380</v>
      </c>
      <c r="K423" s="160">
        <f t="shared" ref="K423:K425" si="173">K422</f>
        <v>3</v>
      </c>
      <c r="S423" s="353" t="str">
        <f t="shared" si="170"/>
        <v>INSERT INTO COUTS(idCout, catCout, dateCout, descriptionCout, montantCout, idProjet) VALUES (3, Charges, 44963, electricité, 380, 3);</v>
      </c>
    </row>
    <row r="424" spans="6:19" outlineLevel="1" x14ac:dyDescent="0.3">
      <c r="F424" s="160">
        <f t="shared" si="172"/>
        <v>4</v>
      </c>
      <c r="G424" s="160" t="s">
        <v>1906</v>
      </c>
      <c r="H424" s="329">
        <f>_xlfn.XLOOKUP(K424,F$122:F$129,J$122:J$129)</f>
        <v>44963</v>
      </c>
      <c r="I424" s="160" t="s">
        <v>1910</v>
      </c>
      <c r="J424" s="160">
        <f>ROUNDUP(33*7/100*2,0)</f>
        <v>5</v>
      </c>
      <c r="K424" s="160">
        <f t="shared" si="173"/>
        <v>3</v>
      </c>
      <c r="S424" s="353" t="str">
        <f t="shared" si="170"/>
        <v>INSERT INTO COUTS(idCout, catCout, dateCout, descriptionCout, montantCout, idProjet) VALUES (4, Frais, 44963, déplacement 33km (7L/100km), 5, 3);</v>
      </c>
    </row>
    <row r="425" spans="6:19" x14ac:dyDescent="0.3">
      <c r="F425" s="160">
        <f t="shared" si="172"/>
        <v>5</v>
      </c>
      <c r="G425" s="160" t="s">
        <v>1887</v>
      </c>
      <c r="H425" s="329">
        <f>_xlfn.XLOOKUP(K425,F$122:F$129,L$122:L$129)</f>
        <v>44981</v>
      </c>
      <c r="I425" s="160" t="s">
        <v>1911</v>
      </c>
      <c r="J425" s="160">
        <v>16</v>
      </c>
      <c r="K425" s="160">
        <f t="shared" si="173"/>
        <v>3</v>
      </c>
      <c r="S425" s="353" t="str">
        <f>"INSERT INTO "&amp;$E$410&amp;"("&amp;$F$410&amp;", "&amp;$G$410&amp;", "&amp;$H$410&amp;", "&amp;$I$410&amp;", "&amp;$J$410&amp;", "&amp;$K$410&amp;") VALUES ("&amp;F425&amp;", "&amp;G425&amp;", "&amp;H425&amp;", "&amp;I425&amp;", "&amp;J425&amp;", "&amp;K425&amp;");"</f>
        <v>INSERT INTO COUTS(idCout, catCout, dateCout, descriptionCout, montantCout, idProjet) VALUES (5, Divers, 44981, Mug (Mug kdo client flockage SD), 16, 3);</v>
      </c>
    </row>
    <row r="426" spans="6:19" outlineLevel="1" x14ac:dyDescent="0.3">
      <c r="F426" s="160">
        <v>1</v>
      </c>
      <c r="G426" s="160" t="s">
        <v>182</v>
      </c>
      <c r="H426" s="329">
        <f>_xlfn.XLOOKUP(K426,F$122:F$129,J$122:J$129)</f>
        <v>44984</v>
      </c>
      <c r="I426" s="160" t="s">
        <v>1907</v>
      </c>
      <c r="J426" s="160">
        <f>140*28</f>
        <v>3920</v>
      </c>
      <c r="K426" s="160">
        <f>K425+1</f>
        <v>4</v>
      </c>
      <c r="S426" s="353" t="str">
        <f t="shared" ref="S426:S429" si="174">"INSERT INTO "&amp;$E$410&amp;"("&amp;$F$410&amp;", "&amp;$G$410&amp;", "&amp;$H$410&amp;", "&amp;$I$410&amp;", "&amp;$J$410&amp;", "&amp;$K$410&amp;") VALUES ("&amp;F426&amp;", "&amp;G426&amp;", "&amp;H426&amp;", "&amp;I426&amp;", "&amp;J426&amp;", "&amp;K426&amp;");"</f>
        <v>INSERT INTO COUTS(idCout, catCout, dateCout, descriptionCout, montantCout, idProjet) VALUES (1, RH, 44984, salaires, 3920, 4);</v>
      </c>
    </row>
    <row r="427" spans="6:19" outlineLevel="1" x14ac:dyDescent="0.3">
      <c r="F427" s="160">
        <f>F426+1</f>
        <v>2</v>
      </c>
      <c r="G427" s="160" t="s">
        <v>1904</v>
      </c>
      <c r="H427" s="329">
        <f t="shared" ref="H427:H428" si="175">_xlfn.XLOOKUP(K427,F$122:F$129,J$122:J$129)</f>
        <v>44984</v>
      </c>
      <c r="I427" s="160" t="s">
        <v>1908</v>
      </c>
      <c r="J427" s="160">
        <v>123</v>
      </c>
      <c r="K427" s="160">
        <f>K426</f>
        <v>4</v>
      </c>
      <c r="S427" s="353" t="str">
        <f t="shared" si="174"/>
        <v>INSERT INTO COUTS(idCout, catCout, dateCout, descriptionCout, montantCout, idProjet) VALUES (2, Materiaux, 44984, planches + colles+ agraffes + vissseries + consommables, 123, 4);</v>
      </c>
    </row>
    <row r="428" spans="6:19" outlineLevel="1" x14ac:dyDescent="0.3">
      <c r="F428" s="160">
        <f t="shared" ref="F428:F430" si="176">F427+1</f>
        <v>3</v>
      </c>
      <c r="G428" s="160" t="s">
        <v>1905</v>
      </c>
      <c r="H428" s="329">
        <f t="shared" si="175"/>
        <v>44984</v>
      </c>
      <c r="I428" s="160" t="s">
        <v>1909</v>
      </c>
      <c r="J428" s="160">
        <f>(300*12)/360*38</f>
        <v>380</v>
      </c>
      <c r="K428" s="160">
        <f t="shared" ref="K428:K430" si="177">K427</f>
        <v>4</v>
      </c>
      <c r="S428" s="353" t="str">
        <f t="shared" si="174"/>
        <v>INSERT INTO COUTS(idCout, catCout, dateCout, descriptionCout, montantCout, idProjet) VALUES (3, Charges, 44984, electricité, 380, 4);</v>
      </c>
    </row>
    <row r="429" spans="6:19" outlineLevel="1" x14ac:dyDescent="0.3">
      <c r="F429" s="160">
        <f t="shared" si="176"/>
        <v>4</v>
      </c>
      <c r="G429" s="160" t="s">
        <v>1906</v>
      </c>
      <c r="H429" s="329">
        <f>_xlfn.XLOOKUP(K429,F$122:F$129,J$122:J$129)</f>
        <v>44984</v>
      </c>
      <c r="I429" s="160" t="s">
        <v>1910</v>
      </c>
      <c r="J429" s="160">
        <f>ROUNDUP(33*7/100*2,0)</f>
        <v>5</v>
      </c>
      <c r="K429" s="160">
        <f t="shared" si="177"/>
        <v>4</v>
      </c>
      <c r="S429" s="353" t="str">
        <f t="shared" si="174"/>
        <v>INSERT INTO COUTS(idCout, catCout, dateCout, descriptionCout, montantCout, idProjet) VALUES (4, Frais, 44984, déplacement 33km (7L/100km), 5, 4);</v>
      </c>
    </row>
    <row r="430" spans="6:19" x14ac:dyDescent="0.3">
      <c r="F430" s="160">
        <f t="shared" si="176"/>
        <v>5</v>
      </c>
      <c r="G430" s="160" t="s">
        <v>1887</v>
      </c>
      <c r="H430" s="329">
        <f>_xlfn.XLOOKUP(K430,F$122:F$129,L$122:L$129)</f>
        <v>44995</v>
      </c>
      <c r="I430" s="160" t="s">
        <v>1911</v>
      </c>
      <c r="J430" s="160">
        <v>16</v>
      </c>
      <c r="K430" s="160">
        <f t="shared" si="177"/>
        <v>4</v>
      </c>
      <c r="S430" s="353" t="str">
        <f>"INSERT INTO "&amp;$E$410&amp;"("&amp;$F$410&amp;", "&amp;$G$410&amp;", "&amp;$H$410&amp;", "&amp;$I$410&amp;", "&amp;$J$410&amp;", "&amp;$K$410&amp;") VALUES ("&amp;F430&amp;", "&amp;G430&amp;", "&amp;H430&amp;", "&amp;I430&amp;", "&amp;J430&amp;", "&amp;K430&amp;");"</f>
        <v>INSERT INTO COUTS(idCout, catCout, dateCout, descriptionCout, montantCout, idProjet) VALUES (5, Divers, 44995, Mug (Mug kdo client flockage SD), 16, 4);</v>
      </c>
    </row>
    <row r="431" spans="6:19" outlineLevel="1" x14ac:dyDescent="0.3">
      <c r="F431" s="160">
        <v>1</v>
      </c>
      <c r="G431" s="160" t="s">
        <v>182</v>
      </c>
      <c r="H431" s="329">
        <f>_xlfn.XLOOKUP(K431,F$122:F$129,J$122:J$129)</f>
        <v>44998</v>
      </c>
      <c r="I431" s="160" t="s">
        <v>1907</v>
      </c>
      <c r="J431" s="160">
        <f>140*28</f>
        <v>3920</v>
      </c>
      <c r="K431" s="160">
        <f>K430+1</f>
        <v>5</v>
      </c>
      <c r="S431" s="353" t="str">
        <f t="shared" ref="S431:S434" si="178">"INSERT INTO "&amp;$E$410&amp;"("&amp;$F$410&amp;", "&amp;$G$410&amp;", "&amp;$H$410&amp;", "&amp;$I$410&amp;", "&amp;$J$410&amp;", "&amp;$K$410&amp;") VALUES ("&amp;F431&amp;", "&amp;G431&amp;", "&amp;H431&amp;", "&amp;I431&amp;", "&amp;J431&amp;", "&amp;K431&amp;");"</f>
        <v>INSERT INTO COUTS(idCout, catCout, dateCout, descriptionCout, montantCout, idProjet) VALUES (1, RH, 44998, salaires, 3920, 5);</v>
      </c>
    </row>
    <row r="432" spans="6:19" outlineLevel="1" x14ac:dyDescent="0.3">
      <c r="F432" s="160">
        <f>F431+1</f>
        <v>2</v>
      </c>
      <c r="G432" s="160" t="s">
        <v>1904</v>
      </c>
      <c r="H432" s="329">
        <f t="shared" ref="H432:H433" si="179">_xlfn.XLOOKUP(K432,F$122:F$129,J$122:J$129)</f>
        <v>44998</v>
      </c>
      <c r="I432" s="160" t="s">
        <v>1908</v>
      </c>
      <c r="J432" s="160">
        <v>123</v>
      </c>
      <c r="K432" s="160">
        <f>K431</f>
        <v>5</v>
      </c>
      <c r="S432" s="353" t="str">
        <f t="shared" si="178"/>
        <v>INSERT INTO COUTS(idCout, catCout, dateCout, descriptionCout, montantCout, idProjet) VALUES (2, Materiaux, 44998, planches + colles+ agraffes + vissseries + consommables, 123, 5);</v>
      </c>
    </row>
    <row r="433" spans="6:19" outlineLevel="1" x14ac:dyDescent="0.3">
      <c r="F433" s="160">
        <f t="shared" ref="F433:F435" si="180">F432+1</f>
        <v>3</v>
      </c>
      <c r="G433" s="160" t="s">
        <v>1905</v>
      </c>
      <c r="H433" s="329">
        <f t="shared" si="179"/>
        <v>44998</v>
      </c>
      <c r="I433" s="160" t="s">
        <v>1909</v>
      </c>
      <c r="J433" s="160">
        <f>(300*12)/360*38</f>
        <v>380</v>
      </c>
      <c r="K433" s="160">
        <f t="shared" ref="K433:K435" si="181">K432</f>
        <v>5</v>
      </c>
      <c r="S433" s="353" t="str">
        <f t="shared" si="178"/>
        <v>INSERT INTO COUTS(idCout, catCout, dateCout, descriptionCout, montantCout, idProjet) VALUES (3, Charges, 44998, electricité, 380, 5);</v>
      </c>
    </row>
    <row r="434" spans="6:19" outlineLevel="1" x14ac:dyDescent="0.3">
      <c r="F434" s="160">
        <f t="shared" si="180"/>
        <v>4</v>
      </c>
      <c r="G434" s="160" t="s">
        <v>1906</v>
      </c>
      <c r="H434" s="329">
        <f>_xlfn.XLOOKUP(K434,F$122:F$129,J$122:J$129)</f>
        <v>44998</v>
      </c>
      <c r="I434" s="160" t="s">
        <v>1910</v>
      </c>
      <c r="J434" s="160">
        <f>ROUNDUP(33*7/100*2,0)</f>
        <v>5</v>
      </c>
      <c r="K434" s="160">
        <f t="shared" si="181"/>
        <v>5</v>
      </c>
      <c r="S434" s="353" t="str">
        <f t="shared" si="178"/>
        <v>INSERT INTO COUTS(idCout, catCout, dateCout, descriptionCout, montantCout, idProjet) VALUES (4, Frais, 44998, déplacement 33km (7L/100km), 5, 5);</v>
      </c>
    </row>
    <row r="435" spans="6:19" x14ac:dyDescent="0.3">
      <c r="F435" s="160">
        <f t="shared" si="180"/>
        <v>5</v>
      </c>
      <c r="G435" s="160" t="s">
        <v>1887</v>
      </c>
      <c r="H435" s="329">
        <f>_xlfn.XLOOKUP(K435,F$122:F$129,L$122:L$129)</f>
        <v>45020</v>
      </c>
      <c r="I435" s="160" t="s">
        <v>1911</v>
      </c>
      <c r="J435" s="160">
        <v>16</v>
      </c>
      <c r="K435" s="160">
        <f t="shared" si="181"/>
        <v>5</v>
      </c>
      <c r="S435" s="353" t="str">
        <f>"INSERT INTO "&amp;$E$410&amp;"("&amp;$F$410&amp;", "&amp;$G$410&amp;", "&amp;$H$410&amp;", "&amp;$I$410&amp;", "&amp;$J$410&amp;", "&amp;$K$410&amp;") VALUES ("&amp;F435&amp;", "&amp;G435&amp;", "&amp;H435&amp;", "&amp;I435&amp;", "&amp;J435&amp;", "&amp;K435&amp;");"</f>
        <v>INSERT INTO COUTS(idCout, catCout, dateCout, descriptionCout, montantCout, idProjet) VALUES (5, Divers, 45020, Mug (Mug kdo client flockage SD), 16, 5);</v>
      </c>
    </row>
    <row r="436" spans="6:19" outlineLevel="1" x14ac:dyDescent="0.3">
      <c r="F436" s="160">
        <v>1</v>
      </c>
      <c r="G436" s="160" t="s">
        <v>182</v>
      </c>
      <c r="H436" s="329">
        <f>_xlfn.XLOOKUP(K436,F$122:F$129,J$122:J$129)</f>
        <v>45019</v>
      </c>
      <c r="I436" s="160" t="s">
        <v>1907</v>
      </c>
      <c r="J436" s="160">
        <f>140*28</f>
        <v>3920</v>
      </c>
      <c r="K436" s="160">
        <f>K435+1</f>
        <v>6</v>
      </c>
      <c r="S436" s="353" t="str">
        <f t="shared" ref="S436:S439" si="182">"INSERT INTO "&amp;$E$410&amp;"("&amp;$F$410&amp;", "&amp;$G$410&amp;", "&amp;$H$410&amp;", "&amp;$I$410&amp;", "&amp;$J$410&amp;", "&amp;$K$410&amp;") VALUES ("&amp;F436&amp;", "&amp;G436&amp;", "&amp;H436&amp;", "&amp;I436&amp;", "&amp;J436&amp;", "&amp;K436&amp;");"</f>
        <v>INSERT INTO COUTS(idCout, catCout, dateCout, descriptionCout, montantCout, idProjet) VALUES (1, RH, 45019, salaires, 3920, 6);</v>
      </c>
    </row>
    <row r="437" spans="6:19" outlineLevel="1" x14ac:dyDescent="0.3">
      <c r="F437" s="160">
        <f>F436+1</f>
        <v>2</v>
      </c>
      <c r="G437" s="160" t="s">
        <v>1904</v>
      </c>
      <c r="H437" s="329">
        <f t="shared" ref="H437:H438" si="183">_xlfn.XLOOKUP(K437,F$122:F$129,J$122:J$129)</f>
        <v>45019</v>
      </c>
      <c r="I437" s="160" t="s">
        <v>1908</v>
      </c>
      <c r="J437" s="160">
        <v>123</v>
      </c>
      <c r="K437" s="160">
        <f>K436</f>
        <v>6</v>
      </c>
      <c r="S437" s="353" t="str">
        <f t="shared" si="182"/>
        <v>INSERT INTO COUTS(idCout, catCout, dateCout, descriptionCout, montantCout, idProjet) VALUES (2, Materiaux, 45019, planches + colles+ agraffes + vissseries + consommables, 123, 6);</v>
      </c>
    </row>
    <row r="438" spans="6:19" outlineLevel="1" x14ac:dyDescent="0.3">
      <c r="F438" s="160">
        <f t="shared" ref="F438:F439" si="184">F437+1</f>
        <v>3</v>
      </c>
      <c r="G438" s="160" t="s">
        <v>1905</v>
      </c>
      <c r="H438" s="329">
        <f t="shared" si="183"/>
        <v>45019</v>
      </c>
      <c r="I438" s="160" t="s">
        <v>1909</v>
      </c>
      <c r="J438" s="160">
        <f>(300*12)/360*38</f>
        <v>380</v>
      </c>
      <c r="K438" s="160">
        <f t="shared" ref="K438:K439" si="185">K437</f>
        <v>6</v>
      </c>
      <c r="S438" s="353" t="str">
        <f t="shared" si="182"/>
        <v>INSERT INTO COUTS(idCout, catCout, dateCout, descriptionCout, montantCout, idProjet) VALUES (3, Charges, 45019, electricité, 380, 6);</v>
      </c>
    </row>
    <row r="439" spans="6:19" outlineLevel="1" x14ac:dyDescent="0.3">
      <c r="F439" s="160">
        <f t="shared" si="184"/>
        <v>4</v>
      </c>
      <c r="G439" s="160" t="s">
        <v>1906</v>
      </c>
      <c r="H439" s="329">
        <f>_xlfn.XLOOKUP(K439,F$122:F$129,J$122:J$129)</f>
        <v>45019</v>
      </c>
      <c r="I439" s="160" t="s">
        <v>1910</v>
      </c>
      <c r="J439" s="160">
        <f>ROUNDUP(33*7/100*2,0)</f>
        <v>5</v>
      </c>
      <c r="K439" s="160">
        <f t="shared" si="185"/>
        <v>6</v>
      </c>
      <c r="S439" s="353" t="str">
        <f t="shared" si="182"/>
        <v>INSERT INTO COUTS(idCout, catCout, dateCout, descriptionCout, montantCout, idProjet) VALUES (4, Frais, 45019, déplacement 33km (7L/100km), 5, 6);</v>
      </c>
    </row>
    <row r="440" spans="6:19" outlineLevel="1" x14ac:dyDescent="0.3">
      <c r="F440" s="160">
        <v>1</v>
      </c>
      <c r="G440" s="160" t="s">
        <v>182</v>
      </c>
      <c r="H440" s="329">
        <f>_xlfn.XLOOKUP(K440,F$122:F$129,L$122:L$129)</f>
        <v>0</v>
      </c>
      <c r="I440" s="160" t="s">
        <v>1907</v>
      </c>
      <c r="J440" s="160">
        <f>140*28</f>
        <v>3920</v>
      </c>
      <c r="K440" s="160">
        <f>K439+1</f>
        <v>7</v>
      </c>
      <c r="S440" s="353" t="str">
        <f t="shared" ref="S440:S443" si="186">"INSERT INTO "&amp;$E$410&amp;"("&amp;$F$410&amp;", "&amp;$G$410&amp;", "&amp;$H$410&amp;", "&amp;$I$410&amp;", "&amp;$J$410&amp;", "&amp;$K$410&amp;") VALUES ("&amp;F440&amp;", "&amp;G440&amp;", "&amp;H440&amp;", "&amp;I440&amp;", "&amp;J440&amp;", "&amp;K440&amp;");"</f>
        <v>INSERT INTO COUTS(idCout, catCout, dateCout, descriptionCout, montantCout, idProjet) VALUES (1, RH, 0, salaires, 3920, 7);</v>
      </c>
    </row>
    <row r="441" spans="6:19" outlineLevel="1" x14ac:dyDescent="0.3">
      <c r="F441" s="160">
        <f>F440+1</f>
        <v>2</v>
      </c>
      <c r="G441" s="160" t="s">
        <v>1904</v>
      </c>
      <c r="H441" s="329">
        <f>_xlfn.XLOOKUP(K441,F$122:F$129,J$122:J$129)</f>
        <v>45048</v>
      </c>
      <c r="I441" s="160" t="s">
        <v>1908</v>
      </c>
      <c r="J441" s="160">
        <v>123</v>
      </c>
      <c r="K441" s="160">
        <f>K440</f>
        <v>7</v>
      </c>
      <c r="S441" s="353" t="str">
        <f t="shared" si="186"/>
        <v>INSERT INTO COUTS(idCout, catCout, dateCout, descriptionCout, montantCout, idProjet) VALUES (2, Materiaux, 45048, planches + colles+ agraffes + vissseries + consommables, 123, 7);</v>
      </c>
    </row>
    <row r="442" spans="6:19" outlineLevel="1" x14ac:dyDescent="0.3">
      <c r="F442" s="160">
        <f t="shared" ref="F442:F443" si="187">F441+1</f>
        <v>3</v>
      </c>
      <c r="G442" s="160" t="s">
        <v>1905</v>
      </c>
      <c r="H442" s="329">
        <f t="shared" ref="H442" si="188">_xlfn.XLOOKUP(K442,F$122:F$129,J$122:J$129)</f>
        <v>45048</v>
      </c>
      <c r="I442" s="160" t="s">
        <v>1909</v>
      </c>
      <c r="J442" s="160">
        <f>(300*12)/360*38</f>
        <v>380</v>
      </c>
      <c r="K442" s="160">
        <f t="shared" ref="K442:K443" si="189">K441</f>
        <v>7</v>
      </c>
      <c r="S442" s="353" t="str">
        <f t="shared" si="186"/>
        <v>INSERT INTO COUTS(idCout, catCout, dateCout, descriptionCout, montantCout, idProjet) VALUES (3, Charges, 45048, electricité, 380, 7);</v>
      </c>
    </row>
    <row r="443" spans="6:19" outlineLevel="1" x14ac:dyDescent="0.3">
      <c r="F443" s="160">
        <f t="shared" si="187"/>
        <v>4</v>
      </c>
      <c r="G443" s="160" t="s">
        <v>1906</v>
      </c>
      <c r="H443" s="329">
        <f>_xlfn.XLOOKUP(K443,F$122:F$129,J$122:J$129)</f>
        <v>45048</v>
      </c>
      <c r="I443" s="160" t="s">
        <v>1910</v>
      </c>
      <c r="J443" s="160">
        <f>ROUNDUP(33*7/100*2,0)</f>
        <v>5</v>
      </c>
      <c r="K443" s="160">
        <f t="shared" si="189"/>
        <v>7</v>
      </c>
      <c r="S443" s="353" t="str">
        <f t="shared" si="186"/>
        <v>INSERT INTO COUTS(idCout, catCout, dateCout, descriptionCout, montantCout, idProjet) VALUES (4, Frais, 45048, déplacement 33km (7L/100km), 5, 7);</v>
      </c>
    </row>
    <row r="497" ht="58.7" customHeight="1" x14ac:dyDescent="0.3"/>
    <row r="498" ht="58.7" customHeight="1" x14ac:dyDescent="0.3"/>
    <row r="499" ht="58.7" customHeight="1" x14ac:dyDescent="0.3"/>
    <row r="500" ht="58.7" customHeight="1" x14ac:dyDescent="0.3"/>
    <row r="501" ht="58.7" customHeight="1" x14ac:dyDescent="0.3"/>
    <row r="502" ht="58.7" customHeight="1" x14ac:dyDescent="0.3"/>
  </sheetData>
  <mergeCells count="3">
    <mergeCell ref="H64:I64"/>
    <mergeCell ref="H65:I65"/>
    <mergeCell ref="H63:I63"/>
  </mergeCells>
  <phoneticPr fontId="33" type="noConversion"/>
  <printOptions horizontalCentered="1"/>
  <pageMargins left="0" right="0" top="0.59055118110236227" bottom="0" header="0.31496062992125984" footer="0.31496062992125984"/>
  <pageSetup paperSize="9" scale="60"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6D503-3843-4352-BDE0-2E4A94677CF0}">
  <sheetPr>
    <pageSetUpPr fitToPage="1"/>
  </sheetPr>
  <dimension ref="D2:CO497"/>
  <sheetViews>
    <sheetView tabSelected="1" topLeftCell="Z19" zoomScale="50" zoomScaleNormal="50" workbookViewId="0">
      <selection activeCell="CC20" sqref="CC20"/>
    </sheetView>
  </sheetViews>
  <sheetFormatPr baseColWidth="10" defaultColWidth="11.44140625" defaultRowHeight="14.4" outlineLevelRow="1" x14ac:dyDescent="0.3"/>
  <cols>
    <col min="1" max="4" width="3" style="160" customWidth="1"/>
    <col min="5" max="5" width="24.33203125" style="160" customWidth="1"/>
    <col min="6" max="6" width="20.5546875" style="160" customWidth="1"/>
    <col min="7" max="7" width="50.109375" style="160" customWidth="1"/>
    <col min="8" max="8" width="75.44140625" style="160" customWidth="1"/>
    <col min="9" max="9" width="91.33203125" style="160" customWidth="1"/>
    <col min="10" max="10" width="53.6640625" style="160" customWidth="1"/>
    <col min="11" max="11" width="49.44140625" style="160" customWidth="1"/>
    <col min="12" max="12" width="142.109375" style="160" customWidth="1"/>
    <col min="13" max="13" width="29" style="160" customWidth="1"/>
    <col min="14" max="14" width="40.5546875" style="160" customWidth="1"/>
    <col min="15" max="17" width="28.33203125" style="160" customWidth="1"/>
    <col min="18" max="18" width="24.109375" style="160" customWidth="1"/>
    <col min="19" max="19" width="27" style="160" customWidth="1"/>
    <col min="20" max="20" width="21.6640625" style="160" customWidth="1"/>
    <col min="21" max="21" width="18.77734375" style="160" customWidth="1"/>
    <col min="22" max="30" width="11.44140625" style="160"/>
    <col min="31" max="31" width="14.5546875" style="160" bestFit="1" customWidth="1"/>
    <col min="32" max="32" width="11.44140625" style="160"/>
    <col min="33" max="33" width="11.6640625" style="160" bestFit="1" customWidth="1"/>
    <col min="34" max="34" width="11.44140625" style="160"/>
    <col min="35" max="35" width="11.77734375" style="160" bestFit="1" customWidth="1"/>
    <col min="36" max="38" width="11.44140625" style="160"/>
    <col min="39" max="39" width="18.88671875" style="160" bestFit="1" customWidth="1"/>
    <col min="40" max="42" width="11.44140625" style="160"/>
    <col min="43" max="43" width="17.88671875" style="160" customWidth="1"/>
    <col min="44" max="44" width="11.44140625" style="160"/>
    <col min="45" max="45" width="11.6640625" style="160" bestFit="1" customWidth="1"/>
    <col min="46" max="52" width="11.44140625" style="160"/>
    <col min="53" max="53" width="11.6640625" style="160" bestFit="1" customWidth="1"/>
    <col min="54" max="54" width="11.44140625" style="160"/>
    <col min="55" max="55" width="11.6640625" style="160" bestFit="1" customWidth="1"/>
    <col min="56" max="56" width="11.44140625" style="160"/>
    <col min="57" max="57" width="13" style="160" bestFit="1" customWidth="1"/>
    <col min="58" max="58" width="11.44140625" style="160"/>
    <col min="59" max="59" width="15.88671875" style="160" customWidth="1"/>
    <col min="60" max="60" width="11.44140625" style="160"/>
    <col min="61" max="61" width="14.5546875" style="160" customWidth="1"/>
    <col min="62" max="62" width="11.44140625" style="160"/>
    <col min="63" max="63" width="25.77734375" style="160" customWidth="1"/>
    <col min="64" max="64" width="11.44140625" style="160"/>
    <col min="65" max="65" width="11.77734375" style="160" bestFit="1" customWidth="1"/>
    <col min="66" max="66" width="11.44140625" style="160"/>
    <col min="67" max="67" width="11.77734375" style="160" bestFit="1" customWidth="1"/>
    <col min="68" max="68" width="11.44140625" style="160"/>
    <col min="69" max="69" width="11.77734375" style="160" bestFit="1" customWidth="1"/>
    <col min="70" max="72" width="11.44140625" style="160"/>
    <col min="73" max="73" width="20.5546875" style="160" bestFit="1" customWidth="1"/>
    <col min="74" max="74" width="11.44140625" style="160"/>
    <col min="75" max="75" width="11.6640625" style="160" bestFit="1" customWidth="1"/>
    <col min="76" max="16384" width="11.44140625" style="160"/>
  </cols>
  <sheetData>
    <row r="2" spans="5:74" ht="28.05" customHeight="1" thickBot="1" x14ac:dyDescent="0.35">
      <c r="AF2" s="360" t="s">
        <v>2020</v>
      </c>
    </row>
    <row r="3" spans="5:74" ht="30.05" customHeight="1" thickBot="1" x14ac:dyDescent="0.35">
      <c r="E3" s="160" t="s">
        <v>371</v>
      </c>
      <c r="F3" s="370" t="s">
        <v>196</v>
      </c>
      <c r="G3" s="263" t="s">
        <v>271</v>
      </c>
      <c r="H3" s="263" t="s">
        <v>272</v>
      </c>
      <c r="I3" s="171" t="s">
        <v>79</v>
      </c>
      <c r="J3" s="254" t="s">
        <v>80</v>
      </c>
      <c r="K3" s="254" t="s">
        <v>2613</v>
      </c>
      <c r="L3" s="263" t="s">
        <v>283</v>
      </c>
      <c r="M3" s="263" t="s">
        <v>240</v>
      </c>
      <c r="N3" s="263" t="s">
        <v>274</v>
      </c>
      <c r="O3" s="263" t="s">
        <v>284</v>
      </c>
      <c r="P3" s="267"/>
      <c r="T3" s="160" t="s">
        <v>1922</v>
      </c>
      <c r="U3" s="160" t="str">
        <f>E3</f>
        <v>UTILISATEURS</v>
      </c>
      <c r="V3" s="160" t="s">
        <v>2088</v>
      </c>
      <c r="W3" s="263" t="s">
        <v>271</v>
      </c>
      <c r="X3" s="360" t="s">
        <v>2020</v>
      </c>
      <c r="Y3" s="263" t="s">
        <v>272</v>
      </c>
      <c r="Z3" s="360" t="s">
        <v>2020</v>
      </c>
      <c r="AA3" s="171" t="s">
        <v>79</v>
      </c>
      <c r="AB3" s="360" t="s">
        <v>2020</v>
      </c>
      <c r="AC3" s="254" t="s">
        <v>80</v>
      </c>
      <c r="AD3" s="360" t="s">
        <v>2020</v>
      </c>
      <c r="AE3" s="254" t="s">
        <v>2613</v>
      </c>
      <c r="AF3" s="360" t="s">
        <v>2020</v>
      </c>
      <c r="AG3" s="263" t="s">
        <v>283</v>
      </c>
      <c r="AH3" s="360" t="s">
        <v>2020</v>
      </c>
      <c r="AI3" s="263" t="s">
        <v>240</v>
      </c>
      <c r="AJ3" s="360" t="s">
        <v>2020</v>
      </c>
      <c r="AK3" s="263" t="s">
        <v>274</v>
      </c>
      <c r="AL3" s="360" t="s">
        <v>2020</v>
      </c>
      <c r="AM3" s="263" t="s">
        <v>284</v>
      </c>
      <c r="AN3" s="360"/>
      <c r="AO3" s="267"/>
      <c r="AP3" s="360" t="s">
        <v>2089</v>
      </c>
      <c r="AQ3" s="160" t="str">
        <f>G4</f>
        <v>Edgar</v>
      </c>
      <c r="AR3" s="360" t="s">
        <v>2091</v>
      </c>
      <c r="AS3" s="160" t="str">
        <f>H4</f>
        <v>ATOI</v>
      </c>
      <c r="AT3" s="360" t="s">
        <v>2091</v>
      </c>
      <c r="AU3" s="160" t="str">
        <f>I4</f>
        <v>Edg</v>
      </c>
      <c r="AV3" s="360" t="s">
        <v>2091</v>
      </c>
      <c r="AW3" s="160" t="str">
        <f>J4</f>
        <v>pass1</v>
      </c>
      <c r="AX3" s="360" t="s">
        <v>2091</v>
      </c>
      <c r="AY3" s="160" t="str">
        <f>K4</f>
        <v>sel1</v>
      </c>
      <c r="AZ3" s="360" t="s">
        <v>2091</v>
      </c>
      <c r="BA3" s="353" t="str">
        <f>L4</f>
        <v>14 chemin de Lebrun 59000 LILLE</v>
      </c>
      <c r="BB3" s="360" t="s">
        <v>2091</v>
      </c>
      <c r="BC3" s="160" t="str">
        <f>M4</f>
        <v>06.55.44.33.22</v>
      </c>
      <c r="BD3" s="360" t="s">
        <v>2091</v>
      </c>
      <c r="BE3" s="160" t="str">
        <f>N4</f>
        <v>Edgar.ATOI@gmal.com</v>
      </c>
      <c r="BF3" s="360" t="s">
        <v>2093</v>
      </c>
      <c r="BG3" s="160">
        <f>O4</f>
        <v>1</v>
      </c>
      <c r="BH3" s="360"/>
      <c r="BJ3" s="360" t="s">
        <v>2021</v>
      </c>
      <c r="BK3" s="353" t="str">
        <f>T3&amp;U3&amp;V3&amp;W3&amp;X3&amp;Y3&amp;Z3&amp;AA3&amp;AB3&amp;AC3&amp;AD3&amp;AE3&amp;AF3&amp;AG3&amp;AH3&amp;AI3&amp;AJ3&amp;AK3&amp;AL3&amp;AM3&amp;AP3&amp;AQ3&amp;AR3&amp;AS3&amp;AT3&amp;AU3&amp;AV3&amp;AW3&amp;AX3&amp;AY3&amp;AZ3&amp;BA3&amp;BB3&amp;BC3&amp;BD3&amp;BE3&amp;BF3&amp;BG3&amp;BJ3</f>
        <v>INSERT INTO UTILISATEURS(firstname,name,login,psw,sel,adress,tel,mail,isActivate) VALUES ('Edgar','ATOI','Edg','pass1','sel1','14 chemin de Lebrun 59000 LILLE','06.55.44.33.22','Edgar.ATOI@gmal.com',1);</v>
      </c>
      <c r="BL3" s="160" t="s">
        <v>2618</v>
      </c>
      <c r="BV3" s="353" t="s">
        <v>2104</v>
      </c>
    </row>
    <row r="4" spans="5:74" ht="20.05" customHeight="1" thickBot="1" x14ac:dyDescent="0.35">
      <c r="F4" s="160">
        <v>1</v>
      </c>
      <c r="G4" s="160" t="s">
        <v>385</v>
      </c>
      <c r="H4" s="160" t="s">
        <v>387</v>
      </c>
      <c r="I4" s="160" t="str">
        <f>LEFT(G4,3)</f>
        <v>Edg</v>
      </c>
      <c r="J4" s="160" t="s">
        <v>1771</v>
      </c>
      <c r="K4" s="160" t="s">
        <v>2614</v>
      </c>
      <c r="L4" s="160" t="s">
        <v>2353</v>
      </c>
      <c r="M4" s="160" t="s">
        <v>425</v>
      </c>
      <c r="N4" s="160" t="str">
        <f>G4&amp;"."&amp;H4&amp;"@"&amp;"gmal.com"</f>
        <v>Edgar.ATOI@gmal.com</v>
      </c>
      <c r="O4" s="160">
        <v>1</v>
      </c>
      <c r="T4" s="160" t="s">
        <v>1922</v>
      </c>
      <c r="U4" s="160" t="str">
        <f>U3</f>
        <v>UTILISATEURS</v>
      </c>
      <c r="V4" s="160" t="s">
        <v>2088</v>
      </c>
      <c r="W4" s="263" t="str">
        <f>W3</f>
        <v>firstname</v>
      </c>
      <c r="X4" s="360" t="s">
        <v>2020</v>
      </c>
      <c r="Y4" s="263" t="str">
        <f>Y3</f>
        <v>name</v>
      </c>
      <c r="Z4" s="360" t="s">
        <v>2020</v>
      </c>
      <c r="AA4" s="171" t="str">
        <f>AA3</f>
        <v>login</v>
      </c>
      <c r="AB4" s="360" t="s">
        <v>2020</v>
      </c>
      <c r="AC4" s="171" t="str">
        <f>AC3</f>
        <v>psw</v>
      </c>
      <c r="AD4" s="360" t="s">
        <v>2020</v>
      </c>
      <c r="AE4" s="171" t="str">
        <f>AE3</f>
        <v>sel</v>
      </c>
      <c r="AF4" s="360" t="s">
        <v>2020</v>
      </c>
      <c r="AG4" s="263" t="str">
        <f>AG3</f>
        <v>adress</v>
      </c>
      <c r="AH4" s="360" t="s">
        <v>2020</v>
      </c>
      <c r="AI4" s="263" t="str">
        <f>AI3</f>
        <v>tel</v>
      </c>
      <c r="AJ4" s="360" t="s">
        <v>2020</v>
      </c>
      <c r="AK4" s="263" t="str">
        <f>AK3</f>
        <v>mail</v>
      </c>
      <c r="AL4" s="360" t="s">
        <v>2020</v>
      </c>
      <c r="AM4" s="263" t="str">
        <f>AM3</f>
        <v>isActivate</v>
      </c>
      <c r="AN4" s="360"/>
      <c r="AO4" s="267"/>
      <c r="AP4" s="360" t="s">
        <v>2089</v>
      </c>
      <c r="AQ4" s="160" t="str">
        <f t="shared" ref="AQ4:AQ6" si="0">G5</f>
        <v>Edith</v>
      </c>
      <c r="AR4" s="360" t="s">
        <v>2091</v>
      </c>
      <c r="AS4" s="160" t="str">
        <f t="shared" ref="AS4:AS6" si="1">H5</f>
        <v>KELHEURETIL</v>
      </c>
      <c r="AT4" s="360" t="s">
        <v>2091</v>
      </c>
      <c r="AU4" s="160" t="str">
        <f t="shared" ref="AU4:AU6" si="2">I5</f>
        <v>Edi</v>
      </c>
      <c r="AV4" s="360" t="s">
        <v>2091</v>
      </c>
      <c r="AW4" s="160" t="str">
        <f t="shared" ref="AW4:AW6" si="3">J5</f>
        <v>pass2</v>
      </c>
      <c r="AX4" s="360" t="s">
        <v>2091</v>
      </c>
      <c r="AY4" s="160" t="str">
        <f t="shared" ref="AY4:AY6" si="4">K5</f>
        <v>sel2</v>
      </c>
      <c r="AZ4" s="360" t="s">
        <v>2091</v>
      </c>
      <c r="BA4" s="353" t="str">
        <f t="shared" ref="BA4:BA6" si="5">L5</f>
        <v>145 rue La Fayette 59000 LILLE</v>
      </c>
      <c r="BB4" s="360" t="s">
        <v>2091</v>
      </c>
      <c r="BC4" s="160" t="str">
        <f t="shared" ref="BC4:BC6" si="6">M5</f>
        <v>07.06.05.04.03</v>
      </c>
      <c r="BD4" s="360" t="s">
        <v>2091</v>
      </c>
      <c r="BE4" s="160" t="str">
        <f t="shared" ref="BE4:BE6" si="7">N5</f>
        <v>Edith.KELHEURETIL@gmal.com</v>
      </c>
      <c r="BF4" s="360" t="s">
        <v>2093</v>
      </c>
      <c r="BG4" s="160">
        <f t="shared" ref="BG4:BG6" si="8">O5</f>
        <v>1</v>
      </c>
      <c r="BH4" s="360"/>
      <c r="BJ4" s="360" t="s">
        <v>2021</v>
      </c>
      <c r="BK4" s="353" t="str">
        <f t="shared" ref="BK4:BK6" si="9">T4&amp;U4&amp;V4&amp;W4&amp;X4&amp;Y4&amp;Z4&amp;AA4&amp;AB4&amp;AC4&amp;AD4&amp;AE4&amp;AF4&amp;AG4&amp;AH4&amp;AI4&amp;AJ4&amp;AK4&amp;AL4&amp;AM4&amp;AP4&amp;AQ4&amp;AR4&amp;AS4&amp;AT4&amp;AU4&amp;AV4&amp;AW4&amp;AX4&amp;AY4&amp;AZ4&amp;BA4&amp;BB4&amp;BC4&amp;BD4&amp;BE4&amp;BF4&amp;BG4&amp;BJ4</f>
        <v>INSERT INTO UTILISATEURS(firstname,name,login,psw,sel,adress,tel,mail,isActivate) VALUES ('Edith','KELHEURETIL','Edi','pass2','sel2','145 rue La Fayette 59000 LILLE','07.06.05.04.03','Edith.KELHEURETIL@gmal.com',1);</v>
      </c>
      <c r="BL4" s="160" t="s">
        <v>2619</v>
      </c>
      <c r="BV4" s="353" t="s">
        <v>2105</v>
      </c>
    </row>
    <row r="5" spans="5:74" ht="20.05" customHeight="1" thickBot="1" x14ac:dyDescent="0.35">
      <c r="F5" s="160">
        <f>F4+1</f>
        <v>2</v>
      </c>
      <c r="G5" s="160" t="s">
        <v>386</v>
      </c>
      <c r="H5" s="160" t="s">
        <v>388</v>
      </c>
      <c r="I5" s="160" t="str">
        <f t="shared" ref="I5" si="10">LEFT(G5,3)</f>
        <v>Edi</v>
      </c>
      <c r="J5" s="160" t="s">
        <v>1772</v>
      </c>
      <c r="K5" s="160" t="s">
        <v>2615</v>
      </c>
      <c r="L5" s="160" t="s">
        <v>416</v>
      </c>
      <c r="M5" s="160" t="s">
        <v>426</v>
      </c>
      <c r="N5" s="160" t="str">
        <f>G5&amp;"."&amp;H5&amp;"@"&amp;"gmal.com"</f>
        <v>Edith.KELHEURETIL@gmal.com</v>
      </c>
      <c r="O5" s="160">
        <v>1</v>
      </c>
      <c r="T5" s="160" t="s">
        <v>1922</v>
      </c>
      <c r="U5" s="160" t="str">
        <f t="shared" ref="U5:U7" si="11">U4</f>
        <v>UTILISATEURS</v>
      </c>
      <c r="V5" s="160" t="s">
        <v>2088</v>
      </c>
      <c r="W5" s="263" t="str">
        <f t="shared" ref="W5:AM6" si="12">W4</f>
        <v>firstname</v>
      </c>
      <c r="X5" s="360" t="s">
        <v>2020</v>
      </c>
      <c r="Y5" s="263" t="str">
        <f t="shared" si="12"/>
        <v>name</v>
      </c>
      <c r="Z5" s="360" t="s">
        <v>2020</v>
      </c>
      <c r="AA5" s="171" t="str">
        <f t="shared" si="12"/>
        <v>login</v>
      </c>
      <c r="AB5" s="360" t="s">
        <v>2020</v>
      </c>
      <c r="AC5" s="171" t="str">
        <f t="shared" si="12"/>
        <v>psw</v>
      </c>
      <c r="AD5" s="360" t="s">
        <v>2020</v>
      </c>
      <c r="AE5" s="171" t="str">
        <f t="shared" si="12"/>
        <v>sel</v>
      </c>
      <c r="AF5" s="360" t="s">
        <v>2020</v>
      </c>
      <c r="AG5" s="263" t="str">
        <f t="shared" si="12"/>
        <v>adress</v>
      </c>
      <c r="AH5" s="360" t="s">
        <v>2020</v>
      </c>
      <c r="AI5" s="263" t="str">
        <f t="shared" si="12"/>
        <v>tel</v>
      </c>
      <c r="AJ5" s="360" t="s">
        <v>2020</v>
      </c>
      <c r="AK5" s="263" t="str">
        <f t="shared" si="12"/>
        <v>mail</v>
      </c>
      <c r="AL5" s="360" t="s">
        <v>2020</v>
      </c>
      <c r="AM5" s="263" t="str">
        <f t="shared" si="12"/>
        <v>isActivate</v>
      </c>
      <c r="AN5" s="360"/>
      <c r="AO5" s="267"/>
      <c r="AP5" s="360" t="s">
        <v>2089</v>
      </c>
      <c r="AQ5" s="160" t="str">
        <f t="shared" si="0"/>
        <v>Gerard</v>
      </c>
      <c r="AR5" s="360" t="s">
        <v>2091</v>
      </c>
      <c r="AS5" s="160" t="str">
        <f t="shared" si="1"/>
        <v>MENVUSSA</v>
      </c>
      <c r="AT5" s="360" t="s">
        <v>2091</v>
      </c>
      <c r="AU5" s="160" t="str">
        <f t="shared" si="2"/>
        <v>Ger</v>
      </c>
      <c r="AV5" s="360" t="s">
        <v>2091</v>
      </c>
      <c r="AW5" s="160" t="str">
        <f t="shared" si="3"/>
        <v>pass6</v>
      </c>
      <c r="AX5" s="360" t="s">
        <v>2091</v>
      </c>
      <c r="AY5" s="160" t="str">
        <f t="shared" si="4"/>
        <v>sel3</v>
      </c>
      <c r="AZ5" s="360" t="s">
        <v>2091</v>
      </c>
      <c r="BA5" s="353" t="str">
        <f t="shared" si="5"/>
        <v>3 rue de laqueduc 59270 BAILLEUL</v>
      </c>
      <c r="BB5" s="360" t="s">
        <v>2091</v>
      </c>
      <c r="BC5" s="160" t="str">
        <f t="shared" si="6"/>
        <v>06.98.76.54.32</v>
      </c>
      <c r="BD5" s="360" t="s">
        <v>2091</v>
      </c>
      <c r="BE5" s="160" t="str">
        <f t="shared" si="7"/>
        <v>Gerard.MENVUSSA@gmal.com</v>
      </c>
      <c r="BF5" s="360" t="s">
        <v>2093</v>
      </c>
      <c r="BG5" s="160">
        <f t="shared" si="8"/>
        <v>1</v>
      </c>
      <c r="BH5" s="360"/>
      <c r="BJ5" s="360" t="s">
        <v>2021</v>
      </c>
      <c r="BK5" s="353" t="str">
        <f t="shared" si="9"/>
        <v>INSERT INTO UTILISATEURS(firstname,name,login,psw,sel,adress,tel,mail,isActivate) VALUES ('Gerard','MENVUSSA','Ger','pass6','sel3','3 rue de laqueduc 59270 BAILLEUL','06.98.76.54.32','Gerard.MENVUSSA@gmal.com',1);</v>
      </c>
      <c r="BL5" s="160" t="s">
        <v>2620</v>
      </c>
      <c r="BV5" s="353" t="s">
        <v>2106</v>
      </c>
    </row>
    <row r="6" spans="5:74" ht="20.05" customHeight="1" thickBot="1" x14ac:dyDescent="0.35">
      <c r="F6" s="160">
        <f t="shared" ref="F6:F7" si="13">F5+1</f>
        <v>3</v>
      </c>
      <c r="G6" s="160" t="s">
        <v>395</v>
      </c>
      <c r="H6" s="160" t="s">
        <v>396</v>
      </c>
      <c r="I6" s="160" t="str">
        <f>LEFT(G6,3)</f>
        <v>Ger</v>
      </c>
      <c r="J6" s="160" t="s">
        <v>2100</v>
      </c>
      <c r="K6" s="160" t="s">
        <v>2616</v>
      </c>
      <c r="L6" s="349" t="s">
        <v>2103</v>
      </c>
      <c r="M6" s="160" t="s">
        <v>430</v>
      </c>
      <c r="N6" s="160" t="str">
        <f>G6&amp;"."&amp;H6&amp;"@"&amp;"gmal.com"</f>
        <v>Gerard.MENVUSSA@gmal.com</v>
      </c>
      <c r="O6" s="160">
        <v>1</v>
      </c>
      <c r="T6" s="160" t="s">
        <v>1922</v>
      </c>
      <c r="U6" s="160" t="str">
        <f t="shared" si="11"/>
        <v>UTILISATEURS</v>
      </c>
      <c r="V6" s="160" t="s">
        <v>2088</v>
      </c>
      <c r="W6" s="263" t="str">
        <f t="shared" si="12"/>
        <v>firstname</v>
      </c>
      <c r="X6" s="360" t="s">
        <v>2020</v>
      </c>
      <c r="Y6" s="263" t="str">
        <f t="shared" si="12"/>
        <v>name</v>
      </c>
      <c r="Z6" s="360" t="s">
        <v>2020</v>
      </c>
      <c r="AA6" s="171" t="str">
        <f t="shared" si="12"/>
        <v>login</v>
      </c>
      <c r="AB6" s="360" t="s">
        <v>2020</v>
      </c>
      <c r="AC6" s="171" t="str">
        <f t="shared" si="12"/>
        <v>psw</v>
      </c>
      <c r="AD6" s="360" t="s">
        <v>2020</v>
      </c>
      <c r="AE6" s="171" t="str">
        <f t="shared" si="12"/>
        <v>sel</v>
      </c>
      <c r="AF6" s="360" t="s">
        <v>2020</v>
      </c>
      <c r="AG6" s="263" t="str">
        <f t="shared" si="12"/>
        <v>adress</v>
      </c>
      <c r="AH6" s="360" t="s">
        <v>2020</v>
      </c>
      <c r="AI6" s="263" t="str">
        <f t="shared" si="12"/>
        <v>tel</v>
      </c>
      <c r="AJ6" s="360" t="s">
        <v>2020</v>
      </c>
      <c r="AK6" s="263" t="str">
        <f t="shared" si="12"/>
        <v>mail</v>
      </c>
      <c r="AL6" s="360" t="s">
        <v>2020</v>
      </c>
      <c r="AM6" s="263" t="str">
        <f t="shared" si="12"/>
        <v>isActivate</v>
      </c>
      <c r="AN6" s="360"/>
      <c r="AO6" s="267"/>
      <c r="AP6" s="360" t="s">
        <v>2089</v>
      </c>
      <c r="AQ6" s="160" t="str">
        <f t="shared" si="0"/>
        <v>Florentin</v>
      </c>
      <c r="AR6" s="360" t="s">
        <v>2091</v>
      </c>
      <c r="AS6" s="160" t="str">
        <f t="shared" si="1"/>
        <v>TESTINALE</v>
      </c>
      <c r="AT6" s="360" t="s">
        <v>2091</v>
      </c>
      <c r="AU6" s="160" t="str">
        <f t="shared" si="2"/>
        <v>Flo</v>
      </c>
      <c r="AV6" s="360" t="s">
        <v>2091</v>
      </c>
      <c r="AW6" s="160" t="str">
        <f t="shared" si="3"/>
        <v>pass12</v>
      </c>
      <c r="AX6" s="360" t="s">
        <v>2091</v>
      </c>
      <c r="AY6" s="160" t="str">
        <f t="shared" si="4"/>
        <v>sel4</v>
      </c>
      <c r="AZ6" s="360" t="s">
        <v>2091</v>
      </c>
      <c r="BA6" s="353" t="str">
        <f t="shared" si="5"/>
        <v>7M rue du gros colon 70000 TORBOYAUX</v>
      </c>
      <c r="BB6" s="360" t="s">
        <v>2091</v>
      </c>
      <c r="BC6" s="160" t="str">
        <f t="shared" si="6"/>
        <v>07.88.99.11.22</v>
      </c>
      <c r="BD6" s="360" t="s">
        <v>2091</v>
      </c>
      <c r="BE6" s="160" t="str">
        <f t="shared" si="7"/>
        <v>Florentin.TESTINALE@gmal.com</v>
      </c>
      <c r="BF6" s="360" t="s">
        <v>2093</v>
      </c>
      <c r="BG6" s="160">
        <f t="shared" si="8"/>
        <v>0</v>
      </c>
      <c r="BH6" s="360"/>
      <c r="BJ6" s="360" t="s">
        <v>2021</v>
      </c>
      <c r="BK6" s="353" t="str">
        <f t="shared" si="9"/>
        <v>INSERT INTO UTILISATEURS(firstname,name,login,psw,sel,adress,tel,mail,isActivate) VALUES ('Florentin','TESTINALE','Flo','pass12','sel4','7M rue du gros colon 70000 TORBOYAUX','07.88.99.11.22','Florentin.TESTINALE@gmal.com',0);</v>
      </c>
      <c r="BL6" s="160" t="s">
        <v>2621</v>
      </c>
      <c r="BV6" s="353" t="s">
        <v>2107</v>
      </c>
    </row>
    <row r="7" spans="5:74" ht="20.05" customHeight="1" thickBot="1" x14ac:dyDescent="0.35">
      <c r="F7" s="160">
        <f t="shared" si="13"/>
        <v>4</v>
      </c>
      <c r="G7" s="160" t="s">
        <v>1840</v>
      </c>
      <c r="H7" s="160" t="s">
        <v>1841</v>
      </c>
      <c r="I7" s="160" t="str">
        <f>LEFT(G7,3)</f>
        <v>Flo</v>
      </c>
      <c r="J7" s="160" t="s">
        <v>2101</v>
      </c>
      <c r="K7" s="160" t="s">
        <v>2617</v>
      </c>
      <c r="L7" s="160" t="s">
        <v>1843</v>
      </c>
      <c r="M7" s="160" t="s">
        <v>1844</v>
      </c>
      <c r="N7" s="160" t="str">
        <f>G7&amp;"."&amp;H7&amp;"@"&amp;"gmal.com"</f>
        <v>Florentin.TESTINALE@gmal.com</v>
      </c>
      <c r="O7" s="160">
        <v>0</v>
      </c>
      <c r="W7" s="263"/>
      <c r="X7" s="360"/>
      <c r="Y7" s="263"/>
      <c r="Z7" s="360"/>
      <c r="AA7" s="171"/>
      <c r="AB7" s="360"/>
      <c r="AC7" s="254"/>
      <c r="AD7" s="360"/>
      <c r="AE7" s="254"/>
      <c r="AF7" s="360"/>
      <c r="AG7" s="263"/>
      <c r="AH7" s="360"/>
      <c r="AI7" s="263"/>
      <c r="AJ7" s="360"/>
      <c r="AK7" s="263"/>
      <c r="AL7" s="360"/>
      <c r="AM7" s="263"/>
      <c r="AN7" s="360"/>
      <c r="AO7" s="267"/>
      <c r="AP7" s="360"/>
      <c r="AR7" s="360"/>
      <c r="AT7" s="360"/>
      <c r="AV7" s="360"/>
      <c r="AX7" s="360"/>
      <c r="AZ7" s="360"/>
      <c r="BA7" s="353"/>
      <c r="BB7" s="360"/>
      <c r="BD7" s="360"/>
      <c r="BF7" s="360"/>
      <c r="BH7" s="360"/>
      <c r="BJ7" s="360"/>
      <c r="BK7" s="353"/>
      <c r="BV7" s="353"/>
    </row>
    <row r="8" spans="5:74" ht="20.05" customHeight="1" thickBot="1" x14ac:dyDescent="0.35">
      <c r="W8" s="263"/>
      <c r="X8" s="360"/>
      <c r="Y8" s="263"/>
      <c r="Z8" s="360"/>
      <c r="AA8" s="171"/>
      <c r="AB8" s="360"/>
      <c r="AC8" s="254"/>
      <c r="AD8" s="360"/>
      <c r="AE8" s="263"/>
      <c r="AF8" s="360"/>
      <c r="AG8" s="263"/>
      <c r="AH8" s="360"/>
      <c r="AI8" s="263"/>
      <c r="AJ8" s="360"/>
      <c r="AK8" s="263"/>
      <c r="AL8" s="360"/>
      <c r="AM8" s="263"/>
      <c r="AN8" s="360"/>
      <c r="AO8" s="267"/>
      <c r="AP8" s="360"/>
      <c r="AR8" s="360"/>
      <c r="AT8" s="360"/>
      <c r="AV8" s="360"/>
      <c r="AX8" s="360"/>
      <c r="AZ8" s="360"/>
      <c r="BA8" s="353"/>
      <c r="BB8" s="360"/>
      <c r="BD8" s="360"/>
      <c r="BF8" s="360"/>
      <c r="BH8" s="360"/>
      <c r="BJ8" s="360"/>
      <c r="BK8" s="353"/>
      <c r="BV8" s="353"/>
    </row>
    <row r="9" spans="5:74" ht="20.05" customHeight="1" thickBot="1" x14ac:dyDescent="0.35">
      <c r="W9" s="263"/>
      <c r="X9" s="360"/>
      <c r="Y9" s="263"/>
      <c r="Z9" s="360"/>
      <c r="AA9" s="171"/>
      <c r="AB9" s="360"/>
      <c r="AC9" s="254"/>
      <c r="AD9" s="360"/>
      <c r="AE9" s="263"/>
      <c r="AF9" s="360"/>
      <c r="AG9" s="263"/>
      <c r="AH9" s="360"/>
      <c r="AI9" s="263"/>
      <c r="AJ9" s="360"/>
      <c r="AK9" s="263"/>
      <c r="AL9" s="360"/>
      <c r="AM9" s="263"/>
      <c r="AN9" s="360"/>
      <c r="AO9" s="267"/>
      <c r="AP9" s="360"/>
      <c r="AR9" s="360"/>
      <c r="AT9" s="360"/>
      <c r="AV9" s="360"/>
      <c r="AX9" s="360"/>
      <c r="AZ9" s="360"/>
      <c r="BA9" s="353"/>
      <c r="BB9" s="360"/>
      <c r="BD9" s="360"/>
      <c r="BF9" s="360"/>
      <c r="BH9" s="360"/>
      <c r="BJ9" s="360"/>
      <c r="BK9" s="353"/>
      <c r="BV9" s="353"/>
    </row>
    <row r="10" spans="5:74" ht="20.05" customHeight="1" thickBot="1" x14ac:dyDescent="0.35">
      <c r="W10" s="263"/>
      <c r="X10" s="360"/>
      <c r="Y10" s="263"/>
      <c r="Z10" s="360"/>
      <c r="AA10" s="171"/>
      <c r="AB10" s="360"/>
      <c r="AC10" s="254"/>
      <c r="AD10" s="360"/>
      <c r="AE10" s="263"/>
      <c r="AF10" s="360"/>
      <c r="AG10" s="263"/>
      <c r="AH10" s="360"/>
      <c r="AI10" s="263"/>
      <c r="AJ10" s="360"/>
      <c r="AK10" s="263"/>
      <c r="AL10" s="360"/>
      <c r="AM10" s="263"/>
      <c r="AN10" s="360"/>
      <c r="AO10" s="267"/>
      <c r="AP10" s="360"/>
      <c r="AR10" s="360"/>
      <c r="AT10" s="360"/>
      <c r="AV10" s="360"/>
      <c r="AX10" s="360"/>
      <c r="AZ10" s="360"/>
      <c r="BA10" s="353"/>
      <c r="BB10" s="360"/>
      <c r="BD10" s="360"/>
      <c r="BF10" s="360"/>
      <c r="BH10" s="360"/>
      <c r="BJ10" s="360"/>
      <c r="BK10" s="353"/>
      <c r="BV10" s="353"/>
    </row>
    <row r="11" spans="5:74" ht="20.05" customHeight="1" thickBot="1" x14ac:dyDescent="0.35">
      <c r="W11" s="263"/>
      <c r="X11" s="360"/>
      <c r="Y11" s="263"/>
      <c r="Z11" s="360"/>
      <c r="AA11" s="171"/>
      <c r="AB11" s="360"/>
      <c r="AC11" s="254"/>
      <c r="AD11" s="360"/>
      <c r="AE11" s="263"/>
      <c r="AF11" s="360"/>
      <c r="AG11" s="263"/>
      <c r="AH11" s="360"/>
      <c r="AI11" s="263"/>
      <c r="AJ11" s="360"/>
      <c r="AK11" s="263"/>
      <c r="AL11" s="360"/>
      <c r="AM11" s="263"/>
      <c r="AN11" s="360"/>
      <c r="AO11" s="267"/>
      <c r="AP11" s="360"/>
      <c r="AR11" s="360"/>
      <c r="AT11" s="360"/>
      <c r="AV11" s="360"/>
      <c r="AX11" s="360"/>
      <c r="AZ11" s="360"/>
      <c r="BA11" s="353"/>
      <c r="BB11" s="360"/>
      <c r="BD11" s="360"/>
      <c r="BF11" s="360"/>
      <c r="BH11" s="360"/>
      <c r="BJ11" s="360"/>
      <c r="BK11" s="353"/>
      <c r="BV11" s="353"/>
    </row>
    <row r="12" spans="5:74" ht="20.05" customHeight="1" thickBot="1" x14ac:dyDescent="0.35">
      <c r="W12" s="263"/>
      <c r="X12" s="360"/>
      <c r="Y12" s="263"/>
      <c r="Z12" s="360"/>
      <c r="AA12" s="171"/>
      <c r="AB12" s="360"/>
      <c r="AC12" s="254"/>
      <c r="AD12" s="360"/>
      <c r="AE12" s="263"/>
      <c r="AF12" s="360"/>
      <c r="AG12" s="263"/>
      <c r="AH12" s="360"/>
      <c r="AI12" s="263"/>
      <c r="AJ12" s="360"/>
      <c r="AK12" s="263"/>
      <c r="AL12" s="360"/>
      <c r="AM12" s="263"/>
      <c r="AN12" s="360"/>
      <c r="AO12" s="267"/>
      <c r="AP12" s="360"/>
      <c r="AR12" s="360"/>
      <c r="AT12" s="360"/>
      <c r="AV12" s="360"/>
      <c r="AX12" s="360"/>
      <c r="AZ12" s="360"/>
      <c r="BA12" s="353"/>
      <c r="BB12" s="360"/>
      <c r="BD12" s="360"/>
      <c r="BF12" s="360"/>
      <c r="BH12" s="360"/>
      <c r="BJ12" s="360"/>
      <c r="BK12" s="353"/>
      <c r="BV12" s="353"/>
    </row>
    <row r="13" spans="5:74" ht="20.05" customHeight="1" thickBot="1" x14ac:dyDescent="0.35">
      <c r="W13" s="263"/>
      <c r="X13" s="360"/>
      <c r="Y13" s="263"/>
      <c r="Z13" s="360"/>
      <c r="AA13" s="171"/>
      <c r="AB13" s="360"/>
      <c r="AC13" s="254"/>
      <c r="AD13" s="360"/>
      <c r="AE13" s="263"/>
      <c r="AF13" s="360"/>
      <c r="AG13" s="263"/>
      <c r="AH13" s="360"/>
      <c r="AI13" s="263"/>
      <c r="AJ13" s="360"/>
      <c r="AK13" s="263"/>
      <c r="AL13" s="360"/>
      <c r="AM13" s="263"/>
      <c r="AN13" s="360"/>
      <c r="AO13" s="267"/>
      <c r="AP13" s="360"/>
      <c r="AR13" s="360"/>
      <c r="AT13" s="360"/>
      <c r="AV13" s="360"/>
      <c r="AX13" s="360"/>
      <c r="AZ13" s="360"/>
      <c r="BA13" s="353"/>
      <c r="BB13" s="360"/>
      <c r="BD13" s="360"/>
      <c r="BF13" s="360"/>
      <c r="BH13" s="360"/>
      <c r="BJ13" s="360"/>
      <c r="BK13" s="353"/>
      <c r="BV13" s="353"/>
    </row>
    <row r="14" spans="5:74" ht="20.05" customHeight="1" thickBot="1" x14ac:dyDescent="0.35">
      <c r="W14" s="263"/>
      <c r="X14" s="360"/>
      <c r="Y14" s="263"/>
      <c r="Z14" s="360"/>
      <c r="AA14" s="171"/>
      <c r="AB14" s="360"/>
      <c r="AC14" s="254"/>
      <c r="AD14" s="360"/>
      <c r="AE14" s="263"/>
      <c r="AF14" s="360"/>
      <c r="AG14" s="263"/>
      <c r="AH14" s="360"/>
      <c r="AI14" s="263"/>
      <c r="AJ14" s="360"/>
      <c r="AK14" s="263"/>
      <c r="AL14" s="360"/>
      <c r="AM14" s="263"/>
      <c r="AN14" s="360"/>
      <c r="AO14" s="267"/>
      <c r="AP14" s="360"/>
      <c r="AR14" s="360"/>
      <c r="AT14" s="360"/>
      <c r="AV14" s="360"/>
      <c r="AX14" s="360"/>
      <c r="AZ14" s="360"/>
      <c r="BA14" s="353"/>
      <c r="BB14" s="360"/>
      <c r="BD14" s="360"/>
      <c r="BF14" s="360"/>
      <c r="BH14" s="360"/>
      <c r="BJ14" s="360"/>
      <c r="BK14" s="353"/>
      <c r="BV14" s="353"/>
    </row>
    <row r="15" spans="5:74" ht="20.05" customHeight="1" x14ac:dyDescent="0.3">
      <c r="W15" s="322"/>
      <c r="X15" s="360"/>
      <c r="Y15" s="322"/>
      <c r="Z15" s="360"/>
      <c r="AA15" s="322"/>
      <c r="AB15" s="360"/>
      <c r="AC15" s="322"/>
      <c r="AD15" s="360"/>
      <c r="AE15" s="322"/>
      <c r="AF15" s="360"/>
      <c r="AG15" s="322"/>
      <c r="AH15" s="360"/>
      <c r="AI15" s="322"/>
      <c r="AJ15" s="360"/>
      <c r="AK15" s="322"/>
      <c r="AL15" s="360"/>
      <c r="AN15" s="360"/>
      <c r="AP15" s="360"/>
      <c r="AR15" s="360"/>
      <c r="AT15" s="360"/>
      <c r="AV15" s="360"/>
      <c r="AX15" s="360"/>
      <c r="AZ15" s="360"/>
      <c r="BB15" s="360"/>
      <c r="BC15" s="353"/>
    </row>
    <row r="16" spans="5:74" ht="20.05" customHeight="1" x14ac:dyDescent="0.3">
      <c r="P16" s="353"/>
      <c r="W16" s="322"/>
      <c r="X16" s="360"/>
      <c r="Y16" s="322"/>
      <c r="Z16" s="360"/>
      <c r="AA16" s="322"/>
      <c r="AB16" s="360"/>
      <c r="AC16" s="322"/>
      <c r="AD16" s="360"/>
      <c r="AE16" s="322"/>
      <c r="AF16" s="360"/>
      <c r="AG16" s="322"/>
      <c r="AH16" s="360"/>
      <c r="AI16" s="322"/>
      <c r="AJ16" s="360"/>
      <c r="AK16" s="322"/>
      <c r="AL16" s="360"/>
      <c r="AN16" s="360"/>
      <c r="AP16" s="360"/>
      <c r="AR16" s="360"/>
      <c r="AT16" s="360"/>
      <c r="AV16" s="360"/>
      <c r="AX16" s="360"/>
      <c r="AZ16" s="360"/>
      <c r="BB16" s="360"/>
      <c r="BC16" s="353"/>
    </row>
    <row r="17" spans="4:93" ht="20.05" customHeight="1" x14ac:dyDescent="0.3">
      <c r="W17" s="322"/>
      <c r="X17" s="360"/>
      <c r="Y17" s="322"/>
      <c r="Z17" s="360"/>
      <c r="AA17" s="322"/>
      <c r="AB17" s="360"/>
      <c r="AC17" s="322"/>
      <c r="AD17" s="360"/>
      <c r="AE17" s="322"/>
      <c r="AF17" s="360"/>
      <c r="AG17" s="322"/>
      <c r="AH17" s="360"/>
      <c r="AI17" s="322"/>
      <c r="AJ17" s="360"/>
      <c r="AK17" s="322"/>
      <c r="AL17" s="360"/>
      <c r="AN17" s="360"/>
      <c r="AP17" s="360"/>
      <c r="AR17" s="360"/>
      <c r="AT17" s="360"/>
      <c r="AV17" s="360"/>
      <c r="AX17" s="360"/>
      <c r="AZ17" s="360"/>
      <c r="BB17" s="360"/>
      <c r="BC17" s="353"/>
    </row>
    <row r="18" spans="4:93" ht="28.05" customHeight="1" x14ac:dyDescent="0.3">
      <c r="AK18" s="360"/>
      <c r="AL18" s="322"/>
      <c r="AM18" s="360"/>
      <c r="AO18" s="360"/>
      <c r="AQ18" s="360"/>
      <c r="AS18" s="360"/>
      <c r="AU18" s="360"/>
      <c r="AY18" s="360"/>
      <c r="AZ18" s="360"/>
      <c r="BA18" s="360"/>
      <c r="BB18" s="360"/>
      <c r="BC18" s="360"/>
      <c r="BD18" s="360"/>
      <c r="BE18" s="360"/>
      <c r="BF18" s="360"/>
      <c r="BG18" s="360"/>
      <c r="BH18" s="360"/>
      <c r="BI18" s="360"/>
      <c r="BJ18" s="360"/>
      <c r="BK18" s="195" t="s">
        <v>1917</v>
      </c>
      <c r="BL18" s="338" t="s">
        <v>196</v>
      </c>
    </row>
    <row r="19" spans="4:93" ht="15.85" customHeight="1" x14ac:dyDescent="0.3">
      <c r="AL19" s="337" t="s">
        <v>384</v>
      </c>
      <c r="AM19" s="360" t="s">
        <v>2020</v>
      </c>
    </row>
    <row r="20" spans="4:93" ht="15.85" customHeight="1" x14ac:dyDescent="0.3">
      <c r="E20" s="160" t="s">
        <v>1958</v>
      </c>
      <c r="F20" s="160" t="s">
        <v>2108</v>
      </c>
      <c r="G20" s="263" t="s">
        <v>271</v>
      </c>
      <c r="H20" s="263" t="s">
        <v>272</v>
      </c>
      <c r="I20" s="263" t="s">
        <v>283</v>
      </c>
      <c r="J20" s="263" t="s">
        <v>240</v>
      </c>
      <c r="K20" s="263" t="s">
        <v>274</v>
      </c>
      <c r="L20" s="263" t="s">
        <v>284</v>
      </c>
      <c r="M20" s="195" t="s">
        <v>246</v>
      </c>
      <c r="N20" s="195" t="s">
        <v>250</v>
      </c>
      <c r="O20" s="374" t="s">
        <v>2513</v>
      </c>
      <c r="P20" s="195" t="s">
        <v>2518</v>
      </c>
      <c r="Q20" s="195" t="s">
        <v>1915</v>
      </c>
      <c r="R20" s="195" t="s">
        <v>1917</v>
      </c>
      <c r="S20" s="376" t="s">
        <v>2514</v>
      </c>
      <c r="T20" s="338" t="s">
        <v>196</v>
      </c>
      <c r="U20" s="160" t="s">
        <v>1922</v>
      </c>
      <c r="V20" s="160" t="str">
        <f t="shared" ref="V20:V27" si="14">E$20</f>
        <v>CLIENTS</v>
      </c>
      <c r="W20" s="160" t="s">
        <v>2088</v>
      </c>
      <c r="X20" s="263" t="s">
        <v>271</v>
      </c>
      <c r="Y20" s="360" t="s">
        <v>2020</v>
      </c>
      <c r="Z20" s="263" t="s">
        <v>272</v>
      </c>
      <c r="AA20" s="360" t="s">
        <v>2020</v>
      </c>
      <c r="AB20" s="263" t="s">
        <v>283</v>
      </c>
      <c r="AC20" s="360" t="s">
        <v>2020</v>
      </c>
      <c r="AD20" s="263" t="s">
        <v>240</v>
      </c>
      <c r="AE20" s="360" t="s">
        <v>2020</v>
      </c>
      <c r="AF20" s="263" t="s">
        <v>274</v>
      </c>
      <c r="AG20" s="360" t="s">
        <v>2020</v>
      </c>
      <c r="AH20" s="263" t="s">
        <v>284</v>
      </c>
      <c r="AI20" s="360" t="s">
        <v>2020</v>
      </c>
      <c r="AJ20" s="195" t="s">
        <v>246</v>
      </c>
      <c r="AK20" s="360" t="s">
        <v>2020</v>
      </c>
      <c r="AL20" s="195" t="s">
        <v>250</v>
      </c>
      <c r="AM20" s="360" t="s">
        <v>2020</v>
      </c>
      <c r="AN20" s="373" t="s">
        <v>2513</v>
      </c>
      <c r="AO20" s="360" t="s">
        <v>2020</v>
      </c>
      <c r="AP20" s="195" t="s">
        <v>2518</v>
      </c>
      <c r="AQ20" s="360" t="s">
        <v>2020</v>
      </c>
      <c r="AR20" s="195" t="s">
        <v>1915</v>
      </c>
      <c r="AS20" s="360" t="s">
        <v>2020</v>
      </c>
      <c r="AT20" s="195" t="s">
        <v>1917</v>
      </c>
      <c r="AU20" s="360" t="s">
        <v>2020</v>
      </c>
      <c r="AV20" s="375" t="s">
        <v>2514</v>
      </c>
      <c r="AW20" s="377" t="s">
        <v>2020</v>
      </c>
      <c r="AX20" s="338" t="s">
        <v>196</v>
      </c>
      <c r="AY20" s="360" t="s">
        <v>2089</v>
      </c>
      <c r="AZ20" s="160" t="str">
        <f t="shared" ref="AZ20:AZ27" si="15">G21</f>
        <v>Elise</v>
      </c>
      <c r="BA20" s="360" t="s">
        <v>2091</v>
      </c>
      <c r="BB20" s="160" t="str">
        <f t="shared" ref="BB20:BB27" si="16">H21</f>
        <v>ETMOI</v>
      </c>
      <c r="BC20" s="360" t="s">
        <v>2091</v>
      </c>
      <c r="BD20" s="160" t="str">
        <f t="shared" ref="BD20:BD27" si="17">I21</f>
        <v>174 rue du Faubourg Saint-Denis 59599 TOURQUOINT</v>
      </c>
      <c r="BE20" s="360" t="s">
        <v>2091</v>
      </c>
      <c r="BF20" s="160" t="str">
        <f t="shared" ref="BF20:BF27" si="18">J21</f>
        <v>09.01.02.03.04</v>
      </c>
      <c r="BG20" s="360" t="s">
        <v>2091</v>
      </c>
      <c r="BH20" s="160" t="str">
        <f t="shared" ref="BH20:BH27" si="19">K21</f>
        <v>Elise.ETMOI@gmal.com</v>
      </c>
      <c r="BI20" s="360" t="s">
        <v>2093</v>
      </c>
      <c r="BJ20" s="160">
        <f t="shared" ref="BJ20:BJ27" si="20">L21</f>
        <v>1</v>
      </c>
      <c r="BK20" s="360" t="s">
        <v>2020</v>
      </c>
      <c r="BL20" s="325">
        <f t="shared" ref="BL20:BL27" si="21">M21</f>
        <v>1</v>
      </c>
      <c r="BM20" s="360" t="s">
        <v>2090</v>
      </c>
      <c r="BN20" s="372" t="s">
        <v>1957</v>
      </c>
      <c r="BO20" s="360" t="s">
        <v>2091</v>
      </c>
      <c r="BP20" s="160" t="str">
        <f t="shared" ref="BP20:BP27" si="22">O21</f>
        <v>FR1234567891254680</v>
      </c>
      <c r="BQ20" s="360" t="s">
        <v>2091</v>
      </c>
      <c r="BR20" s="160" t="str">
        <f t="shared" ref="BR20:BR27" si="23">P21</f>
        <v>7410X</v>
      </c>
      <c r="BS20" s="360" t="s">
        <v>2091</v>
      </c>
      <c r="BT20" s="160" t="str">
        <f t="shared" ref="BT20:BT27" si="24">Q21</f>
        <v>Municipalité de Paris 11e</v>
      </c>
      <c r="BU20" s="360" t="s">
        <v>2091</v>
      </c>
      <c r="BV20" s="160" t="str">
        <f t="shared" ref="BV20:BV27" si="25">R21</f>
        <v>133 rue des Boulets 75011 PARIS</v>
      </c>
      <c r="BW20" s="360" t="s">
        <v>2091</v>
      </c>
      <c r="BX20" s="375" t="str">
        <f>S21</f>
        <v>Aime les détails</v>
      </c>
      <c r="BY20" s="377" t="s">
        <v>2093</v>
      </c>
      <c r="BZ20" s="160">
        <f t="shared" ref="BZ20:BZ27" si="26">T21</f>
        <v>1</v>
      </c>
      <c r="CA20" s="360" t="s">
        <v>2021</v>
      </c>
      <c r="CB20" s="353" t="str">
        <f>U20&amp;V20&amp;W20&amp;X20&amp;Y20&amp;Z20&amp;AA20&amp;AB20&amp;AC20&amp;AD20&amp;AE20&amp;AF20&amp;AG20&amp;AH20&amp;AI20&amp;AJ20&amp;AK20&amp;AL20&amp;AM20&amp;AN20&amp;AO20&amp;AP20&amp;AQ20&amp;AR20&amp;AS20&amp;AT20&amp;AU20&amp;AV20&amp;AW20&amp;AX20&amp;AY20&amp;AZ20&amp;BA20&amp;BB20&amp;BC20&amp;BD20&amp;BE20&amp;BF20&amp;BG20&amp;BH20&amp;BI20&amp;BJ20&amp;BK20&amp;BL20&amp;BM20&amp;BN20&amp;BO20&amp;BP20&amp;BQ20&amp;BR20&amp;BS20&amp;BT20&amp;BU20&amp;BV20&amp;BW20&amp;BX20&amp;BY20&amp;BZ20&amp;CA20</f>
        <v>INSERT INTO CLIENTS(firstname,name,adress,tel,mail,isActivate,isPro,numSiret,tvaIntracom,codeApe,nomActivitePro,adrActivitePro,commentaire,idUtilisateur) VALUES ('Elise','ETMOI','174 rue du Faubourg Saint-Denis 59599 TOURQUOINT','09.01.02.03.04','Elise.ETMOI@gmal.com',1,1,'','FR1234567891254680','7410X','Municipalité de Paris 11e','133 rue des Boulets 75011 PARIS','Aime les détails',1);</v>
      </c>
      <c r="CC20" s="160" t="s">
        <v>2519</v>
      </c>
      <c r="CD20" s="325"/>
      <c r="CE20" s="360"/>
      <c r="CG20" s="360"/>
      <c r="CI20" s="360"/>
      <c r="CK20" s="360"/>
      <c r="CM20" s="360"/>
      <c r="CO20" s="360"/>
    </row>
    <row r="21" spans="4:93" ht="15.85" customHeight="1" x14ac:dyDescent="0.25">
      <c r="D21" s="160">
        <v>3</v>
      </c>
      <c r="F21" s="160">
        <v>1</v>
      </c>
      <c r="G21" s="160" t="s">
        <v>389</v>
      </c>
      <c r="H21" s="160" t="s">
        <v>390</v>
      </c>
      <c r="I21" s="160" t="s">
        <v>419</v>
      </c>
      <c r="J21" s="160" t="s">
        <v>427</v>
      </c>
      <c r="K21" s="160" t="str">
        <f t="shared" ref="K21:K28" si="27">G21&amp;"."&amp;H21&amp;"@"&amp;"gmal.com"</f>
        <v>Elise.ETMOI@gmal.com</v>
      </c>
      <c r="L21" s="160">
        <v>1</v>
      </c>
      <c r="M21" s="160">
        <v>1</v>
      </c>
      <c r="N21" s="325">
        <v>1234567891254680</v>
      </c>
      <c r="O21" s="160" t="str">
        <f>"FR"&amp;N21</f>
        <v>FR1234567891254680</v>
      </c>
      <c r="P21" s="160" t="s">
        <v>1774</v>
      </c>
      <c r="Q21" s="322" t="s">
        <v>1792</v>
      </c>
      <c r="R21" s="8" t="s">
        <v>1780</v>
      </c>
      <c r="S21" s="375" t="s">
        <v>2515</v>
      </c>
      <c r="T21" s="160">
        <v>1</v>
      </c>
      <c r="U21" s="160" t="s">
        <v>1922</v>
      </c>
      <c r="V21" s="160" t="str">
        <f t="shared" si="14"/>
        <v>CLIENTS</v>
      </c>
      <c r="W21" s="160" t="s">
        <v>2088</v>
      </c>
      <c r="X21" s="263" t="s">
        <v>271</v>
      </c>
      <c r="Y21" s="360" t="s">
        <v>2020</v>
      </c>
      <c r="Z21" s="263" t="s">
        <v>272</v>
      </c>
      <c r="AA21" s="360" t="s">
        <v>2020</v>
      </c>
      <c r="AB21" s="263" t="s">
        <v>283</v>
      </c>
      <c r="AC21" s="360" t="s">
        <v>2020</v>
      </c>
      <c r="AD21" s="263" t="s">
        <v>240</v>
      </c>
      <c r="AE21" s="360" t="s">
        <v>2020</v>
      </c>
      <c r="AF21" s="263" t="s">
        <v>274</v>
      </c>
      <c r="AG21" s="360" t="s">
        <v>2020</v>
      </c>
      <c r="AH21" s="263" t="s">
        <v>284</v>
      </c>
      <c r="AI21" s="360" t="s">
        <v>2020</v>
      </c>
      <c r="AJ21" s="195" t="s">
        <v>246</v>
      </c>
      <c r="AK21" s="360" t="s">
        <v>2020</v>
      </c>
      <c r="AL21" s="195" t="s">
        <v>250</v>
      </c>
      <c r="AM21" s="360" t="s">
        <v>2020</v>
      </c>
      <c r="AN21" s="373" t="s">
        <v>2513</v>
      </c>
      <c r="AO21" s="360" t="s">
        <v>2020</v>
      </c>
      <c r="AP21" s="195" t="s">
        <v>2518</v>
      </c>
      <c r="AQ21" s="360" t="s">
        <v>2020</v>
      </c>
      <c r="AR21" s="195" t="s">
        <v>1915</v>
      </c>
      <c r="AS21" s="360" t="s">
        <v>2020</v>
      </c>
      <c r="AT21" s="195" t="s">
        <v>1917</v>
      </c>
      <c r="AU21" s="360" t="s">
        <v>2020</v>
      </c>
      <c r="AV21" s="375" t="s">
        <v>2514</v>
      </c>
      <c r="AW21" s="377" t="s">
        <v>2020</v>
      </c>
      <c r="AX21" s="338" t="s">
        <v>196</v>
      </c>
      <c r="AY21" s="360" t="s">
        <v>2089</v>
      </c>
      <c r="AZ21" s="160" t="str">
        <f t="shared" si="15"/>
        <v>Frank</v>
      </c>
      <c r="BA21" s="360" t="s">
        <v>2091</v>
      </c>
      <c r="BB21" s="160" t="str">
        <f t="shared" si="16"/>
        <v>NSTEIN</v>
      </c>
      <c r="BC21" s="360" t="s">
        <v>2091</v>
      </c>
      <c r="BD21" s="160" t="str">
        <f t="shared" si="17"/>
        <v>44 rue dAboukir 59512 ROUBAIX</v>
      </c>
      <c r="BE21" s="360" t="s">
        <v>2091</v>
      </c>
      <c r="BF21" s="160" t="str">
        <f t="shared" si="18"/>
        <v>06.05.06.07.08</v>
      </c>
      <c r="BG21" s="360" t="s">
        <v>2091</v>
      </c>
      <c r="BH21" s="160" t="str">
        <f t="shared" si="19"/>
        <v>Frank.NSTEIN@gmal.com</v>
      </c>
      <c r="BI21" s="360" t="s">
        <v>2093</v>
      </c>
      <c r="BJ21" s="160">
        <f t="shared" si="20"/>
        <v>1</v>
      </c>
      <c r="BK21" s="360" t="s">
        <v>2020</v>
      </c>
      <c r="BL21" s="325">
        <f t="shared" si="21"/>
        <v>1</v>
      </c>
      <c r="BM21" s="360" t="s">
        <v>2090</v>
      </c>
      <c r="BN21" s="325">
        <f t="shared" ref="BN21:BN27" si="28">N22</f>
        <v>9865567891254680</v>
      </c>
      <c r="BO21" s="360" t="s">
        <v>2091</v>
      </c>
      <c r="BP21" s="160" t="str">
        <f t="shared" si="22"/>
        <v>FR9865567891254680</v>
      </c>
      <c r="BQ21" s="360" t="s">
        <v>2091</v>
      </c>
      <c r="BR21" s="160" t="str">
        <f t="shared" si="23"/>
        <v>6542C</v>
      </c>
      <c r="BS21" s="360" t="s">
        <v>2091</v>
      </c>
      <c r="BT21" s="160" t="str">
        <f t="shared" si="24"/>
        <v>BoisdeLux</v>
      </c>
      <c r="BU21" s="360" t="s">
        <v>2091</v>
      </c>
      <c r="BV21" s="160" t="str">
        <f t="shared" si="25"/>
        <v>75 rue de la Gerbe 69002 LYON</v>
      </c>
      <c r="BW21" s="360" t="s">
        <v>2091</v>
      </c>
      <c r="BX21" s="375" t="str">
        <f t="shared" ref="BX21:BX27" si="29">S22</f>
        <v>null</v>
      </c>
      <c r="BY21" s="377" t="s">
        <v>2093</v>
      </c>
      <c r="BZ21" s="160">
        <f t="shared" si="26"/>
        <v>1</v>
      </c>
      <c r="CA21" s="360" t="s">
        <v>2021</v>
      </c>
      <c r="CB21" s="353" t="str">
        <f t="shared" ref="CB21:CB27" si="30">U21&amp;V21&amp;W21&amp;X21&amp;Y21&amp;Z21&amp;AA21&amp;AB21&amp;AC21&amp;AD21&amp;AE21&amp;AF21&amp;AG21&amp;AH21&amp;AI21&amp;AJ21&amp;AK21&amp;AL21&amp;AM21&amp;AN21&amp;AO21&amp;AP21&amp;AQ21&amp;AR21&amp;AS21&amp;AT21&amp;AU21&amp;AV21&amp;AW21&amp;AX21&amp;AY21&amp;AZ21&amp;BA21&amp;BB21&amp;BC21&amp;BD21&amp;BE21&amp;BF21&amp;BG21&amp;BH21&amp;BI21&amp;BJ21&amp;BK21&amp;BL21&amp;BM21&amp;BN21&amp;BO21&amp;BP21&amp;BQ21&amp;BR21&amp;BS21&amp;BT21&amp;BU21&amp;BV21&amp;BW21&amp;BX21&amp;BY21&amp;BZ21&amp;CA21</f>
        <v>INSERT INTO CLIENTS(firstname,name,adress,tel,mail,isActivate,isPro,numSiret,tvaIntracom,codeApe,nomActivitePro,adrActivitePro,commentaire,idUtilisateur) VALUES ('Frank','NSTEIN','44 rue dAboukir 59512 ROUBAIX','06.05.06.07.08','Frank.NSTEIN@gmal.com',1,1,'9865567891254680','FR9865567891254680','6542C','BoisdeLux','75 rue de la Gerbe 69002 LYON','null',1);</v>
      </c>
      <c r="CC21" s="360" t="s">
        <v>2520</v>
      </c>
      <c r="CD21" s="325"/>
      <c r="CE21" s="360"/>
      <c r="CG21" s="360"/>
      <c r="CI21" s="360"/>
      <c r="CK21" s="360"/>
      <c r="CM21" s="360"/>
      <c r="CO21" s="360"/>
    </row>
    <row r="22" spans="4:93" ht="15.85" customHeight="1" x14ac:dyDescent="0.25">
      <c r="D22" s="160">
        <v>4</v>
      </c>
      <c r="F22" s="160">
        <f>F21+1</f>
        <v>2</v>
      </c>
      <c r="G22" s="160" t="s">
        <v>391</v>
      </c>
      <c r="H22" s="160" t="s">
        <v>392</v>
      </c>
      <c r="I22" s="160" t="s">
        <v>2102</v>
      </c>
      <c r="J22" s="160" t="s">
        <v>428</v>
      </c>
      <c r="K22" s="160" t="str">
        <f t="shared" si="27"/>
        <v>Frank.NSTEIN@gmal.com</v>
      </c>
      <c r="L22" s="160">
        <v>1</v>
      </c>
      <c r="M22" s="160">
        <v>1</v>
      </c>
      <c r="N22" s="325">
        <v>9865567891254680</v>
      </c>
      <c r="O22" s="160" t="str">
        <f t="shared" ref="O22:O27" si="31">"FR"&amp;N22</f>
        <v>FR9865567891254680</v>
      </c>
      <c r="P22" s="160" t="s">
        <v>1775</v>
      </c>
      <c r="Q22" s="322" t="s">
        <v>1793</v>
      </c>
      <c r="R22" s="8" t="s">
        <v>1785</v>
      </c>
      <c r="S22" s="375" t="s">
        <v>2517</v>
      </c>
      <c r="T22" s="160">
        <v>1</v>
      </c>
      <c r="U22" s="160" t="s">
        <v>1922</v>
      </c>
      <c r="V22" s="160" t="str">
        <f t="shared" si="14"/>
        <v>CLIENTS</v>
      </c>
      <c r="W22" s="160" t="s">
        <v>2088</v>
      </c>
      <c r="X22" s="263" t="s">
        <v>271</v>
      </c>
      <c r="Y22" s="360" t="s">
        <v>2020</v>
      </c>
      <c r="Z22" s="263" t="s">
        <v>272</v>
      </c>
      <c r="AA22" s="360" t="s">
        <v>2020</v>
      </c>
      <c r="AB22" s="263" t="s">
        <v>283</v>
      </c>
      <c r="AC22" s="360" t="s">
        <v>2020</v>
      </c>
      <c r="AD22" s="263" t="s">
        <v>240</v>
      </c>
      <c r="AE22" s="360" t="s">
        <v>2020</v>
      </c>
      <c r="AF22" s="263" t="s">
        <v>274</v>
      </c>
      <c r="AG22" s="360" t="s">
        <v>2020</v>
      </c>
      <c r="AH22" s="263" t="s">
        <v>284</v>
      </c>
      <c r="AI22" s="360" t="s">
        <v>2020</v>
      </c>
      <c r="AJ22" s="195" t="s">
        <v>246</v>
      </c>
      <c r="AK22" s="360" t="s">
        <v>2020</v>
      </c>
      <c r="AL22" s="195" t="s">
        <v>250</v>
      </c>
      <c r="AM22" s="360" t="s">
        <v>2020</v>
      </c>
      <c r="AN22" s="373" t="s">
        <v>2513</v>
      </c>
      <c r="AO22" s="360" t="s">
        <v>2020</v>
      </c>
      <c r="AP22" s="195" t="s">
        <v>2518</v>
      </c>
      <c r="AQ22" s="360" t="s">
        <v>2020</v>
      </c>
      <c r="AR22" s="195" t="s">
        <v>1915</v>
      </c>
      <c r="AS22" s="360" t="s">
        <v>2020</v>
      </c>
      <c r="AT22" s="195" t="s">
        <v>1917</v>
      </c>
      <c r="AU22" s="360" t="s">
        <v>2020</v>
      </c>
      <c r="AV22" s="375" t="s">
        <v>2514</v>
      </c>
      <c r="AW22" s="377" t="s">
        <v>2020</v>
      </c>
      <c r="AX22" s="338" t="s">
        <v>196</v>
      </c>
      <c r="AY22" s="360" t="s">
        <v>2089</v>
      </c>
      <c r="AZ22" s="160" t="str">
        <f t="shared" si="15"/>
        <v>Flo</v>
      </c>
      <c r="BA22" s="360" t="s">
        <v>2091</v>
      </c>
      <c r="BB22" s="160" t="str">
        <f t="shared" si="16"/>
        <v>RISTE</v>
      </c>
      <c r="BC22" s="360" t="s">
        <v>2091</v>
      </c>
      <c r="BD22" s="160" t="str">
        <f t="shared" si="17"/>
        <v xml:space="preserve">29 rue Quincampoix 59434 </v>
      </c>
      <c r="BE22" s="360" t="s">
        <v>2091</v>
      </c>
      <c r="BF22" s="160" t="str">
        <f t="shared" si="18"/>
        <v>07.12.34.56.78</v>
      </c>
      <c r="BG22" s="360" t="s">
        <v>2091</v>
      </c>
      <c r="BH22" s="160" t="str">
        <f t="shared" si="19"/>
        <v>Flo.RISTE@gmal.com</v>
      </c>
      <c r="BI22" s="360" t="s">
        <v>2093</v>
      </c>
      <c r="BJ22" s="160">
        <f t="shared" si="20"/>
        <v>1</v>
      </c>
      <c r="BK22" s="360" t="s">
        <v>2020</v>
      </c>
      <c r="BL22" s="325">
        <f t="shared" si="21"/>
        <v>1</v>
      </c>
      <c r="BM22" s="360" t="s">
        <v>2090</v>
      </c>
      <c r="BN22" s="325">
        <f t="shared" si="28"/>
        <v>5462387891254680</v>
      </c>
      <c r="BO22" s="360" t="s">
        <v>2091</v>
      </c>
      <c r="BP22" s="160" t="str">
        <f t="shared" si="22"/>
        <v>FR5462387891254680</v>
      </c>
      <c r="BQ22" s="360" t="s">
        <v>2091</v>
      </c>
      <c r="BR22" s="160" t="str">
        <f t="shared" si="23"/>
        <v>5648Z</v>
      </c>
      <c r="BS22" s="360" t="s">
        <v>2091</v>
      </c>
      <c r="BT22" s="160" t="str">
        <f t="shared" si="24"/>
        <v>RameneTaFraise</v>
      </c>
      <c r="BU22" s="360" t="s">
        <v>2091</v>
      </c>
      <c r="BV22" s="160" t="str">
        <f t="shared" si="25"/>
        <v>2D rue Gratte-cul 75002 PARIS</v>
      </c>
      <c r="BW22" s="360" t="s">
        <v>2091</v>
      </c>
      <c r="BX22" s="375" t="str">
        <f t="shared" si="29"/>
        <v>Souhaite des communications fréquentes</v>
      </c>
      <c r="BY22" s="377" t="s">
        <v>2093</v>
      </c>
      <c r="BZ22" s="160">
        <f t="shared" si="26"/>
        <v>2</v>
      </c>
      <c r="CA22" s="360" t="s">
        <v>2021</v>
      </c>
      <c r="CB22" s="353" t="str">
        <f t="shared" si="30"/>
        <v>INSERT INTO CLIENTS(firstname,name,adress,tel,mail,isActivate,isPro,numSiret,tvaIntracom,codeApe,nomActivitePro,adrActivitePro,commentaire,idUtilisateur) VALUES ('Flo','RISTE','29 rue Quincampoix 59434 ','07.12.34.56.78','Flo.RISTE@gmal.com',1,1,'5462387891254680','FR5462387891254680','5648Z','RameneTaFraise','2D rue Gratte-cul 75002 PARIS','Souhaite des communications fréquentes',2);</v>
      </c>
      <c r="CC22" s="360" t="s">
        <v>2521</v>
      </c>
      <c r="CD22" s="325"/>
      <c r="CE22" s="360"/>
      <c r="CG22" s="360"/>
      <c r="CI22" s="360"/>
      <c r="CK22" s="360"/>
      <c r="CM22" s="360"/>
      <c r="CO22" s="360"/>
    </row>
    <row r="23" spans="4:93" ht="15.85" customHeight="1" x14ac:dyDescent="0.25">
      <c r="D23" s="160">
        <v>5</v>
      </c>
      <c r="F23" s="160">
        <f t="shared" ref="F23:F28" si="32">F22+1</f>
        <v>3</v>
      </c>
      <c r="G23" s="160" t="s">
        <v>393</v>
      </c>
      <c r="H23" s="160" t="s">
        <v>394</v>
      </c>
      <c r="I23" s="160" t="s">
        <v>417</v>
      </c>
      <c r="J23" s="160" t="s">
        <v>429</v>
      </c>
      <c r="K23" s="160" t="str">
        <f t="shared" si="27"/>
        <v>Flo.RISTE@gmal.com</v>
      </c>
      <c r="L23" s="160">
        <v>1</v>
      </c>
      <c r="M23" s="160">
        <v>1</v>
      </c>
      <c r="N23" s="325">
        <v>5462387891254680</v>
      </c>
      <c r="O23" s="160" t="str">
        <f t="shared" si="31"/>
        <v>FR5462387891254680</v>
      </c>
      <c r="P23" s="160" t="s">
        <v>1776</v>
      </c>
      <c r="Q23" s="322" t="s">
        <v>1794</v>
      </c>
      <c r="R23" s="8" t="s">
        <v>1779</v>
      </c>
      <c r="S23" s="375" t="s">
        <v>2516</v>
      </c>
      <c r="T23" s="160">
        <v>2</v>
      </c>
      <c r="U23" s="160" t="s">
        <v>1922</v>
      </c>
      <c r="V23" s="160" t="str">
        <f t="shared" si="14"/>
        <v>CLIENTS</v>
      </c>
      <c r="W23" s="160" t="s">
        <v>2088</v>
      </c>
      <c r="X23" s="263" t="s">
        <v>271</v>
      </c>
      <c r="Y23" s="360" t="s">
        <v>2020</v>
      </c>
      <c r="Z23" s="263" t="s">
        <v>272</v>
      </c>
      <c r="AA23" s="360" t="s">
        <v>2020</v>
      </c>
      <c r="AB23" s="263" t="s">
        <v>283</v>
      </c>
      <c r="AC23" s="360" t="s">
        <v>2020</v>
      </c>
      <c r="AD23" s="263" t="s">
        <v>240</v>
      </c>
      <c r="AE23" s="360" t="s">
        <v>2020</v>
      </c>
      <c r="AF23" s="263" t="s">
        <v>274</v>
      </c>
      <c r="AG23" s="360" t="s">
        <v>2020</v>
      </c>
      <c r="AH23" s="263" t="s">
        <v>284</v>
      </c>
      <c r="AI23" s="360" t="s">
        <v>2020</v>
      </c>
      <c r="AJ23" s="195" t="s">
        <v>246</v>
      </c>
      <c r="AK23" s="360" t="s">
        <v>2020</v>
      </c>
      <c r="AL23" s="195" t="s">
        <v>250</v>
      </c>
      <c r="AM23" s="360" t="s">
        <v>2020</v>
      </c>
      <c r="AN23" s="373" t="s">
        <v>2513</v>
      </c>
      <c r="AO23" s="360" t="s">
        <v>2020</v>
      </c>
      <c r="AP23" s="195" t="s">
        <v>2518</v>
      </c>
      <c r="AQ23" s="360" t="s">
        <v>2020</v>
      </c>
      <c r="AR23" s="195" t="s">
        <v>1915</v>
      </c>
      <c r="AS23" s="360" t="s">
        <v>2020</v>
      </c>
      <c r="AT23" s="195" t="s">
        <v>1917</v>
      </c>
      <c r="AU23" s="360" t="s">
        <v>2020</v>
      </c>
      <c r="AV23" s="375" t="s">
        <v>2514</v>
      </c>
      <c r="AW23" s="377" t="s">
        <v>2020</v>
      </c>
      <c r="AX23" s="338" t="s">
        <v>196</v>
      </c>
      <c r="AY23" s="360" t="s">
        <v>2089</v>
      </c>
      <c r="AZ23" s="160" t="str">
        <f t="shared" si="15"/>
        <v>Walter</v>
      </c>
      <c r="BA23" s="360" t="s">
        <v>2091</v>
      </c>
      <c r="BB23" s="160" t="str">
        <f t="shared" si="16"/>
        <v>CLOSET</v>
      </c>
      <c r="BC23" s="360" t="s">
        <v>2091</v>
      </c>
      <c r="BD23" s="160" t="str">
        <f t="shared" si="17"/>
        <v>54 rue des Petites Écuries 59120 LOOS</v>
      </c>
      <c r="BE23" s="360" t="s">
        <v>2091</v>
      </c>
      <c r="BF23" s="160" t="str">
        <f t="shared" si="18"/>
        <v>06.11.22.33.44</v>
      </c>
      <c r="BG23" s="360" t="s">
        <v>2091</v>
      </c>
      <c r="BH23" s="160" t="str">
        <f t="shared" si="19"/>
        <v>Walter.CLOSET@gmal.com</v>
      </c>
      <c r="BI23" s="360" t="s">
        <v>2093</v>
      </c>
      <c r="BJ23" s="160">
        <f t="shared" si="20"/>
        <v>1</v>
      </c>
      <c r="BK23" s="360" t="s">
        <v>2020</v>
      </c>
      <c r="BL23" s="325">
        <f t="shared" si="21"/>
        <v>1</v>
      </c>
      <c r="BM23" s="360" t="s">
        <v>2090</v>
      </c>
      <c r="BN23" s="325">
        <f t="shared" si="28"/>
        <v>7652367891254680</v>
      </c>
      <c r="BO23" s="360" t="s">
        <v>2091</v>
      </c>
      <c r="BP23" s="160" t="str">
        <f t="shared" si="22"/>
        <v>FR7652367891254680</v>
      </c>
      <c r="BQ23" s="360" t="s">
        <v>2091</v>
      </c>
      <c r="BR23" s="160" t="str">
        <f t="shared" si="23"/>
        <v>7410X</v>
      </c>
      <c r="BS23" s="360" t="s">
        <v>2091</v>
      </c>
      <c r="BT23" s="160" t="str">
        <f t="shared" si="24"/>
        <v>TaPudFuite</v>
      </c>
      <c r="BU23" s="360" t="s">
        <v>2091</v>
      </c>
      <c r="BV23" s="160" t="str">
        <f t="shared" si="25"/>
        <v>1 rue Brisemiche 75004 PARIS</v>
      </c>
      <c r="BW23" s="360" t="s">
        <v>2091</v>
      </c>
      <c r="BX23" s="375" t="str">
        <f t="shared" si="29"/>
        <v>null</v>
      </c>
      <c r="BY23" s="377" t="s">
        <v>2093</v>
      </c>
      <c r="BZ23" s="160">
        <f t="shared" si="26"/>
        <v>3</v>
      </c>
      <c r="CA23" s="360" t="s">
        <v>2021</v>
      </c>
      <c r="CB23" s="353" t="str">
        <f t="shared" si="30"/>
        <v>INSERT INTO CLIENTS(firstname,name,adress,tel,mail,isActivate,isPro,numSiret,tvaIntracom,codeApe,nomActivitePro,adrActivitePro,commentaire,idUtilisateur) VALUES ('Walter','CLOSET','54 rue des Petites Écuries 59120 LOOS','06.11.22.33.44','Walter.CLOSET@gmal.com',1,1,'7652367891254680','FR7652367891254680','7410X','TaPudFuite','1 rue Brisemiche 75004 PARIS','null',3);</v>
      </c>
      <c r="CC23" s="360" t="s">
        <v>2522</v>
      </c>
      <c r="CD23" s="325"/>
      <c r="CE23" s="360"/>
      <c r="CG23" s="360"/>
      <c r="CI23" s="360"/>
      <c r="CK23" s="360"/>
      <c r="CM23" s="360"/>
      <c r="CO23" s="360"/>
    </row>
    <row r="24" spans="4:93" ht="15.85" customHeight="1" x14ac:dyDescent="0.25">
      <c r="D24" s="160">
        <v>7</v>
      </c>
      <c r="F24" s="160">
        <f t="shared" si="32"/>
        <v>4</v>
      </c>
      <c r="G24" s="160" t="s">
        <v>397</v>
      </c>
      <c r="H24" s="160" t="s">
        <v>398</v>
      </c>
      <c r="I24" s="160" t="s">
        <v>421</v>
      </c>
      <c r="J24" s="160" t="s">
        <v>431</v>
      </c>
      <c r="K24" s="160" t="str">
        <f t="shared" si="27"/>
        <v>Walter.CLOSET@gmal.com</v>
      </c>
      <c r="L24" s="160">
        <v>1</v>
      </c>
      <c r="M24" s="160">
        <v>1</v>
      </c>
      <c r="N24" s="325">
        <v>7652367891254680</v>
      </c>
      <c r="O24" s="160" t="str">
        <f t="shared" si="31"/>
        <v>FR7652367891254680</v>
      </c>
      <c r="P24" s="160" t="s">
        <v>1774</v>
      </c>
      <c r="Q24" s="322" t="s">
        <v>1797</v>
      </c>
      <c r="R24" s="8" t="s">
        <v>1784</v>
      </c>
      <c r="S24" s="375" t="s">
        <v>2517</v>
      </c>
      <c r="T24" s="160">
        <v>3</v>
      </c>
      <c r="U24" s="160" t="s">
        <v>1922</v>
      </c>
      <c r="V24" s="160" t="str">
        <f t="shared" si="14"/>
        <v>CLIENTS</v>
      </c>
      <c r="W24" s="160" t="s">
        <v>2088</v>
      </c>
      <c r="X24" s="263" t="s">
        <v>271</v>
      </c>
      <c r="Y24" s="360" t="s">
        <v>2020</v>
      </c>
      <c r="Z24" s="263" t="s">
        <v>272</v>
      </c>
      <c r="AA24" s="360" t="s">
        <v>2020</v>
      </c>
      <c r="AB24" s="263" t="s">
        <v>283</v>
      </c>
      <c r="AC24" s="360" t="s">
        <v>2020</v>
      </c>
      <c r="AD24" s="263" t="s">
        <v>240</v>
      </c>
      <c r="AE24" s="360" t="s">
        <v>2020</v>
      </c>
      <c r="AF24" s="263" t="s">
        <v>274</v>
      </c>
      <c r="AG24" s="360" t="s">
        <v>2020</v>
      </c>
      <c r="AH24" s="263" t="s">
        <v>284</v>
      </c>
      <c r="AI24" s="360" t="s">
        <v>2020</v>
      </c>
      <c r="AJ24" s="195" t="s">
        <v>246</v>
      </c>
      <c r="AK24" s="360" t="s">
        <v>2020</v>
      </c>
      <c r="AL24" s="195" t="s">
        <v>250</v>
      </c>
      <c r="AM24" s="360" t="s">
        <v>2020</v>
      </c>
      <c r="AN24" s="373" t="s">
        <v>2513</v>
      </c>
      <c r="AO24" s="360" t="s">
        <v>2020</v>
      </c>
      <c r="AP24" s="195" t="s">
        <v>2518</v>
      </c>
      <c r="AQ24" s="360" t="s">
        <v>2020</v>
      </c>
      <c r="AR24" s="195" t="s">
        <v>1915</v>
      </c>
      <c r="AS24" s="360" t="s">
        <v>2020</v>
      </c>
      <c r="AT24" s="195" t="s">
        <v>1917</v>
      </c>
      <c r="AU24" s="360" t="s">
        <v>2020</v>
      </c>
      <c r="AV24" s="375" t="s">
        <v>2514</v>
      </c>
      <c r="AW24" s="377" t="s">
        <v>2020</v>
      </c>
      <c r="AX24" s="338" t="s">
        <v>196</v>
      </c>
      <c r="AY24" s="360" t="s">
        <v>2089</v>
      </c>
      <c r="AZ24" s="160" t="str">
        <f t="shared" si="15"/>
        <v>Noah</v>
      </c>
      <c r="BA24" s="360" t="s">
        <v>2091</v>
      </c>
      <c r="BB24" s="160" t="str">
        <f t="shared" si="16"/>
        <v>DESINJAC</v>
      </c>
      <c r="BC24" s="360" t="s">
        <v>2091</v>
      </c>
      <c r="BD24" s="160" t="str">
        <f t="shared" si="17"/>
        <v>141 boulevard Diderot 59000 LILLE</v>
      </c>
      <c r="BE24" s="360" t="s">
        <v>2091</v>
      </c>
      <c r="BF24" s="160" t="str">
        <f t="shared" si="18"/>
        <v>07.55.66.77.88</v>
      </c>
      <c r="BG24" s="360" t="s">
        <v>2091</v>
      </c>
      <c r="BH24" s="160" t="str">
        <f t="shared" si="19"/>
        <v>Noah.DESINJAC@gmal.com</v>
      </c>
      <c r="BI24" s="360" t="s">
        <v>2093</v>
      </c>
      <c r="BJ24" s="160">
        <f t="shared" si="20"/>
        <v>1</v>
      </c>
      <c r="BK24" s="360" t="s">
        <v>2020</v>
      </c>
      <c r="BL24" s="325">
        <f t="shared" si="21"/>
        <v>1</v>
      </c>
      <c r="BM24" s="360" t="s">
        <v>2090</v>
      </c>
      <c r="BN24" s="325">
        <f t="shared" si="28"/>
        <v>3568467891254680</v>
      </c>
      <c r="BO24" s="360" t="s">
        <v>2091</v>
      </c>
      <c r="BP24" s="160" t="str">
        <f t="shared" si="22"/>
        <v>FR3568467891254680</v>
      </c>
      <c r="BQ24" s="360" t="s">
        <v>2091</v>
      </c>
      <c r="BR24" s="160" t="str">
        <f t="shared" si="23"/>
        <v>6541E</v>
      </c>
      <c r="BS24" s="360" t="s">
        <v>2091</v>
      </c>
      <c r="BT24" s="160" t="str">
        <f t="shared" si="24"/>
        <v>LaBonneBaguette</v>
      </c>
      <c r="BU24" s="360" t="s">
        <v>2091</v>
      </c>
      <c r="BV24" s="160" t="str">
        <f t="shared" si="25"/>
        <v>84 rue des deux Boules 75001 PARIS</v>
      </c>
      <c r="BW24" s="360" t="s">
        <v>2091</v>
      </c>
      <c r="BX24" s="375" t="str">
        <f t="shared" si="29"/>
        <v>null</v>
      </c>
      <c r="BY24" s="377" t="s">
        <v>2093</v>
      </c>
      <c r="BZ24" s="160">
        <f t="shared" si="26"/>
        <v>4</v>
      </c>
      <c r="CA24" s="360" t="s">
        <v>2021</v>
      </c>
      <c r="CB24" s="353" t="str">
        <f t="shared" si="30"/>
        <v>INSERT INTO CLIENTS(firstname,name,adress,tel,mail,isActivate,isPro,numSiret,tvaIntracom,codeApe,nomActivitePro,adrActivitePro,commentaire,idUtilisateur) VALUES ('Noah','DESINJAC','141 boulevard Diderot 59000 LILLE','07.55.66.77.88','Noah.DESINJAC@gmal.com',1,1,'3568467891254680','FR3568467891254680','6541E','LaBonneBaguette','84 rue des deux Boules 75001 PARIS','null',4);</v>
      </c>
      <c r="CC24" s="360" t="s">
        <v>2523</v>
      </c>
      <c r="CD24" s="325"/>
      <c r="CE24" s="360"/>
      <c r="CG24" s="360"/>
      <c r="CI24" s="360"/>
      <c r="CK24" s="360"/>
      <c r="CM24" s="360"/>
      <c r="CO24" s="360"/>
    </row>
    <row r="25" spans="4:93" ht="15.85" customHeight="1" x14ac:dyDescent="0.25">
      <c r="D25" s="160">
        <v>8</v>
      </c>
      <c r="F25" s="160">
        <f t="shared" si="32"/>
        <v>5</v>
      </c>
      <c r="G25" s="160" t="s">
        <v>399</v>
      </c>
      <c r="H25" s="160" t="s">
        <v>400</v>
      </c>
      <c r="I25" s="160" t="s">
        <v>422</v>
      </c>
      <c r="J25" s="160" t="s">
        <v>432</v>
      </c>
      <c r="K25" s="160" t="str">
        <f t="shared" si="27"/>
        <v>Noah.DESINJAC@gmal.com</v>
      </c>
      <c r="L25" s="160">
        <v>1</v>
      </c>
      <c r="M25" s="160">
        <v>1</v>
      </c>
      <c r="N25" s="325">
        <v>3568467891254680</v>
      </c>
      <c r="O25" s="160" t="str">
        <f t="shared" si="31"/>
        <v>FR3568467891254680</v>
      </c>
      <c r="P25" s="160" t="s">
        <v>1777</v>
      </c>
      <c r="Q25" s="322" t="s">
        <v>1798</v>
      </c>
      <c r="R25" s="8" t="s">
        <v>1781</v>
      </c>
      <c r="S25" s="375" t="s">
        <v>2517</v>
      </c>
      <c r="T25" s="160">
        <v>4</v>
      </c>
      <c r="U25" s="160" t="s">
        <v>1922</v>
      </c>
      <c r="V25" s="160" t="str">
        <f t="shared" si="14"/>
        <v>CLIENTS</v>
      </c>
      <c r="W25" s="160" t="s">
        <v>2088</v>
      </c>
      <c r="X25" s="263" t="s">
        <v>271</v>
      </c>
      <c r="Y25" s="360" t="s">
        <v>2020</v>
      </c>
      <c r="Z25" s="263" t="s">
        <v>272</v>
      </c>
      <c r="AA25" s="360" t="s">
        <v>2020</v>
      </c>
      <c r="AB25" s="263" t="s">
        <v>283</v>
      </c>
      <c r="AC25" s="360" t="s">
        <v>2020</v>
      </c>
      <c r="AD25" s="263" t="s">
        <v>240</v>
      </c>
      <c r="AE25" s="360" t="s">
        <v>2020</v>
      </c>
      <c r="AF25" s="263" t="s">
        <v>274</v>
      </c>
      <c r="AG25" s="360" t="s">
        <v>2020</v>
      </c>
      <c r="AH25" s="263" t="s">
        <v>284</v>
      </c>
      <c r="AI25" s="360" t="s">
        <v>2020</v>
      </c>
      <c r="AJ25" s="195" t="s">
        <v>246</v>
      </c>
      <c r="AK25" s="360" t="s">
        <v>2020</v>
      </c>
      <c r="AL25" s="195" t="s">
        <v>250</v>
      </c>
      <c r="AM25" s="360" t="s">
        <v>2020</v>
      </c>
      <c r="AN25" s="373" t="s">
        <v>2513</v>
      </c>
      <c r="AO25" s="360" t="s">
        <v>2020</v>
      </c>
      <c r="AP25" s="195" t="s">
        <v>2518</v>
      </c>
      <c r="AQ25" s="360" t="s">
        <v>2020</v>
      </c>
      <c r="AR25" s="195" t="s">
        <v>1915</v>
      </c>
      <c r="AS25" s="360" t="s">
        <v>2020</v>
      </c>
      <c r="AT25" s="195" t="s">
        <v>1917</v>
      </c>
      <c r="AU25" s="360" t="s">
        <v>2020</v>
      </c>
      <c r="AV25" s="375" t="s">
        <v>2514</v>
      </c>
      <c r="AW25" s="377" t="s">
        <v>2020</v>
      </c>
      <c r="AX25" s="338" t="s">
        <v>196</v>
      </c>
      <c r="AY25" s="360" t="s">
        <v>2089</v>
      </c>
      <c r="AZ25" s="160" t="str">
        <f t="shared" si="15"/>
        <v>Karl-Amel</v>
      </c>
      <c r="BA25" s="360" t="s">
        <v>2091</v>
      </c>
      <c r="BB25" s="160" t="str">
        <f t="shared" si="16"/>
        <v>MOU</v>
      </c>
      <c r="BC25" s="360" t="s">
        <v>2091</v>
      </c>
      <c r="BD25" s="160" t="str">
        <f t="shared" si="17"/>
        <v>78 rue La Condamine 59130 LAMBERSART</v>
      </c>
      <c r="BE25" s="360" t="s">
        <v>2091</v>
      </c>
      <c r="BF25" s="160" t="str">
        <f t="shared" si="18"/>
        <v>06.99.88.77.66</v>
      </c>
      <c r="BG25" s="360" t="s">
        <v>2091</v>
      </c>
      <c r="BH25" s="160" t="str">
        <f t="shared" si="19"/>
        <v>Karl-Amel.MOU@gmal.com</v>
      </c>
      <c r="BI25" s="360" t="s">
        <v>2093</v>
      </c>
      <c r="BJ25" s="160">
        <f t="shared" si="20"/>
        <v>1</v>
      </c>
      <c r="BK25" s="360" t="s">
        <v>2020</v>
      </c>
      <c r="BL25" s="325">
        <f t="shared" si="21"/>
        <v>1</v>
      </c>
      <c r="BM25" s="360" t="s">
        <v>2090</v>
      </c>
      <c r="BN25" s="325">
        <f t="shared" si="28"/>
        <v>3568467891254680</v>
      </c>
      <c r="BO25" s="360" t="s">
        <v>2091</v>
      </c>
      <c r="BP25" s="160" t="str">
        <f t="shared" si="22"/>
        <v>FR3568467891254680</v>
      </c>
      <c r="BQ25" s="360" t="s">
        <v>2091</v>
      </c>
      <c r="BR25" s="160" t="str">
        <f t="shared" si="23"/>
        <v>6541E</v>
      </c>
      <c r="BS25" s="360" t="s">
        <v>2091</v>
      </c>
      <c r="BT25" s="160" t="str">
        <f t="shared" si="24"/>
        <v>GlesBoules</v>
      </c>
      <c r="BU25" s="360" t="s">
        <v>2091</v>
      </c>
      <c r="BV25" s="160" t="str">
        <f t="shared" si="25"/>
        <v>76 rue Pavée dAndouilles 71460 SAINT-GENGOUX</v>
      </c>
      <c r="BW25" s="360" t="s">
        <v>2091</v>
      </c>
      <c r="BX25" s="375" t="str">
        <f t="shared" si="29"/>
        <v>null</v>
      </c>
      <c r="BY25" s="377" t="s">
        <v>2093</v>
      </c>
      <c r="BZ25" s="160">
        <f t="shared" si="26"/>
        <v>2</v>
      </c>
      <c r="CA25" s="360" t="s">
        <v>2021</v>
      </c>
      <c r="CB25" s="353" t="str">
        <f t="shared" si="30"/>
        <v>INSERT INTO CLIENTS(firstname,name,adress,tel,mail,isActivate,isPro,numSiret,tvaIntracom,codeApe,nomActivitePro,adrActivitePro,commentaire,idUtilisateur) VALUES ('Karl-Amel','MOU','78 rue La Condamine 59130 LAMBERSART','06.99.88.77.66','Karl-Amel.MOU@gmal.com',1,1,'3568467891254680','FR3568467891254680','6541E','GlesBoules','76 rue Pavée dAndouilles 71460 SAINT-GENGOUX','null',2);</v>
      </c>
      <c r="CC25" s="360" t="s">
        <v>2524</v>
      </c>
      <c r="CD25" s="325"/>
      <c r="CE25" s="360"/>
      <c r="CG25" s="360"/>
      <c r="CI25" s="360"/>
      <c r="CK25" s="360"/>
      <c r="CM25" s="360"/>
      <c r="CO25" s="360"/>
    </row>
    <row r="26" spans="4:93" ht="15.85" customHeight="1" x14ac:dyDescent="0.25">
      <c r="D26" s="160">
        <v>9</v>
      </c>
      <c r="F26" s="160">
        <f t="shared" si="32"/>
        <v>6</v>
      </c>
      <c r="G26" s="160" t="s">
        <v>401</v>
      </c>
      <c r="H26" s="160" t="s">
        <v>402</v>
      </c>
      <c r="I26" s="160" t="s">
        <v>423</v>
      </c>
      <c r="J26" s="160" t="s">
        <v>433</v>
      </c>
      <c r="K26" s="160" t="str">
        <f t="shared" si="27"/>
        <v>Karl-Amel.MOU@gmal.com</v>
      </c>
      <c r="L26" s="160">
        <v>1</v>
      </c>
      <c r="M26" s="160">
        <v>1</v>
      </c>
      <c r="N26" s="325">
        <v>3568467891254680</v>
      </c>
      <c r="O26" s="160" t="str">
        <f t="shared" si="31"/>
        <v>FR3568467891254680</v>
      </c>
      <c r="P26" s="160" t="s">
        <v>1777</v>
      </c>
      <c r="Q26" s="322" t="s">
        <v>1799</v>
      </c>
      <c r="R26" s="8" t="s">
        <v>2551</v>
      </c>
      <c r="S26" s="375" t="s">
        <v>2517</v>
      </c>
      <c r="T26" s="160">
        <v>2</v>
      </c>
      <c r="U26" s="160" t="s">
        <v>1922</v>
      </c>
      <c r="V26" s="160" t="str">
        <f t="shared" si="14"/>
        <v>CLIENTS</v>
      </c>
      <c r="W26" s="160" t="s">
        <v>2088</v>
      </c>
      <c r="X26" s="263" t="s">
        <v>271</v>
      </c>
      <c r="Y26" s="360" t="s">
        <v>2020</v>
      </c>
      <c r="Z26" s="263" t="s">
        <v>272</v>
      </c>
      <c r="AA26" s="360" t="s">
        <v>2020</v>
      </c>
      <c r="AB26" s="263" t="s">
        <v>283</v>
      </c>
      <c r="AC26" s="360" t="s">
        <v>2020</v>
      </c>
      <c r="AD26" s="263" t="s">
        <v>240</v>
      </c>
      <c r="AE26" s="360" t="s">
        <v>2020</v>
      </c>
      <c r="AF26" s="263" t="s">
        <v>274</v>
      </c>
      <c r="AG26" s="360" t="s">
        <v>2020</v>
      </c>
      <c r="AH26" s="263" t="s">
        <v>284</v>
      </c>
      <c r="AI26" s="360" t="s">
        <v>2020</v>
      </c>
      <c r="AJ26" s="195" t="s">
        <v>246</v>
      </c>
      <c r="AK26" s="360" t="s">
        <v>2020</v>
      </c>
      <c r="AL26" s="195" t="s">
        <v>250</v>
      </c>
      <c r="AM26" s="360" t="s">
        <v>2020</v>
      </c>
      <c r="AN26" s="373" t="s">
        <v>2513</v>
      </c>
      <c r="AO26" s="360" t="s">
        <v>2020</v>
      </c>
      <c r="AP26" s="195" t="s">
        <v>2518</v>
      </c>
      <c r="AQ26" s="360" t="s">
        <v>2020</v>
      </c>
      <c r="AR26" s="195" t="s">
        <v>1915</v>
      </c>
      <c r="AS26" s="360" t="s">
        <v>2020</v>
      </c>
      <c r="AT26" s="195" t="s">
        <v>1917</v>
      </c>
      <c r="AU26" s="360" t="s">
        <v>2020</v>
      </c>
      <c r="AV26" s="375" t="s">
        <v>2514</v>
      </c>
      <c r="AW26" s="377" t="s">
        <v>2020</v>
      </c>
      <c r="AX26" s="338" t="s">
        <v>196</v>
      </c>
      <c r="AY26" s="360" t="s">
        <v>2089</v>
      </c>
      <c r="AZ26" s="160" t="str">
        <f t="shared" si="15"/>
        <v>Kentin</v>
      </c>
      <c r="BA26" s="360" t="s">
        <v>2091</v>
      </c>
      <c r="BB26" s="160" t="str">
        <f t="shared" si="16"/>
        <v>GENMILITERRE</v>
      </c>
      <c r="BC26" s="360" t="s">
        <v>2091</v>
      </c>
      <c r="BD26" s="160" t="str">
        <f t="shared" si="17"/>
        <v>49 rue des Archives 59630 LILLE</v>
      </c>
      <c r="BE26" s="360" t="s">
        <v>2091</v>
      </c>
      <c r="BF26" s="160" t="str">
        <f t="shared" si="18"/>
        <v>06.55.44.33.22</v>
      </c>
      <c r="BG26" s="360" t="s">
        <v>2091</v>
      </c>
      <c r="BH26" s="160" t="str">
        <f t="shared" si="19"/>
        <v>Kentin.GENMILITERRE@gmal.com</v>
      </c>
      <c r="BI26" s="360" t="s">
        <v>2093</v>
      </c>
      <c r="BJ26" s="160">
        <f t="shared" si="20"/>
        <v>1</v>
      </c>
      <c r="BK26" s="360" t="s">
        <v>2020</v>
      </c>
      <c r="BL26" s="325">
        <f t="shared" si="21"/>
        <v>1</v>
      </c>
      <c r="BM26" s="360" t="s">
        <v>2090</v>
      </c>
      <c r="BN26" s="325">
        <f t="shared" si="28"/>
        <v>3568467891254680</v>
      </c>
      <c r="BO26" s="360" t="s">
        <v>2091</v>
      </c>
      <c r="BP26" s="160" t="str">
        <f t="shared" si="22"/>
        <v>FR3568467891254680</v>
      </c>
      <c r="BQ26" s="360" t="s">
        <v>2091</v>
      </c>
      <c r="BR26" s="160" t="str">
        <f t="shared" si="23"/>
        <v>6541E</v>
      </c>
      <c r="BS26" s="360" t="s">
        <v>2091</v>
      </c>
      <c r="BT26" s="160" t="str">
        <f t="shared" si="24"/>
        <v>AuPirate</v>
      </c>
      <c r="BU26" s="360" t="s">
        <v>2091</v>
      </c>
      <c r="BV26" s="160" t="str">
        <f t="shared" si="25"/>
        <v>47 rue de la Pompe 75016 PARIS</v>
      </c>
      <c r="BW26" s="360" t="s">
        <v>2091</v>
      </c>
      <c r="BX26" s="375" t="str">
        <f t="shared" si="29"/>
        <v>null</v>
      </c>
      <c r="BY26" s="377" t="s">
        <v>2093</v>
      </c>
      <c r="BZ26" s="160">
        <f t="shared" si="26"/>
        <v>1</v>
      </c>
      <c r="CA26" s="360" t="s">
        <v>2021</v>
      </c>
      <c r="CB26" s="353" t="str">
        <f t="shared" si="30"/>
        <v>INSERT INTO CLIENTS(firstname,name,adress,tel,mail,isActivate,isPro,numSiret,tvaIntracom,codeApe,nomActivitePro,adrActivitePro,commentaire,idUtilisateur) VALUES ('Kentin','GENMILITERRE','49 rue des Archives 59630 LILLE','06.55.44.33.22','Kentin.GENMILITERRE@gmal.com',1,1,'3568467891254680','FR3568467891254680','6541E','AuPirate','47 rue de la Pompe 75016 PARIS','null',1);</v>
      </c>
      <c r="CC26" s="360" t="s">
        <v>2525</v>
      </c>
      <c r="CD26" s="325"/>
      <c r="CE26" s="360"/>
      <c r="CG26" s="360"/>
      <c r="CI26" s="360"/>
      <c r="CK26" s="360"/>
      <c r="CM26" s="360"/>
      <c r="CO26" s="360"/>
    </row>
    <row r="27" spans="4:93" ht="15.85" customHeight="1" x14ac:dyDescent="0.25">
      <c r="D27" s="160">
        <v>10</v>
      </c>
      <c r="F27" s="160">
        <f t="shared" si="32"/>
        <v>7</v>
      </c>
      <c r="G27" s="160" t="s">
        <v>403</v>
      </c>
      <c r="H27" s="160" t="s">
        <v>404</v>
      </c>
      <c r="I27" s="160" t="s">
        <v>424</v>
      </c>
      <c r="J27" s="160" t="s">
        <v>425</v>
      </c>
      <c r="K27" s="160" t="str">
        <f t="shared" si="27"/>
        <v>Kentin.GENMILITERRE@gmal.com</v>
      </c>
      <c r="L27" s="160">
        <v>1</v>
      </c>
      <c r="M27" s="160">
        <v>1</v>
      </c>
      <c r="N27" s="325">
        <v>3568467891254680</v>
      </c>
      <c r="O27" s="160" t="str">
        <f t="shared" si="31"/>
        <v>FR3568467891254680</v>
      </c>
      <c r="P27" s="160" t="s">
        <v>1777</v>
      </c>
      <c r="Q27" s="322" t="s">
        <v>1800</v>
      </c>
      <c r="R27" s="8" t="s">
        <v>1791</v>
      </c>
      <c r="S27" s="375" t="s">
        <v>2517</v>
      </c>
      <c r="T27" s="160">
        <v>1</v>
      </c>
      <c r="U27" s="160" t="s">
        <v>1922</v>
      </c>
      <c r="V27" s="160" t="str">
        <f t="shared" si="14"/>
        <v>CLIENTS</v>
      </c>
      <c r="W27" s="160" t="s">
        <v>2088</v>
      </c>
      <c r="X27" s="263" t="s">
        <v>271</v>
      </c>
      <c r="Y27" s="360" t="s">
        <v>2020</v>
      </c>
      <c r="Z27" s="263" t="s">
        <v>272</v>
      </c>
      <c r="AA27" s="360" t="s">
        <v>2020</v>
      </c>
      <c r="AB27" s="263" t="s">
        <v>283</v>
      </c>
      <c r="AC27" s="360" t="s">
        <v>2020</v>
      </c>
      <c r="AD27" s="263" t="s">
        <v>240</v>
      </c>
      <c r="AE27" s="360" t="s">
        <v>2020</v>
      </c>
      <c r="AF27" s="263" t="s">
        <v>274</v>
      </c>
      <c r="AG27" s="360" t="s">
        <v>2020</v>
      </c>
      <c r="AH27" s="263" t="s">
        <v>284</v>
      </c>
      <c r="AI27" s="360" t="s">
        <v>2020</v>
      </c>
      <c r="AJ27" s="195" t="s">
        <v>246</v>
      </c>
      <c r="AK27" s="360" t="s">
        <v>2020</v>
      </c>
      <c r="AL27" s="195" t="s">
        <v>250</v>
      </c>
      <c r="AM27" s="360" t="s">
        <v>2020</v>
      </c>
      <c r="AN27" s="373" t="s">
        <v>2513</v>
      </c>
      <c r="AO27" s="360" t="s">
        <v>2020</v>
      </c>
      <c r="AP27" s="195" t="s">
        <v>2518</v>
      </c>
      <c r="AQ27" s="360" t="s">
        <v>2020</v>
      </c>
      <c r="AR27" s="195" t="s">
        <v>1915</v>
      </c>
      <c r="AS27" s="360" t="s">
        <v>2020</v>
      </c>
      <c r="AT27" s="195" t="s">
        <v>1917</v>
      </c>
      <c r="AU27" s="360" t="s">
        <v>2020</v>
      </c>
      <c r="AV27" s="375" t="s">
        <v>2514</v>
      </c>
      <c r="AW27" s="377" t="s">
        <v>2020</v>
      </c>
      <c r="AX27" s="338" t="s">
        <v>196</v>
      </c>
      <c r="AY27" s="360" t="s">
        <v>2089</v>
      </c>
      <c r="AZ27" s="160" t="str">
        <f t="shared" si="15"/>
        <v>Eva</v>
      </c>
      <c r="BA27" s="360" t="s">
        <v>2091</v>
      </c>
      <c r="BB27" s="160" t="str">
        <f t="shared" si="16"/>
        <v>NOUIE</v>
      </c>
      <c r="BC27" s="360" t="s">
        <v>2091</v>
      </c>
      <c r="BD27" s="160" t="str">
        <f t="shared" si="17"/>
        <v>32 rue des fausses dents 32323 DENCREUSE</v>
      </c>
      <c r="BE27" s="360" t="s">
        <v>2091</v>
      </c>
      <c r="BF27" s="160" t="str">
        <f t="shared" si="18"/>
        <v>06.55.44.33.23</v>
      </c>
      <c r="BG27" s="360" t="s">
        <v>2091</v>
      </c>
      <c r="BH27" s="160" t="str">
        <f t="shared" si="19"/>
        <v>Eva.NOUIE@gmal.com</v>
      </c>
      <c r="BI27" s="360" t="s">
        <v>2093</v>
      </c>
      <c r="BJ27" s="160">
        <f t="shared" si="20"/>
        <v>0</v>
      </c>
      <c r="BK27" s="360" t="s">
        <v>2020</v>
      </c>
      <c r="BL27" s="325">
        <f t="shared" si="21"/>
        <v>1</v>
      </c>
      <c r="BM27" s="360" t="s">
        <v>2090</v>
      </c>
      <c r="BN27" s="325">
        <f t="shared" si="28"/>
        <v>0</v>
      </c>
      <c r="BO27" s="360" t="s">
        <v>2091</v>
      </c>
      <c r="BP27" s="160">
        <f t="shared" si="22"/>
        <v>0</v>
      </c>
      <c r="BQ27" s="360" t="s">
        <v>2091</v>
      </c>
      <c r="BR27" s="160">
        <f t="shared" si="23"/>
        <v>0</v>
      </c>
      <c r="BS27" s="360" t="s">
        <v>2091</v>
      </c>
      <c r="BT27" s="160" t="str">
        <f t="shared" si="24"/>
        <v>MedicCenter</v>
      </c>
      <c r="BU27" s="360" t="s">
        <v>2091</v>
      </c>
      <c r="BV27" s="160" t="str">
        <f t="shared" si="25"/>
        <v>112 Place laisse de lurgence 59000 LILLE</v>
      </c>
      <c r="BW27" s="360" t="s">
        <v>2091</v>
      </c>
      <c r="BX27" s="375" t="str">
        <f t="shared" si="29"/>
        <v>null</v>
      </c>
      <c r="BY27" s="377" t="s">
        <v>2093</v>
      </c>
      <c r="BZ27" s="160">
        <f t="shared" si="26"/>
        <v>1</v>
      </c>
      <c r="CA27" s="360" t="s">
        <v>2021</v>
      </c>
      <c r="CB27" s="353" t="str">
        <f t="shared" si="30"/>
        <v>INSERT INTO CLIENTS(firstname,name,adress,tel,mail,isActivate,isPro,numSiret,tvaIntracom,codeApe,nomActivitePro,adrActivitePro,commentaire,idUtilisateur) VALUES ('Eva','NOUIE','32 rue des fausses dents 32323 DENCREUSE','06.55.44.33.23','Eva.NOUIE@gmal.com',0,1,'0','0','0','MedicCenter','112 Place laisse de lurgence 59000 LILLE','null',1);</v>
      </c>
      <c r="CC27" s="360" t="s">
        <v>2526</v>
      </c>
      <c r="CD27" s="325"/>
      <c r="CE27" s="360"/>
      <c r="CG27" s="360"/>
      <c r="CI27" s="360"/>
      <c r="CK27" s="360"/>
      <c r="CM27" s="360"/>
      <c r="CO27" s="360"/>
    </row>
    <row r="28" spans="4:93" ht="15.85" customHeight="1" x14ac:dyDescent="0.3">
      <c r="D28" s="160">
        <v>12</v>
      </c>
      <c r="F28" s="160">
        <f t="shared" si="32"/>
        <v>8</v>
      </c>
      <c r="G28" s="160" t="s">
        <v>1835</v>
      </c>
      <c r="H28" s="160" t="s">
        <v>1836</v>
      </c>
      <c r="I28" s="160" t="s">
        <v>1838</v>
      </c>
      <c r="J28" s="160" t="s">
        <v>1839</v>
      </c>
      <c r="K28" s="160" t="str">
        <f t="shared" si="27"/>
        <v>Eva.NOUIE@gmal.com</v>
      </c>
      <c r="L28" s="160">
        <v>0</v>
      </c>
      <c r="M28" s="160">
        <v>1</v>
      </c>
      <c r="Q28" s="322" t="s">
        <v>1845</v>
      </c>
      <c r="R28" s="160" t="s">
        <v>2354</v>
      </c>
      <c r="S28" s="375" t="s">
        <v>2517</v>
      </c>
      <c r="T28" s="160">
        <v>1</v>
      </c>
      <c r="X28" s="353"/>
      <c r="AW28" s="325"/>
      <c r="BO28" s="353" t="str">
        <f t="shared" ref="BO28" si="33">AB28&amp;AC28&amp;AD28&amp;AE28&amp;AF28&amp;AG28&amp;AH28&amp;AI28&amp;AJ28&amp;AK28&amp;AL28&amp;AM28&amp;AN28&amp;AO28&amp;AP28&amp;AQ28&amp;AR28&amp;AS28&amp;AT28&amp;AU28&amp;AV28&amp;AW28&amp;AX28&amp;AY28&amp;AZ28&amp;BA28&amp;BB28&amp;BC28&amp;BD28&amp;BE28&amp;BF28&amp;BG28&amp;BH28&amp;BI28&amp;BJ28&amp;BK28&amp;BL28&amp;BM28&amp;BN28</f>
        <v/>
      </c>
      <c r="BP28" s="160" t="s">
        <v>1957</v>
      </c>
    </row>
    <row r="29" spans="4:93" ht="15.85" customHeight="1" thickBot="1" x14ac:dyDescent="0.35">
      <c r="J29" s="322"/>
    </row>
    <row r="30" spans="4:93" ht="15.85" customHeight="1" thickBot="1" x14ac:dyDescent="0.35">
      <c r="J30" s="322"/>
      <c r="U30" s="160" t="s">
        <v>375</v>
      </c>
      <c r="W30" s="288" t="s">
        <v>349</v>
      </c>
      <c r="Y30" s="292" t="s">
        <v>351</v>
      </c>
      <c r="Z30" s="360"/>
      <c r="AA30" s="292" t="s">
        <v>2527</v>
      </c>
      <c r="AB30" s="360"/>
      <c r="AD30" s="360"/>
      <c r="AF30" s="360"/>
      <c r="AQ30" s="361"/>
      <c r="AR30" s="329"/>
    </row>
    <row r="31" spans="4:93" ht="15.85" customHeight="1" thickBot="1" x14ac:dyDescent="0.35">
      <c r="E31" s="160" t="s">
        <v>375</v>
      </c>
      <c r="F31" s="288" t="s">
        <v>349</v>
      </c>
      <c r="G31" s="292" t="s">
        <v>351</v>
      </c>
      <c r="H31" s="292" t="s">
        <v>2527</v>
      </c>
      <c r="J31" s="322"/>
      <c r="P31" s="353"/>
      <c r="T31" s="160" t="s">
        <v>1922</v>
      </c>
      <c r="U31" s="160" t="s">
        <v>375</v>
      </c>
      <c r="V31" s="160" t="s">
        <v>2088</v>
      </c>
      <c r="W31" s="288"/>
      <c r="X31" s="360"/>
      <c r="Y31" s="292" t="s">
        <v>351</v>
      </c>
      <c r="Z31" s="360" t="s">
        <v>2020</v>
      </c>
      <c r="AA31" s="292" t="s">
        <v>2527</v>
      </c>
      <c r="AB31" s="360" t="s">
        <v>2089</v>
      </c>
      <c r="AD31" s="360"/>
      <c r="AE31" s="362" t="str">
        <f>M32</f>
        <v>2022/12/5</v>
      </c>
      <c r="AF31" s="360" t="s">
        <v>2091</v>
      </c>
      <c r="AG31" s="160" t="str">
        <f>H32</f>
        <v>Devis</v>
      </c>
      <c r="AH31" s="360" t="s">
        <v>2094</v>
      </c>
      <c r="AI31" s="329" t="str">
        <f>T31&amp;U31&amp;V31&amp;Y31&amp;Z31&amp;AA31&amp;AB31&amp;AE31&amp;AF31&amp;AG31&amp;AH31</f>
        <v>INSERT INTO GENERATEUR(dateGenerationDoc,catGen) VALUES ('2022/12/5','Devis');</v>
      </c>
      <c r="AJ31" s="369" t="s">
        <v>2528</v>
      </c>
      <c r="AQ31" s="361"/>
      <c r="AR31" s="329"/>
    </row>
    <row r="32" spans="4:93" ht="15.85" customHeight="1" thickBot="1" x14ac:dyDescent="0.35">
      <c r="F32" s="160">
        <v>1</v>
      </c>
      <c r="G32" s="329">
        <v>44900</v>
      </c>
      <c r="H32" s="160" t="s">
        <v>104</v>
      </c>
      <c r="I32" s="354">
        <v>1</v>
      </c>
      <c r="J32" s="160">
        <f>YEAR(G32)</f>
        <v>2022</v>
      </c>
      <c r="K32" s="160">
        <f>MONTH(G32)</f>
        <v>12</v>
      </c>
      <c r="L32" s="160">
        <f>DAY(G32)</f>
        <v>5</v>
      </c>
      <c r="M32" s="160" t="str">
        <f>J32&amp;"/"&amp;K32&amp;"/"&amp;L32</f>
        <v>2022/12/5</v>
      </c>
      <c r="P32" s="353"/>
      <c r="T32" s="160" t="s">
        <v>1922</v>
      </c>
      <c r="U32" s="160" t="s">
        <v>375</v>
      </c>
      <c r="V32" s="160" t="s">
        <v>2088</v>
      </c>
      <c r="W32" s="288"/>
      <c r="X32" s="360"/>
      <c r="Y32" s="292" t="s">
        <v>351</v>
      </c>
      <c r="Z32" s="360" t="s">
        <v>2020</v>
      </c>
      <c r="AA32" s="292" t="s">
        <v>2527</v>
      </c>
      <c r="AB32" s="360" t="s">
        <v>2089</v>
      </c>
      <c r="AD32" s="360"/>
      <c r="AE32" s="362" t="str">
        <f t="shared" ref="AE32:AE53" si="34">M33</f>
        <v>2022/12/20</v>
      </c>
      <c r="AF32" s="360" t="s">
        <v>2091</v>
      </c>
      <c r="AG32" s="160" t="str">
        <f t="shared" ref="AG32:AG53" si="35">H33</f>
        <v>Devis</v>
      </c>
      <c r="AH32" s="360" t="s">
        <v>2094</v>
      </c>
      <c r="AI32" s="329" t="str">
        <f t="shared" ref="AI32:AI53" si="36">T32&amp;U32&amp;V32&amp;Y32&amp;Z32&amp;AA32&amp;AB32&amp;AE32&amp;AF32&amp;AG32&amp;AH32</f>
        <v>INSERT INTO GENERATEUR(dateGenerationDoc,catGen) VALUES ('2022/12/20','Devis');</v>
      </c>
      <c r="AJ32" s="369" t="s">
        <v>2529</v>
      </c>
      <c r="AQ32" s="361"/>
      <c r="AR32" s="329"/>
      <c r="BF32" s="160" t="s">
        <v>1995</v>
      </c>
    </row>
    <row r="33" spans="6:46" ht="15.85" customHeight="1" thickBot="1" x14ac:dyDescent="0.35">
      <c r="F33" s="160">
        <f>F32+1</f>
        <v>2</v>
      </c>
      <c r="G33" s="329">
        <v>44915</v>
      </c>
      <c r="H33" s="160" t="s">
        <v>104</v>
      </c>
      <c r="I33" s="354">
        <v>2</v>
      </c>
      <c r="J33" s="160">
        <f t="shared" ref="J33:J54" si="37">YEAR(G33)</f>
        <v>2022</v>
      </c>
      <c r="K33" s="160">
        <f t="shared" ref="K33:K54" si="38">MONTH(G33)</f>
        <v>12</v>
      </c>
      <c r="L33" s="160">
        <f t="shared" ref="L33:L54" si="39">DAY(G33)</f>
        <v>20</v>
      </c>
      <c r="M33" s="160" t="str">
        <f t="shared" ref="M33:M54" si="40">J33&amp;"/"&amp;K33&amp;"/"&amp;L33</f>
        <v>2022/12/20</v>
      </c>
      <c r="P33" s="353"/>
      <c r="T33" s="160" t="s">
        <v>1922</v>
      </c>
      <c r="U33" s="160" t="s">
        <v>375</v>
      </c>
      <c r="V33" s="160" t="s">
        <v>2088</v>
      </c>
      <c r="W33" s="288"/>
      <c r="X33" s="360"/>
      <c r="Y33" s="292" t="s">
        <v>351</v>
      </c>
      <c r="Z33" s="360" t="s">
        <v>2020</v>
      </c>
      <c r="AA33" s="292" t="s">
        <v>2527</v>
      </c>
      <c r="AB33" s="360" t="s">
        <v>2089</v>
      </c>
      <c r="AD33" s="360"/>
      <c r="AE33" s="362" t="str">
        <f t="shared" si="34"/>
        <v>2022/12/10</v>
      </c>
      <c r="AF33" s="360" t="s">
        <v>2091</v>
      </c>
      <c r="AG33" s="160" t="str">
        <f t="shared" si="35"/>
        <v>Facture</v>
      </c>
      <c r="AH33" s="360" t="s">
        <v>2094</v>
      </c>
      <c r="AI33" s="329" t="str">
        <f t="shared" si="36"/>
        <v>INSERT INTO GENERATEUR(dateGenerationDoc,catGen) VALUES ('2022/12/10','Facture');</v>
      </c>
      <c r="AJ33" s="369" t="s">
        <v>2530</v>
      </c>
      <c r="AQ33" s="361"/>
      <c r="AR33" s="329"/>
    </row>
    <row r="34" spans="6:46" ht="15.85" customHeight="1" thickBot="1" x14ac:dyDescent="0.35">
      <c r="F34" s="160">
        <f t="shared" ref="F34:F54" si="41">F33+1</f>
        <v>3</v>
      </c>
      <c r="G34" s="335">
        <v>44905</v>
      </c>
      <c r="H34" s="160" t="s">
        <v>105</v>
      </c>
      <c r="I34" s="354">
        <v>1</v>
      </c>
      <c r="J34" s="160">
        <f t="shared" si="37"/>
        <v>2022</v>
      </c>
      <c r="K34" s="160">
        <f t="shared" si="38"/>
        <v>12</v>
      </c>
      <c r="L34" s="160">
        <f t="shared" si="39"/>
        <v>10</v>
      </c>
      <c r="M34" s="160" t="str">
        <f t="shared" si="40"/>
        <v>2022/12/10</v>
      </c>
      <c r="P34" s="353"/>
      <c r="T34" s="160" t="s">
        <v>1922</v>
      </c>
      <c r="U34" s="160" t="s">
        <v>375</v>
      </c>
      <c r="V34" s="160" t="s">
        <v>2088</v>
      </c>
      <c r="W34" s="288"/>
      <c r="X34" s="360"/>
      <c r="Y34" s="292" t="s">
        <v>351</v>
      </c>
      <c r="Z34" s="360" t="s">
        <v>2020</v>
      </c>
      <c r="AA34" s="292" t="s">
        <v>2527</v>
      </c>
      <c r="AB34" s="360" t="s">
        <v>2089</v>
      </c>
      <c r="AD34" s="360"/>
      <c r="AE34" s="362" t="str">
        <f t="shared" si="34"/>
        <v>2023/1/2</v>
      </c>
      <c r="AF34" s="360" t="s">
        <v>2091</v>
      </c>
      <c r="AG34" s="160" t="str">
        <f t="shared" si="35"/>
        <v>Facture</v>
      </c>
      <c r="AH34" s="360" t="s">
        <v>2094</v>
      </c>
      <c r="AI34" s="329" t="str">
        <f t="shared" si="36"/>
        <v>INSERT INTO GENERATEUR(dateGenerationDoc,catGen) VALUES ('2023/1/2','Facture');</v>
      </c>
      <c r="AJ34" s="369" t="s">
        <v>2531</v>
      </c>
      <c r="AQ34" s="361"/>
      <c r="AR34" s="329"/>
    </row>
    <row r="35" spans="6:46" ht="15.85" customHeight="1" thickBot="1" x14ac:dyDescent="0.35">
      <c r="F35" s="160">
        <f t="shared" si="41"/>
        <v>4</v>
      </c>
      <c r="G35" s="335">
        <v>44928</v>
      </c>
      <c r="H35" s="160" t="s">
        <v>105</v>
      </c>
      <c r="I35" s="354">
        <v>2</v>
      </c>
      <c r="J35" s="160">
        <f t="shared" si="37"/>
        <v>2023</v>
      </c>
      <c r="K35" s="160">
        <f t="shared" si="38"/>
        <v>1</v>
      </c>
      <c r="L35" s="160">
        <f t="shared" si="39"/>
        <v>2</v>
      </c>
      <c r="M35" s="160" t="str">
        <f t="shared" si="40"/>
        <v>2023/1/2</v>
      </c>
      <c r="P35" s="353"/>
      <c r="T35" s="160" t="s">
        <v>1922</v>
      </c>
      <c r="U35" s="160" t="s">
        <v>375</v>
      </c>
      <c r="V35" s="160" t="s">
        <v>2088</v>
      </c>
      <c r="W35" s="288"/>
      <c r="X35" s="360"/>
      <c r="Y35" s="292" t="s">
        <v>351</v>
      </c>
      <c r="Z35" s="360" t="s">
        <v>2020</v>
      </c>
      <c r="AA35" s="292" t="s">
        <v>2527</v>
      </c>
      <c r="AB35" s="360" t="s">
        <v>2089</v>
      </c>
      <c r="AD35" s="360"/>
      <c r="AE35" s="362" t="str">
        <f t="shared" si="34"/>
        <v>2023/1/10</v>
      </c>
      <c r="AF35" s="360" t="s">
        <v>2091</v>
      </c>
      <c r="AG35" s="160" t="str">
        <f t="shared" si="35"/>
        <v>Devis</v>
      </c>
      <c r="AH35" s="360" t="s">
        <v>2094</v>
      </c>
      <c r="AI35" s="329" t="str">
        <f t="shared" si="36"/>
        <v>INSERT INTO GENERATEUR(dateGenerationDoc,catGen) VALUES ('2023/1/10','Devis');</v>
      </c>
      <c r="AJ35" s="369" t="s">
        <v>2532</v>
      </c>
      <c r="AP35" s="160" t="str">
        <f t="shared" ref="AP35:AP52" si="42">"INSERT INTO "&amp;$E$31&amp;"("&amp;$F$31&amp;", "&amp;$G$31&amp;", "&amp;$H$31&amp;") VALUES ("&amp;F37&amp;","&amp;AR35&amp;","&amp;AS35&amp;","&amp;AT35</f>
        <v>INSERT INTO GENERATEUR(idDeGeneration, dateGenerationDoc, catGen) VALUES (6,44943,Facture,");</v>
      </c>
      <c r="AQ35" s="361" t="s">
        <v>1994</v>
      </c>
      <c r="AR35" s="329">
        <v>44943</v>
      </c>
      <c r="AS35" s="160" t="str">
        <f t="shared" ref="AS35:AS52" si="43">H37</f>
        <v>Facture</v>
      </c>
      <c r="AT35" s="160" t="s">
        <v>1939</v>
      </c>
    </row>
    <row r="36" spans="6:46" ht="15.85" customHeight="1" thickBot="1" x14ac:dyDescent="0.35">
      <c r="F36" s="160">
        <f t="shared" si="41"/>
        <v>5</v>
      </c>
      <c r="G36" s="329">
        <v>44936</v>
      </c>
      <c r="H36" s="160" t="s">
        <v>104</v>
      </c>
      <c r="I36" s="354">
        <v>3</v>
      </c>
      <c r="J36" s="160">
        <f t="shared" si="37"/>
        <v>2023</v>
      </c>
      <c r="K36" s="160">
        <f t="shared" si="38"/>
        <v>1</v>
      </c>
      <c r="L36" s="160">
        <f t="shared" si="39"/>
        <v>10</v>
      </c>
      <c r="M36" s="160" t="str">
        <f t="shared" si="40"/>
        <v>2023/1/10</v>
      </c>
      <c r="P36" s="353"/>
      <c r="T36" s="160" t="s">
        <v>1922</v>
      </c>
      <c r="U36" s="160" t="s">
        <v>375</v>
      </c>
      <c r="V36" s="160" t="s">
        <v>2088</v>
      </c>
      <c r="W36" s="288"/>
      <c r="X36" s="360"/>
      <c r="Y36" s="292" t="s">
        <v>351</v>
      </c>
      <c r="Z36" s="360" t="s">
        <v>2020</v>
      </c>
      <c r="AA36" s="292" t="s">
        <v>2527</v>
      </c>
      <c r="AB36" s="360" t="s">
        <v>2089</v>
      </c>
      <c r="AD36" s="360"/>
      <c r="AE36" s="362" t="str">
        <f t="shared" si="34"/>
        <v>2023/1/17</v>
      </c>
      <c r="AF36" s="360" t="s">
        <v>2091</v>
      </c>
      <c r="AG36" s="160" t="str">
        <f t="shared" si="35"/>
        <v>Facture</v>
      </c>
      <c r="AH36" s="360" t="s">
        <v>2094</v>
      </c>
      <c r="AI36" s="329" t="str">
        <f t="shared" si="36"/>
        <v>INSERT INTO GENERATEUR(dateGenerationDoc,catGen) VALUES ('2023/1/17','Facture');</v>
      </c>
      <c r="AJ36" s="369" t="s">
        <v>2533</v>
      </c>
      <c r="AP36" s="160" t="str">
        <f t="shared" si="42"/>
        <v>INSERT INTO GENERATEUR(idDeGeneration, dateGenerationDoc, catGen) VALUES (7,44946,Facture,");</v>
      </c>
      <c r="AQ36" s="361" t="s">
        <v>1994</v>
      </c>
      <c r="AR36" s="329">
        <v>44946</v>
      </c>
      <c r="AS36" s="160" t="str">
        <f t="shared" si="43"/>
        <v>Facture</v>
      </c>
      <c r="AT36" s="160" t="s">
        <v>1939</v>
      </c>
    </row>
    <row r="37" spans="6:46" ht="15.85" customHeight="1" thickBot="1" x14ac:dyDescent="0.35">
      <c r="F37" s="160">
        <f t="shared" si="41"/>
        <v>6</v>
      </c>
      <c r="G37" s="329">
        <v>44943</v>
      </c>
      <c r="H37" s="160" t="s">
        <v>105</v>
      </c>
      <c r="I37" s="354">
        <v>1</v>
      </c>
      <c r="J37" s="160">
        <f t="shared" si="37"/>
        <v>2023</v>
      </c>
      <c r="K37" s="160">
        <f t="shared" si="38"/>
        <v>1</v>
      </c>
      <c r="L37" s="160">
        <f t="shared" si="39"/>
        <v>17</v>
      </c>
      <c r="M37" s="160" t="str">
        <f t="shared" si="40"/>
        <v>2023/1/17</v>
      </c>
      <c r="P37" s="353"/>
      <c r="T37" s="160" t="s">
        <v>1922</v>
      </c>
      <c r="U37" s="160" t="s">
        <v>375</v>
      </c>
      <c r="V37" s="160" t="s">
        <v>2088</v>
      </c>
      <c r="W37" s="288"/>
      <c r="X37" s="360"/>
      <c r="Y37" s="292" t="s">
        <v>351</v>
      </c>
      <c r="Z37" s="360" t="s">
        <v>2020</v>
      </c>
      <c r="AA37" s="292" t="s">
        <v>2527</v>
      </c>
      <c r="AB37" s="360" t="s">
        <v>2089</v>
      </c>
      <c r="AD37" s="360"/>
      <c r="AE37" s="362" t="str">
        <f t="shared" si="34"/>
        <v>2023/1/20</v>
      </c>
      <c r="AF37" s="360" t="s">
        <v>2091</v>
      </c>
      <c r="AG37" s="160" t="str">
        <f t="shared" si="35"/>
        <v>Facture</v>
      </c>
      <c r="AH37" s="360" t="s">
        <v>2094</v>
      </c>
      <c r="AI37" s="329" t="str">
        <f t="shared" si="36"/>
        <v>INSERT INTO GENERATEUR(dateGenerationDoc,catGen) VALUES ('2023/1/20','Facture');</v>
      </c>
      <c r="AJ37" s="369" t="s">
        <v>2534</v>
      </c>
      <c r="AP37" s="160" t="str">
        <f t="shared" si="42"/>
        <v>INSERT INTO GENERATEUR(idDeGeneration, dateGenerationDoc, catGen) VALUES (8,44956,Devis,");</v>
      </c>
      <c r="AQ37" s="361" t="s">
        <v>1994</v>
      </c>
      <c r="AR37" s="329">
        <v>44956</v>
      </c>
      <c r="AS37" s="160" t="str">
        <f t="shared" si="43"/>
        <v>Devis</v>
      </c>
      <c r="AT37" s="160" t="s">
        <v>1939</v>
      </c>
    </row>
    <row r="38" spans="6:46" ht="15.85" customHeight="1" thickBot="1" x14ac:dyDescent="0.35">
      <c r="F38" s="160">
        <f t="shared" si="41"/>
        <v>7</v>
      </c>
      <c r="G38" s="335">
        <v>44946</v>
      </c>
      <c r="H38" s="160" t="s">
        <v>105</v>
      </c>
      <c r="I38" s="354">
        <v>3</v>
      </c>
      <c r="J38" s="160">
        <f t="shared" si="37"/>
        <v>2023</v>
      </c>
      <c r="K38" s="160">
        <f t="shared" si="38"/>
        <v>1</v>
      </c>
      <c r="L38" s="160">
        <f t="shared" si="39"/>
        <v>20</v>
      </c>
      <c r="M38" s="160" t="str">
        <f t="shared" si="40"/>
        <v>2023/1/20</v>
      </c>
      <c r="P38" s="353"/>
      <c r="T38" s="160" t="s">
        <v>1922</v>
      </c>
      <c r="U38" s="160" t="s">
        <v>375</v>
      </c>
      <c r="V38" s="160" t="s">
        <v>2088</v>
      </c>
      <c r="W38" s="288"/>
      <c r="X38" s="360"/>
      <c r="Y38" s="292" t="s">
        <v>351</v>
      </c>
      <c r="Z38" s="360" t="s">
        <v>2020</v>
      </c>
      <c r="AA38" s="292" t="s">
        <v>2527</v>
      </c>
      <c r="AB38" s="360" t="s">
        <v>2089</v>
      </c>
      <c r="AD38" s="360"/>
      <c r="AE38" s="362" t="str">
        <f t="shared" si="34"/>
        <v>2023/1/30</v>
      </c>
      <c r="AF38" s="360" t="s">
        <v>2091</v>
      </c>
      <c r="AG38" s="160" t="str">
        <f t="shared" si="35"/>
        <v>Devis</v>
      </c>
      <c r="AH38" s="360" t="s">
        <v>2094</v>
      </c>
      <c r="AI38" s="329" t="str">
        <f t="shared" si="36"/>
        <v>INSERT INTO GENERATEUR(dateGenerationDoc,catGen) VALUES ('2023/1/30','Devis');</v>
      </c>
      <c r="AJ38" s="369" t="s">
        <v>2535</v>
      </c>
      <c r="AP38" s="160" t="str">
        <f t="shared" si="42"/>
        <v>INSERT INTO GENERATEUR(idDeGeneration, dateGenerationDoc, catGen) VALUES (9,44960,Facture,");</v>
      </c>
      <c r="AQ38" s="361" t="s">
        <v>1994</v>
      </c>
      <c r="AR38" s="329">
        <v>44960</v>
      </c>
      <c r="AS38" s="160" t="str">
        <f t="shared" si="43"/>
        <v>Facture</v>
      </c>
      <c r="AT38" s="160" t="s">
        <v>1939</v>
      </c>
    </row>
    <row r="39" spans="6:46" ht="15.85" customHeight="1" thickBot="1" x14ac:dyDescent="0.35">
      <c r="F39" s="160">
        <f t="shared" si="41"/>
        <v>8</v>
      </c>
      <c r="G39" s="329">
        <v>44956</v>
      </c>
      <c r="H39" s="160" t="s">
        <v>104</v>
      </c>
      <c r="I39" s="354">
        <v>4</v>
      </c>
      <c r="J39" s="160">
        <f t="shared" si="37"/>
        <v>2023</v>
      </c>
      <c r="K39" s="160">
        <f t="shared" si="38"/>
        <v>1</v>
      </c>
      <c r="L39" s="160">
        <f t="shared" si="39"/>
        <v>30</v>
      </c>
      <c r="M39" s="160" t="str">
        <f t="shared" si="40"/>
        <v>2023/1/30</v>
      </c>
      <c r="P39" s="353"/>
      <c r="T39" s="160" t="s">
        <v>1922</v>
      </c>
      <c r="U39" s="160" t="s">
        <v>375</v>
      </c>
      <c r="V39" s="160" t="s">
        <v>2088</v>
      </c>
      <c r="W39" s="288"/>
      <c r="X39" s="360"/>
      <c r="Y39" s="292" t="s">
        <v>351</v>
      </c>
      <c r="Z39" s="360" t="s">
        <v>2020</v>
      </c>
      <c r="AA39" s="292" t="s">
        <v>2527</v>
      </c>
      <c r="AB39" s="360" t="s">
        <v>2089</v>
      </c>
      <c r="AD39" s="360"/>
      <c r="AE39" s="362" t="str">
        <f t="shared" si="34"/>
        <v>2023/2/3</v>
      </c>
      <c r="AF39" s="360" t="s">
        <v>2091</v>
      </c>
      <c r="AG39" s="160" t="str">
        <f t="shared" si="35"/>
        <v>Facture</v>
      </c>
      <c r="AH39" s="360" t="s">
        <v>2094</v>
      </c>
      <c r="AI39" s="329" t="str">
        <f t="shared" si="36"/>
        <v>INSERT INTO GENERATEUR(dateGenerationDoc,catGen) VALUES ('2023/2/3','Facture');</v>
      </c>
      <c r="AJ39" s="369" t="s">
        <v>2536</v>
      </c>
      <c r="AP39" s="160" t="str">
        <f t="shared" si="42"/>
        <v>INSERT INTO GENERATEUR(idDeGeneration, dateGenerationDoc, catGen) VALUES (10,44972,Facture,");</v>
      </c>
      <c r="AQ39" s="361" t="s">
        <v>1994</v>
      </c>
      <c r="AR39" s="329">
        <v>44972</v>
      </c>
      <c r="AS39" s="160" t="str">
        <f t="shared" si="43"/>
        <v>Facture</v>
      </c>
      <c r="AT39" s="160" t="s">
        <v>1939</v>
      </c>
    </row>
    <row r="40" spans="6:46" ht="15.85" customHeight="1" thickBot="1" x14ac:dyDescent="0.35">
      <c r="F40" s="160">
        <f t="shared" si="41"/>
        <v>9</v>
      </c>
      <c r="G40" s="329">
        <v>44960</v>
      </c>
      <c r="H40" s="160" t="s">
        <v>105</v>
      </c>
      <c r="I40" s="354">
        <v>2</v>
      </c>
      <c r="J40" s="160">
        <f t="shared" si="37"/>
        <v>2023</v>
      </c>
      <c r="K40" s="160">
        <f t="shared" si="38"/>
        <v>2</v>
      </c>
      <c r="L40" s="160">
        <f t="shared" si="39"/>
        <v>3</v>
      </c>
      <c r="M40" s="160" t="str">
        <f t="shared" si="40"/>
        <v>2023/2/3</v>
      </c>
      <c r="P40" s="353"/>
      <c r="T40" s="160" t="s">
        <v>1922</v>
      </c>
      <c r="U40" s="160" t="s">
        <v>375</v>
      </c>
      <c r="V40" s="160" t="s">
        <v>2088</v>
      </c>
      <c r="W40" s="288"/>
      <c r="X40" s="360"/>
      <c r="Y40" s="292" t="s">
        <v>351</v>
      </c>
      <c r="Z40" s="360" t="s">
        <v>2020</v>
      </c>
      <c r="AA40" s="292" t="s">
        <v>2527</v>
      </c>
      <c r="AB40" s="360" t="s">
        <v>2089</v>
      </c>
      <c r="AD40" s="360"/>
      <c r="AE40" s="362" t="str">
        <f t="shared" si="34"/>
        <v>2023/2/15</v>
      </c>
      <c r="AF40" s="360" t="s">
        <v>2091</v>
      </c>
      <c r="AG40" s="160" t="str">
        <f t="shared" si="35"/>
        <v>Facture</v>
      </c>
      <c r="AH40" s="360" t="s">
        <v>2094</v>
      </c>
      <c r="AI40" s="329" t="str">
        <f t="shared" si="36"/>
        <v>INSERT INTO GENERATEUR(dateGenerationDoc,catGen) VALUES ('2023/2/15','Facture');</v>
      </c>
      <c r="AJ40" s="369" t="s">
        <v>2537</v>
      </c>
      <c r="AP40" s="160" t="str">
        <f t="shared" si="42"/>
        <v>INSERT INTO GENERATEUR(idDeGeneration, dateGenerationDoc, catGen) VALUES (11,44972,Devis,");</v>
      </c>
      <c r="AQ40" s="361" t="s">
        <v>1994</v>
      </c>
      <c r="AR40" s="329">
        <v>44972</v>
      </c>
      <c r="AS40" s="160" t="str">
        <f t="shared" si="43"/>
        <v>Devis</v>
      </c>
      <c r="AT40" s="160" t="s">
        <v>1939</v>
      </c>
    </row>
    <row r="41" spans="6:46" ht="15.85" customHeight="1" thickBot="1" x14ac:dyDescent="0.35">
      <c r="F41" s="160">
        <f t="shared" si="41"/>
        <v>10</v>
      </c>
      <c r="G41" s="335">
        <v>44972</v>
      </c>
      <c r="H41" s="160" t="s">
        <v>105</v>
      </c>
      <c r="I41" s="354">
        <v>4</v>
      </c>
      <c r="J41" s="160">
        <f t="shared" si="37"/>
        <v>2023</v>
      </c>
      <c r="K41" s="160">
        <f t="shared" si="38"/>
        <v>2</v>
      </c>
      <c r="L41" s="160">
        <f t="shared" si="39"/>
        <v>15</v>
      </c>
      <c r="M41" s="160" t="str">
        <f t="shared" si="40"/>
        <v>2023/2/15</v>
      </c>
      <c r="P41" s="353"/>
      <c r="T41" s="160" t="s">
        <v>1922</v>
      </c>
      <c r="U41" s="160" t="s">
        <v>375</v>
      </c>
      <c r="V41" s="160" t="s">
        <v>2088</v>
      </c>
      <c r="W41" s="288"/>
      <c r="X41" s="360"/>
      <c r="Y41" s="292" t="s">
        <v>351</v>
      </c>
      <c r="Z41" s="360" t="s">
        <v>2020</v>
      </c>
      <c r="AA41" s="292" t="s">
        <v>2527</v>
      </c>
      <c r="AB41" s="360" t="s">
        <v>2089</v>
      </c>
      <c r="AD41" s="360"/>
      <c r="AE41" s="362" t="str">
        <f t="shared" si="34"/>
        <v>2023/2/15</v>
      </c>
      <c r="AF41" s="360" t="s">
        <v>2091</v>
      </c>
      <c r="AG41" s="160" t="str">
        <f t="shared" si="35"/>
        <v>Devis</v>
      </c>
      <c r="AH41" s="360" t="s">
        <v>2094</v>
      </c>
      <c r="AI41" s="329" t="str">
        <f t="shared" si="36"/>
        <v>INSERT INTO GENERATEUR(dateGenerationDoc,catGen) VALUES ('2023/2/15','Devis');</v>
      </c>
      <c r="AJ41" s="369" t="s">
        <v>2538</v>
      </c>
      <c r="AP41" s="160" t="str">
        <f t="shared" si="42"/>
        <v>INSERT INTO GENERATEUR(idDeGeneration, dateGenerationDoc, catGen) VALUES (12,44981,Facture,");</v>
      </c>
      <c r="AQ41" s="361" t="s">
        <v>1994</v>
      </c>
      <c r="AR41" s="329">
        <v>44981</v>
      </c>
      <c r="AS41" s="160" t="str">
        <f t="shared" si="43"/>
        <v>Facture</v>
      </c>
      <c r="AT41" s="160" t="s">
        <v>1939</v>
      </c>
    </row>
    <row r="42" spans="6:46" ht="15.85" customHeight="1" thickBot="1" x14ac:dyDescent="0.35">
      <c r="F42" s="160">
        <f t="shared" si="41"/>
        <v>11</v>
      </c>
      <c r="G42" s="329">
        <v>44972</v>
      </c>
      <c r="H42" s="160" t="s">
        <v>104</v>
      </c>
      <c r="I42" s="354">
        <v>5</v>
      </c>
      <c r="J42" s="160">
        <f t="shared" si="37"/>
        <v>2023</v>
      </c>
      <c r="K42" s="160">
        <f t="shared" si="38"/>
        <v>2</v>
      </c>
      <c r="L42" s="160">
        <f t="shared" si="39"/>
        <v>15</v>
      </c>
      <c r="M42" s="160" t="str">
        <f t="shared" si="40"/>
        <v>2023/2/15</v>
      </c>
      <c r="P42" s="353"/>
      <c r="T42" s="160" t="s">
        <v>1922</v>
      </c>
      <c r="U42" s="160" t="s">
        <v>375</v>
      </c>
      <c r="V42" s="160" t="s">
        <v>2088</v>
      </c>
      <c r="W42" s="288"/>
      <c r="X42" s="360"/>
      <c r="Y42" s="292" t="s">
        <v>351</v>
      </c>
      <c r="Z42" s="360" t="s">
        <v>2020</v>
      </c>
      <c r="AA42" s="292" t="s">
        <v>2527</v>
      </c>
      <c r="AB42" s="360" t="s">
        <v>2089</v>
      </c>
      <c r="AD42" s="360"/>
      <c r="AE42" s="362" t="str">
        <f t="shared" si="34"/>
        <v>2023/2/24</v>
      </c>
      <c r="AF42" s="360" t="s">
        <v>2091</v>
      </c>
      <c r="AG42" s="160" t="str">
        <f t="shared" si="35"/>
        <v>Facture</v>
      </c>
      <c r="AH42" s="360" t="s">
        <v>2094</v>
      </c>
      <c r="AI42" s="329" t="str">
        <f t="shared" si="36"/>
        <v>INSERT INTO GENERATEUR(dateGenerationDoc,catGen) VALUES ('2023/2/24','Facture');</v>
      </c>
      <c r="AJ42" s="369" t="s">
        <v>2539</v>
      </c>
      <c r="AP42" s="160" t="str">
        <f t="shared" si="42"/>
        <v>INSERT INTO GENERATEUR(idDeGeneration, dateGenerationDoc, catGen) VALUES (13,44983,Facture,");</v>
      </c>
      <c r="AQ42" s="361" t="s">
        <v>1994</v>
      </c>
      <c r="AR42" s="329">
        <v>44983</v>
      </c>
      <c r="AS42" s="160" t="str">
        <f t="shared" si="43"/>
        <v>Facture</v>
      </c>
      <c r="AT42" s="160" t="s">
        <v>1939</v>
      </c>
    </row>
    <row r="43" spans="6:46" ht="15.85" customHeight="1" thickBot="1" x14ac:dyDescent="0.35">
      <c r="F43" s="160">
        <f t="shared" si="41"/>
        <v>12</v>
      </c>
      <c r="G43" s="329">
        <v>44981</v>
      </c>
      <c r="H43" s="160" t="s">
        <v>105</v>
      </c>
      <c r="I43" s="354">
        <v>3</v>
      </c>
      <c r="J43" s="160">
        <f t="shared" si="37"/>
        <v>2023</v>
      </c>
      <c r="K43" s="160">
        <f t="shared" si="38"/>
        <v>2</v>
      </c>
      <c r="L43" s="160">
        <f t="shared" si="39"/>
        <v>24</v>
      </c>
      <c r="M43" s="160" t="str">
        <f t="shared" si="40"/>
        <v>2023/2/24</v>
      </c>
      <c r="P43" s="353"/>
      <c r="T43" s="160" t="s">
        <v>1922</v>
      </c>
      <c r="U43" s="160" t="s">
        <v>375</v>
      </c>
      <c r="V43" s="160" t="s">
        <v>2088</v>
      </c>
      <c r="W43" s="288"/>
      <c r="X43" s="360"/>
      <c r="Y43" s="292" t="s">
        <v>351</v>
      </c>
      <c r="Z43" s="360" t="s">
        <v>2020</v>
      </c>
      <c r="AA43" s="292" t="s">
        <v>2527</v>
      </c>
      <c r="AB43" s="360" t="s">
        <v>2089</v>
      </c>
      <c r="AD43" s="360"/>
      <c r="AE43" s="362" t="str">
        <f t="shared" si="34"/>
        <v>2023/2/26</v>
      </c>
      <c r="AF43" s="360" t="s">
        <v>2091</v>
      </c>
      <c r="AG43" s="160" t="str">
        <f t="shared" si="35"/>
        <v>Facture</v>
      </c>
      <c r="AH43" s="360" t="s">
        <v>2094</v>
      </c>
      <c r="AI43" s="329" t="str">
        <f t="shared" si="36"/>
        <v>INSERT INTO GENERATEUR(dateGenerationDoc,catGen) VALUES ('2023/2/26','Facture');</v>
      </c>
      <c r="AJ43" s="369" t="s">
        <v>2540</v>
      </c>
      <c r="AP43" s="160" t="str">
        <f t="shared" si="42"/>
        <v>INSERT INTO GENERATEUR(idDeGeneration, dateGenerationDoc, catGen) VALUES (14,44990,Devis,");</v>
      </c>
      <c r="AQ43" s="361" t="s">
        <v>1994</v>
      </c>
      <c r="AR43" s="329">
        <v>44990</v>
      </c>
      <c r="AS43" s="160" t="str">
        <f t="shared" si="43"/>
        <v>Devis</v>
      </c>
      <c r="AT43" s="160" t="s">
        <v>1939</v>
      </c>
    </row>
    <row r="44" spans="6:46" ht="15.85" customHeight="1" thickBot="1" x14ac:dyDescent="0.35">
      <c r="F44" s="160">
        <f t="shared" si="41"/>
        <v>13</v>
      </c>
      <c r="G44" s="335">
        <v>44983</v>
      </c>
      <c r="H44" s="160" t="s">
        <v>105</v>
      </c>
      <c r="I44" s="354">
        <v>5</v>
      </c>
      <c r="J44" s="160">
        <f t="shared" si="37"/>
        <v>2023</v>
      </c>
      <c r="K44" s="160">
        <f t="shared" si="38"/>
        <v>2</v>
      </c>
      <c r="L44" s="160">
        <f t="shared" si="39"/>
        <v>26</v>
      </c>
      <c r="M44" s="160" t="str">
        <f t="shared" si="40"/>
        <v>2023/2/26</v>
      </c>
      <c r="P44" s="353"/>
      <c r="T44" s="160" t="s">
        <v>1922</v>
      </c>
      <c r="U44" s="160" t="s">
        <v>375</v>
      </c>
      <c r="V44" s="160" t="s">
        <v>2088</v>
      </c>
      <c r="W44" s="288"/>
      <c r="X44" s="360"/>
      <c r="Y44" s="292" t="s">
        <v>351</v>
      </c>
      <c r="Z44" s="360" t="s">
        <v>2020</v>
      </c>
      <c r="AA44" s="292" t="s">
        <v>2527</v>
      </c>
      <c r="AB44" s="360" t="s">
        <v>2089</v>
      </c>
      <c r="AD44" s="360"/>
      <c r="AE44" s="362" t="str">
        <f t="shared" si="34"/>
        <v>2023/3/5</v>
      </c>
      <c r="AF44" s="360" t="s">
        <v>2091</v>
      </c>
      <c r="AG44" s="160" t="str">
        <f t="shared" si="35"/>
        <v>Devis</v>
      </c>
      <c r="AH44" s="360" t="s">
        <v>2094</v>
      </c>
      <c r="AI44" s="329" t="str">
        <f t="shared" si="36"/>
        <v>INSERT INTO GENERATEUR(dateGenerationDoc,catGen) VALUES ('2023/3/5','Devis');</v>
      </c>
      <c r="AJ44" s="369" t="s">
        <v>2541</v>
      </c>
      <c r="AP44" s="160" t="str">
        <f t="shared" si="42"/>
        <v>INSERT INTO GENERATEUR(idDeGeneration, dateGenerationDoc, catGen) VALUES (15,44995,Facture,");</v>
      </c>
      <c r="AQ44" s="361" t="s">
        <v>1994</v>
      </c>
      <c r="AR44" s="329">
        <v>44995</v>
      </c>
      <c r="AS44" s="160" t="str">
        <f t="shared" si="43"/>
        <v>Facture</v>
      </c>
      <c r="AT44" s="160" t="s">
        <v>1939</v>
      </c>
    </row>
    <row r="45" spans="6:46" ht="15.85" customHeight="1" thickBot="1" x14ac:dyDescent="0.35">
      <c r="F45" s="160">
        <f t="shared" si="41"/>
        <v>14</v>
      </c>
      <c r="G45" s="329">
        <v>44990</v>
      </c>
      <c r="H45" s="160" t="s">
        <v>104</v>
      </c>
      <c r="I45" s="354">
        <v>6</v>
      </c>
      <c r="J45" s="160">
        <f t="shared" si="37"/>
        <v>2023</v>
      </c>
      <c r="K45" s="160">
        <f t="shared" si="38"/>
        <v>3</v>
      </c>
      <c r="L45" s="160">
        <f t="shared" si="39"/>
        <v>5</v>
      </c>
      <c r="M45" s="160" t="str">
        <f t="shared" si="40"/>
        <v>2023/3/5</v>
      </c>
      <c r="N45" s="294"/>
      <c r="P45" s="353"/>
      <c r="T45" s="160" t="s">
        <v>1922</v>
      </c>
      <c r="U45" s="160" t="s">
        <v>375</v>
      </c>
      <c r="V45" s="160" t="s">
        <v>2088</v>
      </c>
      <c r="W45" s="288"/>
      <c r="X45" s="360"/>
      <c r="Y45" s="292" t="s">
        <v>351</v>
      </c>
      <c r="Z45" s="360" t="s">
        <v>2020</v>
      </c>
      <c r="AA45" s="292" t="s">
        <v>2527</v>
      </c>
      <c r="AB45" s="360" t="s">
        <v>2089</v>
      </c>
      <c r="AD45" s="360"/>
      <c r="AE45" s="362" t="str">
        <f t="shared" si="34"/>
        <v>2023/3/10</v>
      </c>
      <c r="AF45" s="360" t="s">
        <v>2091</v>
      </c>
      <c r="AG45" s="160" t="str">
        <f t="shared" si="35"/>
        <v>Facture</v>
      </c>
      <c r="AH45" s="360" t="s">
        <v>2094</v>
      </c>
      <c r="AI45" s="329" t="str">
        <f t="shared" si="36"/>
        <v>INSERT INTO GENERATEUR(dateGenerationDoc,catGen) VALUES ('2023/3/10','Facture');</v>
      </c>
      <c r="AJ45" s="369" t="s">
        <v>2542</v>
      </c>
      <c r="AP45" s="160" t="str">
        <f t="shared" si="42"/>
        <v>INSERT INTO GENERATEUR(idDeGeneration, dateGenerationDoc, catGen) VALUES (16,44997,Facture,");</v>
      </c>
      <c r="AQ45" s="361" t="s">
        <v>1994</v>
      </c>
      <c r="AR45" s="329">
        <v>44997</v>
      </c>
      <c r="AS45" s="160" t="str">
        <f t="shared" si="43"/>
        <v>Facture</v>
      </c>
      <c r="AT45" s="160" t="s">
        <v>1939</v>
      </c>
    </row>
    <row r="46" spans="6:46" ht="15.85" customHeight="1" thickBot="1" x14ac:dyDescent="0.35">
      <c r="F46" s="160">
        <f t="shared" si="41"/>
        <v>15</v>
      </c>
      <c r="G46" s="329">
        <v>44995</v>
      </c>
      <c r="H46" s="160" t="s">
        <v>105</v>
      </c>
      <c r="I46" s="354">
        <v>4</v>
      </c>
      <c r="J46" s="160">
        <f t="shared" si="37"/>
        <v>2023</v>
      </c>
      <c r="K46" s="160">
        <f t="shared" si="38"/>
        <v>3</v>
      </c>
      <c r="L46" s="160">
        <f t="shared" si="39"/>
        <v>10</v>
      </c>
      <c r="M46" s="160" t="str">
        <f t="shared" si="40"/>
        <v>2023/3/10</v>
      </c>
      <c r="P46" s="353"/>
      <c r="T46" s="160" t="s">
        <v>1922</v>
      </c>
      <c r="U46" s="160" t="s">
        <v>375</v>
      </c>
      <c r="V46" s="160" t="s">
        <v>2088</v>
      </c>
      <c r="W46" s="288"/>
      <c r="X46" s="360"/>
      <c r="Y46" s="292" t="s">
        <v>351</v>
      </c>
      <c r="Z46" s="360" t="s">
        <v>2020</v>
      </c>
      <c r="AA46" s="292" t="s">
        <v>2527</v>
      </c>
      <c r="AB46" s="360" t="s">
        <v>2089</v>
      </c>
      <c r="AD46" s="360"/>
      <c r="AE46" s="362" t="str">
        <f t="shared" si="34"/>
        <v>2023/3/12</v>
      </c>
      <c r="AF46" s="360" t="s">
        <v>2091</v>
      </c>
      <c r="AG46" s="160" t="str">
        <f t="shared" si="35"/>
        <v>Facture</v>
      </c>
      <c r="AH46" s="360" t="s">
        <v>2094</v>
      </c>
      <c r="AI46" s="329" t="str">
        <f t="shared" si="36"/>
        <v>INSERT INTO GENERATEUR(dateGenerationDoc,catGen) VALUES ('2023/3/12','Facture');</v>
      </c>
      <c r="AJ46" s="369" t="s">
        <v>2543</v>
      </c>
      <c r="AP46" s="160" t="str">
        <f t="shared" si="42"/>
        <v>INSERT INTO GENERATEUR(idDeGeneration, dateGenerationDoc, catGen) VALUES (17,45020,Facture,");</v>
      </c>
      <c r="AQ46" s="361" t="s">
        <v>1994</v>
      </c>
      <c r="AR46" s="329">
        <v>45020</v>
      </c>
      <c r="AS46" s="160" t="str">
        <f t="shared" si="43"/>
        <v>Facture</v>
      </c>
      <c r="AT46" s="160" t="s">
        <v>1939</v>
      </c>
    </row>
    <row r="47" spans="6:46" ht="15.85" customHeight="1" thickBot="1" x14ac:dyDescent="0.35">
      <c r="F47" s="160">
        <f t="shared" si="41"/>
        <v>16</v>
      </c>
      <c r="G47" s="335">
        <v>44997</v>
      </c>
      <c r="H47" s="160" t="s">
        <v>105</v>
      </c>
      <c r="I47" s="354">
        <v>6</v>
      </c>
      <c r="J47" s="160">
        <f t="shared" si="37"/>
        <v>2023</v>
      </c>
      <c r="K47" s="160">
        <f t="shared" si="38"/>
        <v>3</v>
      </c>
      <c r="L47" s="160">
        <f t="shared" si="39"/>
        <v>12</v>
      </c>
      <c r="M47" s="160" t="str">
        <f t="shared" si="40"/>
        <v>2023/3/12</v>
      </c>
      <c r="P47" s="353"/>
      <c r="T47" s="160" t="s">
        <v>1922</v>
      </c>
      <c r="U47" s="160" t="s">
        <v>375</v>
      </c>
      <c r="V47" s="160" t="s">
        <v>2088</v>
      </c>
      <c r="W47" s="288"/>
      <c r="X47" s="360"/>
      <c r="Y47" s="292" t="s">
        <v>351</v>
      </c>
      <c r="Z47" s="360" t="s">
        <v>2020</v>
      </c>
      <c r="AA47" s="292" t="s">
        <v>2527</v>
      </c>
      <c r="AB47" s="360" t="s">
        <v>2089</v>
      </c>
      <c r="AD47" s="360"/>
      <c r="AE47" s="362" t="str">
        <f t="shared" si="34"/>
        <v>2023/4/4</v>
      </c>
      <c r="AF47" s="360" t="s">
        <v>2091</v>
      </c>
      <c r="AG47" s="160" t="str">
        <f t="shared" si="35"/>
        <v>Facture</v>
      </c>
      <c r="AH47" s="360" t="s">
        <v>2094</v>
      </c>
      <c r="AI47" s="329" t="str">
        <f t="shared" si="36"/>
        <v>INSERT INTO GENERATEUR(dateGenerationDoc,catGen) VALUES ('2023/4/4','Facture');</v>
      </c>
      <c r="AJ47" s="369" t="s">
        <v>2544</v>
      </c>
      <c r="AP47" s="160" t="str">
        <f t="shared" si="42"/>
        <v>INSERT INTO GENERATEUR(idDeGeneration, dateGenerationDoc, catGen) VALUES (18,45021,Devis,");</v>
      </c>
      <c r="AQ47" s="361" t="s">
        <v>1994</v>
      </c>
      <c r="AR47" s="329">
        <v>45021</v>
      </c>
      <c r="AS47" s="160" t="str">
        <f t="shared" si="43"/>
        <v>Devis</v>
      </c>
      <c r="AT47" s="160" t="s">
        <v>1939</v>
      </c>
    </row>
    <row r="48" spans="6:46" ht="15.85" customHeight="1" thickBot="1" x14ac:dyDescent="0.35">
      <c r="F48" s="160">
        <f t="shared" si="41"/>
        <v>17</v>
      </c>
      <c r="G48" s="329">
        <v>45020</v>
      </c>
      <c r="H48" s="160" t="s">
        <v>105</v>
      </c>
      <c r="I48" s="354">
        <v>5</v>
      </c>
      <c r="J48" s="160">
        <f t="shared" si="37"/>
        <v>2023</v>
      </c>
      <c r="K48" s="160">
        <f t="shared" si="38"/>
        <v>4</v>
      </c>
      <c r="L48" s="160">
        <f t="shared" si="39"/>
        <v>4</v>
      </c>
      <c r="M48" s="160" t="str">
        <f t="shared" si="40"/>
        <v>2023/4/4</v>
      </c>
      <c r="P48" s="353"/>
      <c r="T48" s="160" t="s">
        <v>1922</v>
      </c>
      <c r="U48" s="160" t="s">
        <v>375</v>
      </c>
      <c r="V48" s="160" t="s">
        <v>2088</v>
      </c>
      <c r="W48" s="288"/>
      <c r="X48" s="360"/>
      <c r="Y48" s="292" t="s">
        <v>351</v>
      </c>
      <c r="Z48" s="360" t="s">
        <v>2020</v>
      </c>
      <c r="AA48" s="292" t="s">
        <v>2527</v>
      </c>
      <c r="AB48" s="360" t="s">
        <v>2089</v>
      </c>
      <c r="AD48" s="360"/>
      <c r="AE48" s="362" t="str">
        <f t="shared" si="34"/>
        <v>2023/4/5</v>
      </c>
      <c r="AF48" s="360" t="s">
        <v>2091</v>
      </c>
      <c r="AG48" s="160" t="str">
        <f t="shared" si="35"/>
        <v>Devis</v>
      </c>
      <c r="AH48" s="360" t="s">
        <v>2094</v>
      </c>
      <c r="AI48" s="329" t="str">
        <f t="shared" si="36"/>
        <v>INSERT INTO GENERATEUR(dateGenerationDoc,catGen) VALUES ('2023/4/5','Devis');</v>
      </c>
      <c r="AJ48" s="369" t="s">
        <v>2545</v>
      </c>
      <c r="AP48" s="160" t="str">
        <f t="shared" si="42"/>
        <v>INSERT INTO GENERATEUR(idDeGeneration, dateGenerationDoc, catGen) VALUES (19,45031,Facture,");</v>
      </c>
      <c r="AQ48" s="361" t="s">
        <v>1994</v>
      </c>
      <c r="AR48" s="329">
        <v>45031</v>
      </c>
      <c r="AS48" s="160" t="str">
        <f t="shared" si="43"/>
        <v>Facture</v>
      </c>
      <c r="AT48" s="160" t="s">
        <v>1939</v>
      </c>
    </row>
    <row r="49" spans="5:53" ht="15.85" customHeight="1" thickBot="1" x14ac:dyDescent="0.35">
      <c r="F49" s="160">
        <f t="shared" si="41"/>
        <v>18</v>
      </c>
      <c r="G49" s="329">
        <v>45021</v>
      </c>
      <c r="H49" s="160" t="s">
        <v>104</v>
      </c>
      <c r="I49" s="354">
        <v>7</v>
      </c>
      <c r="J49" s="160">
        <f t="shared" si="37"/>
        <v>2023</v>
      </c>
      <c r="K49" s="160">
        <f t="shared" si="38"/>
        <v>4</v>
      </c>
      <c r="L49" s="160">
        <f t="shared" si="39"/>
        <v>5</v>
      </c>
      <c r="M49" s="160" t="str">
        <f t="shared" si="40"/>
        <v>2023/4/5</v>
      </c>
      <c r="P49" s="353"/>
      <c r="T49" s="160" t="s">
        <v>1922</v>
      </c>
      <c r="U49" s="160" t="s">
        <v>375</v>
      </c>
      <c r="V49" s="160" t="s">
        <v>2088</v>
      </c>
      <c r="W49" s="288"/>
      <c r="X49" s="360"/>
      <c r="Y49" s="292" t="s">
        <v>351</v>
      </c>
      <c r="Z49" s="360" t="s">
        <v>2020</v>
      </c>
      <c r="AA49" s="292" t="s">
        <v>2527</v>
      </c>
      <c r="AB49" s="360" t="s">
        <v>2089</v>
      </c>
      <c r="AD49" s="360"/>
      <c r="AE49" s="362" t="str">
        <f t="shared" si="34"/>
        <v>2023/4/15</v>
      </c>
      <c r="AF49" s="360" t="s">
        <v>2091</v>
      </c>
      <c r="AG49" s="160" t="str">
        <f t="shared" si="35"/>
        <v>Facture</v>
      </c>
      <c r="AH49" s="360" t="s">
        <v>2094</v>
      </c>
      <c r="AI49" s="329" t="str">
        <f t="shared" si="36"/>
        <v>INSERT INTO GENERATEUR(dateGenerationDoc,catGen) VALUES ('2023/4/15','Facture');</v>
      </c>
      <c r="AJ49" s="369" t="s">
        <v>2546</v>
      </c>
      <c r="AP49" s="160" t="str">
        <f t="shared" si="42"/>
        <v>INSERT INTO GENERATEUR(idDeGeneration, dateGenerationDoc, catGen) VALUES (20,45044,Facture,");</v>
      </c>
      <c r="AQ49" s="361" t="s">
        <v>1994</v>
      </c>
      <c r="AR49" s="329">
        <v>45044</v>
      </c>
      <c r="AS49" s="160" t="str">
        <f t="shared" si="43"/>
        <v>Facture</v>
      </c>
      <c r="AT49" s="160" t="s">
        <v>1939</v>
      </c>
    </row>
    <row r="50" spans="5:53" ht="15.85" customHeight="1" thickBot="1" x14ac:dyDescent="0.35">
      <c r="F50" s="160">
        <f t="shared" si="41"/>
        <v>19</v>
      </c>
      <c r="G50" s="335">
        <v>45031</v>
      </c>
      <c r="H50" s="160" t="s">
        <v>105</v>
      </c>
      <c r="I50" s="354">
        <v>7</v>
      </c>
      <c r="J50" s="160">
        <f t="shared" si="37"/>
        <v>2023</v>
      </c>
      <c r="K50" s="160">
        <f t="shared" si="38"/>
        <v>4</v>
      </c>
      <c r="L50" s="160">
        <f t="shared" si="39"/>
        <v>15</v>
      </c>
      <c r="M50" s="160" t="str">
        <f t="shared" si="40"/>
        <v>2023/4/15</v>
      </c>
      <c r="P50" s="353"/>
      <c r="T50" s="160" t="s">
        <v>1922</v>
      </c>
      <c r="U50" s="160" t="s">
        <v>375</v>
      </c>
      <c r="V50" s="160" t="s">
        <v>2088</v>
      </c>
      <c r="W50" s="288"/>
      <c r="X50" s="360"/>
      <c r="Y50" s="292" t="s">
        <v>351</v>
      </c>
      <c r="Z50" s="360" t="s">
        <v>2020</v>
      </c>
      <c r="AA50" s="292" t="s">
        <v>2527</v>
      </c>
      <c r="AB50" s="360" t="s">
        <v>2089</v>
      </c>
      <c r="AD50" s="360"/>
      <c r="AE50" s="362" t="str">
        <f t="shared" si="34"/>
        <v>2023/4/28</v>
      </c>
      <c r="AF50" s="360" t="s">
        <v>2091</v>
      </c>
      <c r="AG50" s="160" t="str">
        <f t="shared" si="35"/>
        <v>Facture</v>
      </c>
      <c r="AH50" s="360" t="s">
        <v>2094</v>
      </c>
      <c r="AI50" s="329" t="str">
        <f t="shared" si="36"/>
        <v>INSERT INTO GENERATEUR(dateGenerationDoc,catGen) VALUES ('2023/4/28','Facture');</v>
      </c>
      <c r="AJ50" s="369" t="s">
        <v>2547</v>
      </c>
      <c r="AP50" s="160" t="str">
        <f t="shared" si="42"/>
        <v>INSERT INTO GENERATEUR(idDeGeneration, dateGenerationDoc, catGen) VALUES (21,45061,Devis,");</v>
      </c>
      <c r="AQ50" s="361" t="s">
        <v>1994</v>
      </c>
      <c r="AR50" s="329">
        <v>45061</v>
      </c>
      <c r="AS50" s="160" t="str">
        <f t="shared" si="43"/>
        <v>Devis</v>
      </c>
      <c r="AT50" s="160" t="s">
        <v>1939</v>
      </c>
    </row>
    <row r="51" spans="5:53" ht="15.85" customHeight="1" thickBot="1" x14ac:dyDescent="0.35">
      <c r="F51" s="160">
        <f t="shared" si="41"/>
        <v>20</v>
      </c>
      <c r="G51" s="329">
        <v>45044</v>
      </c>
      <c r="H51" s="160" t="s">
        <v>105</v>
      </c>
      <c r="I51" s="354">
        <v>6</v>
      </c>
      <c r="J51" s="160">
        <f t="shared" si="37"/>
        <v>2023</v>
      </c>
      <c r="K51" s="160">
        <f t="shared" si="38"/>
        <v>4</v>
      </c>
      <c r="L51" s="160">
        <f t="shared" si="39"/>
        <v>28</v>
      </c>
      <c r="M51" s="160" t="str">
        <f t="shared" si="40"/>
        <v>2023/4/28</v>
      </c>
      <c r="P51" s="353"/>
      <c r="T51" s="160" t="s">
        <v>1922</v>
      </c>
      <c r="U51" s="160" t="s">
        <v>375</v>
      </c>
      <c r="V51" s="160" t="s">
        <v>2088</v>
      </c>
      <c r="W51" s="288"/>
      <c r="X51" s="360"/>
      <c r="Y51" s="292" t="s">
        <v>351</v>
      </c>
      <c r="Z51" s="360" t="s">
        <v>2020</v>
      </c>
      <c r="AA51" s="292" t="s">
        <v>2527</v>
      </c>
      <c r="AB51" s="360" t="s">
        <v>2089</v>
      </c>
      <c r="AD51" s="360"/>
      <c r="AE51" s="362" t="str">
        <f t="shared" si="34"/>
        <v>2023/5/15</v>
      </c>
      <c r="AF51" s="360" t="s">
        <v>2091</v>
      </c>
      <c r="AG51" s="160" t="str">
        <f t="shared" si="35"/>
        <v>Devis</v>
      </c>
      <c r="AH51" s="360" t="s">
        <v>2094</v>
      </c>
      <c r="AI51" s="329" t="str">
        <f t="shared" si="36"/>
        <v>INSERT INTO GENERATEUR(dateGenerationDoc,catGen) VALUES ('2023/5/15','Devis');</v>
      </c>
      <c r="AJ51" s="369" t="s">
        <v>2548</v>
      </c>
      <c r="AP51" s="160" t="str">
        <f t="shared" si="42"/>
        <v>INSERT INTO GENERATEUR(idDeGeneration, dateGenerationDoc, catGen) VALUES (22,45071,Facture,");</v>
      </c>
      <c r="AQ51" s="361" t="s">
        <v>1994</v>
      </c>
      <c r="AR51" s="329">
        <v>45071</v>
      </c>
      <c r="AS51" s="160" t="str">
        <f t="shared" si="43"/>
        <v>Facture</v>
      </c>
      <c r="AT51" s="160" t="s">
        <v>1939</v>
      </c>
    </row>
    <row r="52" spans="5:53" ht="15.85" customHeight="1" thickBot="1" x14ac:dyDescent="0.35">
      <c r="F52" s="160">
        <f t="shared" si="41"/>
        <v>21</v>
      </c>
      <c r="G52" s="329">
        <v>45061</v>
      </c>
      <c r="H52" s="160" t="s">
        <v>104</v>
      </c>
      <c r="I52" s="354">
        <v>8</v>
      </c>
      <c r="J52" s="160">
        <f t="shared" si="37"/>
        <v>2023</v>
      </c>
      <c r="K52" s="160">
        <f t="shared" si="38"/>
        <v>5</v>
      </c>
      <c r="L52" s="160">
        <f t="shared" si="39"/>
        <v>15</v>
      </c>
      <c r="M52" s="160" t="str">
        <f t="shared" si="40"/>
        <v>2023/5/15</v>
      </c>
      <c r="P52" s="353"/>
      <c r="T52" s="160" t="s">
        <v>1922</v>
      </c>
      <c r="U52" s="160" t="s">
        <v>375</v>
      </c>
      <c r="V52" s="160" t="s">
        <v>2088</v>
      </c>
      <c r="W52" s="288"/>
      <c r="X52" s="360"/>
      <c r="Y52" s="292" t="s">
        <v>351</v>
      </c>
      <c r="Z52" s="360" t="s">
        <v>2020</v>
      </c>
      <c r="AA52" s="292" t="s">
        <v>2527</v>
      </c>
      <c r="AB52" s="360" t="s">
        <v>2089</v>
      </c>
      <c r="AD52" s="360"/>
      <c r="AE52" s="362" t="str">
        <f t="shared" si="34"/>
        <v>2023/5/25</v>
      </c>
      <c r="AF52" s="360" t="s">
        <v>2091</v>
      </c>
      <c r="AG52" s="160" t="str">
        <f t="shared" si="35"/>
        <v>Facture</v>
      </c>
      <c r="AH52" s="360" t="s">
        <v>2094</v>
      </c>
      <c r="AI52" s="329" t="str">
        <f t="shared" si="36"/>
        <v>INSERT INTO GENERATEUR(dateGenerationDoc,catGen) VALUES ('2023/5/25','Facture');</v>
      </c>
      <c r="AJ52" s="369" t="s">
        <v>2549</v>
      </c>
      <c r="AP52" s="160" t="str">
        <f t="shared" si="42"/>
        <v>INSERT INTO GENERATEUR(idDeGeneration, dateGenerationDoc, catGen) VALUES (23,45062,Devis,");</v>
      </c>
      <c r="AQ52" s="361" t="s">
        <v>1994</v>
      </c>
      <c r="AR52" s="329">
        <v>45062</v>
      </c>
      <c r="AS52" s="160" t="str">
        <f t="shared" si="43"/>
        <v>Devis</v>
      </c>
      <c r="AT52" s="160" t="s">
        <v>1939</v>
      </c>
    </row>
    <row r="53" spans="5:53" ht="15.85" customHeight="1" thickBot="1" x14ac:dyDescent="0.35">
      <c r="F53" s="160">
        <f t="shared" si="41"/>
        <v>22</v>
      </c>
      <c r="G53" s="335">
        <v>45071</v>
      </c>
      <c r="H53" s="160" t="s">
        <v>105</v>
      </c>
      <c r="I53" s="354">
        <v>8</v>
      </c>
      <c r="J53" s="160">
        <f t="shared" si="37"/>
        <v>2023</v>
      </c>
      <c r="K53" s="160">
        <f t="shared" si="38"/>
        <v>5</v>
      </c>
      <c r="L53" s="160">
        <f t="shared" si="39"/>
        <v>25</v>
      </c>
      <c r="M53" s="160" t="str">
        <f t="shared" si="40"/>
        <v>2023/5/25</v>
      </c>
      <c r="P53" s="353"/>
      <c r="T53" s="160" t="s">
        <v>1922</v>
      </c>
      <c r="U53" s="160" t="s">
        <v>375</v>
      </c>
      <c r="V53" s="160" t="s">
        <v>2088</v>
      </c>
      <c r="W53" s="363"/>
      <c r="X53" s="360"/>
      <c r="Y53" s="364" t="s">
        <v>351</v>
      </c>
      <c r="Z53" s="360" t="s">
        <v>2020</v>
      </c>
      <c r="AA53" s="292" t="s">
        <v>2527</v>
      </c>
      <c r="AB53" s="360" t="s">
        <v>2089</v>
      </c>
      <c r="AD53" s="360"/>
      <c r="AE53" s="362" t="str">
        <f t="shared" si="34"/>
        <v>2023/5/16</v>
      </c>
      <c r="AF53" s="360" t="s">
        <v>2091</v>
      </c>
      <c r="AG53" s="160" t="str">
        <f t="shared" si="35"/>
        <v>Devis</v>
      </c>
      <c r="AH53" s="360" t="s">
        <v>2094</v>
      </c>
      <c r="AI53" s="329" t="str">
        <f t="shared" si="36"/>
        <v>INSERT INTO GENERATEUR(dateGenerationDoc,catGen) VALUES ('2023/5/16','Devis');</v>
      </c>
      <c r="AJ53" s="369" t="s">
        <v>2550</v>
      </c>
    </row>
    <row r="54" spans="5:53" ht="15.85" customHeight="1" x14ac:dyDescent="0.3">
      <c r="F54" s="160">
        <f t="shared" si="41"/>
        <v>23</v>
      </c>
      <c r="G54" s="329">
        <v>45062</v>
      </c>
      <c r="H54" s="160" t="s">
        <v>104</v>
      </c>
      <c r="I54" s="354">
        <v>9</v>
      </c>
      <c r="J54" s="160">
        <f t="shared" si="37"/>
        <v>2023</v>
      </c>
      <c r="K54" s="160">
        <f t="shared" si="38"/>
        <v>5</v>
      </c>
      <c r="L54" s="160">
        <f t="shared" si="39"/>
        <v>16</v>
      </c>
      <c r="M54" s="160" t="str">
        <f t="shared" si="40"/>
        <v>2023/5/16</v>
      </c>
      <c r="P54" s="353"/>
      <c r="W54" s="351"/>
      <c r="X54" s="360"/>
      <c r="Y54" s="352"/>
      <c r="Z54" s="360"/>
      <c r="AA54" s="352"/>
      <c r="AB54" s="360"/>
      <c r="AD54" s="360"/>
      <c r="AE54" s="362"/>
      <c r="AF54" s="360"/>
      <c r="AH54" s="360" t="s">
        <v>2094</v>
      </c>
    </row>
    <row r="55" spans="5:53" ht="15.85" customHeight="1" thickBot="1" x14ac:dyDescent="0.35">
      <c r="J55" s="322"/>
      <c r="W55" s="351"/>
      <c r="X55" s="360"/>
      <c r="Y55" s="352"/>
      <c r="Z55" s="360"/>
      <c r="AA55" s="352"/>
      <c r="AB55" s="360"/>
      <c r="AD55" s="360"/>
      <c r="AE55" s="362"/>
      <c r="AF55" s="360"/>
    </row>
    <row r="56" spans="5:53" ht="15.85" customHeight="1" thickBot="1" x14ac:dyDescent="0.35">
      <c r="G56" s="323"/>
      <c r="J56" s="322"/>
      <c r="W56" s="281" t="s">
        <v>11</v>
      </c>
      <c r="X56" s="360" t="s">
        <v>1935</v>
      </c>
      <c r="AA56" s="160">
        <f>F58</f>
        <v>1</v>
      </c>
      <c r="AB56" s="360" t="s">
        <v>2020</v>
      </c>
      <c r="AO56" s="339"/>
    </row>
    <row r="57" spans="5:53" ht="15.85" customHeight="1" thickBot="1" x14ac:dyDescent="0.35">
      <c r="E57" s="323" t="s">
        <v>148</v>
      </c>
      <c r="F57" s="281" t="s">
        <v>11</v>
      </c>
      <c r="G57" s="230" t="s">
        <v>360</v>
      </c>
      <c r="H57" s="354" t="s">
        <v>1809</v>
      </c>
      <c r="I57" s="354"/>
      <c r="J57" s="322"/>
      <c r="P57" s="353"/>
      <c r="T57" s="160" t="s">
        <v>1922</v>
      </c>
      <c r="U57" s="160" t="str">
        <f>E57</f>
        <v>TVA</v>
      </c>
      <c r="V57" s="160" t="s">
        <v>2088</v>
      </c>
      <c r="Y57" s="230" t="s">
        <v>360</v>
      </c>
      <c r="Z57" s="360" t="s">
        <v>2095</v>
      </c>
      <c r="AC57" s="160">
        <f>G58</f>
        <v>20</v>
      </c>
      <c r="AD57" s="160" t="s">
        <v>2021</v>
      </c>
      <c r="AE57" s="160" t="str">
        <f>T57&amp;U57&amp;V57&amp;Y57&amp;Z57&amp;AC57&amp;AD57</f>
        <v>INSERT INTO TVA(tauxTVA) VALUES (20);</v>
      </c>
      <c r="AF57" s="160" t="s">
        <v>2096</v>
      </c>
      <c r="AO57" s="339"/>
    </row>
    <row r="58" spans="5:53" ht="87.05" customHeight="1" thickBot="1" x14ac:dyDescent="0.35">
      <c r="F58" s="333">
        <v>1</v>
      </c>
      <c r="G58" s="334">
        <v>20</v>
      </c>
      <c r="H58" s="383" t="s">
        <v>1812</v>
      </c>
      <c r="I58" s="383"/>
      <c r="J58" s="322"/>
      <c r="P58" s="353"/>
      <c r="T58" s="160" t="s">
        <v>1922</v>
      </c>
      <c r="U58" s="160" t="str">
        <f>U57</f>
        <v>TVA</v>
      </c>
      <c r="V58" s="160" t="s">
        <v>2088</v>
      </c>
      <c r="W58" s="281"/>
      <c r="X58" s="360"/>
      <c r="Y58" s="230" t="s">
        <v>360</v>
      </c>
      <c r="Z58" s="360" t="s">
        <v>2095</v>
      </c>
      <c r="AB58" s="360"/>
      <c r="AC58" s="160" t="s">
        <v>2098</v>
      </c>
      <c r="AD58" s="160" t="s">
        <v>2021</v>
      </c>
      <c r="AE58" s="160" t="str">
        <f t="shared" ref="AE58:AE59" si="44">T58&amp;U58&amp;V58&amp;Y58&amp;Z58&amp;AC58&amp;AD58</f>
        <v>INSERT INTO TVA(tauxTVA) VALUES (5.5);</v>
      </c>
      <c r="AF58" s="160" t="s">
        <v>2099</v>
      </c>
      <c r="AO58" s="339"/>
    </row>
    <row r="59" spans="5:53" ht="45.7" customHeight="1" thickBot="1" x14ac:dyDescent="0.35">
      <c r="F59" s="333">
        <v>2</v>
      </c>
      <c r="G59" s="334">
        <v>5.5</v>
      </c>
      <c r="H59" s="383" t="s">
        <v>1810</v>
      </c>
      <c r="I59" s="383"/>
      <c r="J59" s="322"/>
      <c r="P59" s="353"/>
      <c r="T59" s="160" t="s">
        <v>1922</v>
      </c>
      <c r="U59" s="160" t="str">
        <f>U58</f>
        <v>TVA</v>
      </c>
      <c r="V59" s="160" t="s">
        <v>2088</v>
      </c>
      <c r="W59" s="281"/>
      <c r="X59" s="360"/>
      <c r="Y59" s="230" t="s">
        <v>360</v>
      </c>
      <c r="Z59" s="360" t="s">
        <v>2095</v>
      </c>
      <c r="AB59" s="360"/>
      <c r="AC59" s="160">
        <f t="shared" ref="AC59" si="45">G60</f>
        <v>10</v>
      </c>
      <c r="AD59" s="160" t="s">
        <v>2021</v>
      </c>
      <c r="AE59" s="160" t="str">
        <f t="shared" si="44"/>
        <v>INSERT INTO TVA(tauxTVA) VALUES (10);</v>
      </c>
      <c r="AF59" s="160" t="s">
        <v>2097</v>
      </c>
      <c r="AO59" s="339"/>
    </row>
    <row r="60" spans="5:53" ht="33.200000000000003" customHeight="1" x14ac:dyDescent="0.3">
      <c r="F60" s="333">
        <v>3</v>
      </c>
      <c r="G60" s="334">
        <v>10</v>
      </c>
      <c r="H60" s="383" t="s">
        <v>1811</v>
      </c>
      <c r="I60" s="383"/>
      <c r="J60" s="322"/>
      <c r="P60" s="353"/>
      <c r="AO60" s="339"/>
    </row>
    <row r="61" spans="5:53" ht="15.85" customHeight="1" x14ac:dyDescent="0.3">
      <c r="F61" s="333"/>
      <c r="G61" s="334"/>
      <c r="J61" s="322"/>
      <c r="AO61" s="339"/>
    </row>
    <row r="62" spans="5:53" ht="15.85" customHeight="1" x14ac:dyDescent="0.3">
      <c r="J62" s="322"/>
      <c r="AO62" s="339"/>
    </row>
    <row r="63" spans="5:53" ht="15.85" customHeight="1" x14ac:dyDescent="0.3">
      <c r="J63" s="322"/>
      <c r="AI63" s="339" t="s">
        <v>269</v>
      </c>
      <c r="AO63" s="339"/>
      <c r="BA63" s="339"/>
    </row>
    <row r="64" spans="5:53" ht="15.85" customHeight="1" thickBot="1" x14ac:dyDescent="0.35">
      <c r="AM64" s="339" t="s">
        <v>384</v>
      </c>
      <c r="AO64" s="339"/>
      <c r="AQ64" s="339"/>
    </row>
    <row r="65" spans="5:81" ht="15.85" customHeight="1" thickBot="1" x14ac:dyDescent="0.35">
      <c r="E65" s="160" t="s">
        <v>376</v>
      </c>
      <c r="F65" s="275" t="s">
        <v>128</v>
      </c>
      <c r="G65" s="203" t="s">
        <v>215</v>
      </c>
      <c r="H65" s="203" t="s">
        <v>2026</v>
      </c>
      <c r="I65" s="203" t="s">
        <v>258</v>
      </c>
      <c r="J65" s="203" t="s">
        <v>306</v>
      </c>
      <c r="K65" s="203" t="s">
        <v>145</v>
      </c>
      <c r="L65" s="283" t="s">
        <v>2552</v>
      </c>
      <c r="M65" s="339" t="s">
        <v>2108</v>
      </c>
      <c r="N65" s="339" t="s">
        <v>2553</v>
      </c>
      <c r="O65" s="339" t="s">
        <v>349</v>
      </c>
      <c r="S65" s="353"/>
      <c r="W65" s="275" t="s">
        <v>128</v>
      </c>
      <c r="X65" s="360" t="s">
        <v>1935</v>
      </c>
      <c r="AO65" s="339" t="s">
        <v>11</v>
      </c>
      <c r="AQ65" s="203" t="s">
        <v>215</v>
      </c>
      <c r="AS65" s="203" t="s">
        <v>1913</v>
      </c>
      <c r="AT65" s="360" t="s">
        <v>1936</v>
      </c>
      <c r="AU65" s="203" t="s">
        <v>258</v>
      </c>
      <c r="AW65" s="203" t="s">
        <v>306</v>
      </c>
      <c r="AY65" s="203" t="s">
        <v>1914</v>
      </c>
      <c r="BA65" s="283" t="s">
        <v>307</v>
      </c>
      <c r="BC65" s="339" t="s">
        <v>2108</v>
      </c>
      <c r="BE65" s="339" t="s">
        <v>11</v>
      </c>
      <c r="BG65" s="339" t="s">
        <v>349</v>
      </c>
    </row>
    <row r="66" spans="5:81" ht="15.85" customHeight="1" thickBot="1" x14ac:dyDescent="0.35">
      <c r="F66" s="160">
        <v>1</v>
      </c>
      <c r="G66" s="329" t="s">
        <v>2109</v>
      </c>
      <c r="H66" s="160">
        <v>30</v>
      </c>
      <c r="I66" s="160" t="str">
        <f>UPPER("DESIGN COMMUNAL ROOM CONGRESS - "&amp;Q21)</f>
        <v>DESIGN COMMUNAL ROOM CONGRESS - MUNICIPALITÉ DE PARIS 11E</v>
      </c>
      <c r="J66" s="329">
        <v>45270</v>
      </c>
      <c r="K66" s="160" t="s">
        <v>1808</v>
      </c>
      <c r="L66" s="160">
        <f>SUM(I80:I82)</f>
        <v>6000</v>
      </c>
      <c r="M66" s="160">
        <v>1</v>
      </c>
      <c r="N66" s="160">
        <v>1</v>
      </c>
      <c r="O66" s="160">
        <v>1</v>
      </c>
      <c r="S66" s="353"/>
      <c r="T66" s="160" t="s">
        <v>1922</v>
      </c>
      <c r="U66" s="160" t="s">
        <v>376</v>
      </c>
      <c r="V66" s="160" t="s">
        <v>2088</v>
      </c>
      <c r="W66" s="203" t="s">
        <v>215</v>
      </c>
      <c r="X66" s="360" t="s">
        <v>2020</v>
      </c>
      <c r="Y66" s="203" t="s">
        <v>2026</v>
      </c>
      <c r="Z66" s="360" t="s">
        <v>2020</v>
      </c>
      <c r="AA66" s="203" t="s">
        <v>258</v>
      </c>
      <c r="AB66" s="360" t="s">
        <v>2020</v>
      </c>
      <c r="AC66" s="203" t="s">
        <v>306</v>
      </c>
      <c r="AD66" s="360" t="s">
        <v>2020</v>
      </c>
      <c r="AE66" s="203" t="s">
        <v>145</v>
      </c>
      <c r="AF66" s="360" t="s">
        <v>2020</v>
      </c>
      <c r="AG66" s="283" t="s">
        <v>2552</v>
      </c>
      <c r="AH66" s="360" t="s">
        <v>2020</v>
      </c>
      <c r="AI66" s="339"/>
      <c r="AJ66" s="360"/>
      <c r="AK66" s="339" t="s">
        <v>2108</v>
      </c>
      <c r="AL66" s="360" t="s">
        <v>2020</v>
      </c>
      <c r="AM66" s="339" t="s">
        <v>2553</v>
      </c>
      <c r="AN66" s="360" t="s">
        <v>2020</v>
      </c>
      <c r="AO66" s="339" t="s">
        <v>349</v>
      </c>
      <c r="AP66" s="360" t="s">
        <v>2089</v>
      </c>
      <c r="AQ66" s="369" t="str">
        <f t="shared" ref="AQ66:AQ74" si="46">G66</f>
        <v>numDev1</v>
      </c>
      <c r="AR66" s="360" t="s">
        <v>2093</v>
      </c>
      <c r="AS66" s="160">
        <f t="shared" ref="AS66:AS74" si="47">H66</f>
        <v>30</v>
      </c>
      <c r="AT66" s="360" t="s">
        <v>2090</v>
      </c>
      <c r="AU66" s="160" t="str">
        <f t="shared" ref="AU66:AU74" si="48">I66</f>
        <v>DESIGN COMMUNAL ROOM CONGRESS - MUNICIPALITÉ DE PARIS 11E</v>
      </c>
      <c r="AV66" s="360" t="s">
        <v>2091</v>
      </c>
      <c r="AW66" s="329" t="str">
        <f t="shared" ref="AW66:AW74" si="49">CC66</f>
        <v>2023/12/10</v>
      </c>
      <c r="AX66" s="360" t="s">
        <v>2091</v>
      </c>
      <c r="AY66" s="160" t="str">
        <f t="shared" ref="AY66:AY74" si="50">K66</f>
        <v>Forfait</v>
      </c>
      <c r="AZ66" s="360" t="s">
        <v>2093</v>
      </c>
      <c r="BA66" s="160">
        <f t="shared" ref="BA66:BA74" si="51">L66</f>
        <v>6000</v>
      </c>
      <c r="BB66" s="360" t="s">
        <v>2020</v>
      </c>
      <c r="BC66" s="160">
        <f t="shared" ref="BC66:BC74" si="52">M66</f>
        <v>1</v>
      </c>
      <c r="BD66" s="360" t="s">
        <v>2020</v>
      </c>
      <c r="BE66" s="160">
        <f t="shared" ref="BE66:BE74" si="53">N66</f>
        <v>1</v>
      </c>
      <c r="BF66" s="360" t="s">
        <v>2020</v>
      </c>
      <c r="BG66" s="160">
        <f t="shared" ref="BG66:BG74" si="54">O66</f>
        <v>1</v>
      </c>
      <c r="BH66" s="160" t="s">
        <v>2021</v>
      </c>
      <c r="BI66" s="160" t="str">
        <f>T66&amp;U66&amp;V66&amp;W66&amp;X66&amp;Y66&amp;Z66&amp;AA66&amp;AB66&amp;AC66&amp;AD66&amp;AE66&amp;AF66&amp;AG66&amp;AH66&amp;AK66&amp;AL66&amp;AM66&amp;AN66&amp;AO66&amp;AP66&amp;AQ66&amp;AR66&amp;AS66&amp;AT66&amp;AU66&amp;AV66&amp;AW66&amp;AX66&amp;AY66&amp;AZ66&amp;BA66&amp;BB66&amp;BC66&amp;BD66&amp;BE66&amp;BF66&amp;BG66&amp;BH66</f>
        <v>INSERT INTO DEVIS(numDev,nbJourValidity,nameDev,dateValidationDev,typeDev,totalHtDev,idClient,idTva,idDeGeneration) VALUES ('numDev1',30,'DESIGN COMMUNAL ROOM CONGRESS - MUNICIPALITÉ DE PARIS 11E','2023/12/10','Forfait',6000,1,1,1);</v>
      </c>
      <c r="BJ66" s="160" t="str">
        <f>U66&amp;V66&amp;W66&amp;X66&amp;Y66&amp;Z66&amp;AA66&amp;AB66&amp;AC66&amp;AD66&amp;AE66&amp;AF66&amp;AG66&amp;AH66&amp;AI66&amp;AL66&amp;AM66&amp;AN66&amp;AO66&amp;AP66&amp;AQ66&amp;AR66&amp;AS66&amp;AT66&amp;AU66&amp;AV66&amp;AW66&amp;AX66&amp;AY66&amp;AZ66&amp;BA66&amp;BB66&amp;BC66&amp;BD66&amp;BE66&amp;BF66&amp;BG66&amp;BH66&amp;BI66</f>
        <v>DEVIS(numDev,nbJourValidity,nameDev,dateValidationDev,typeDev,totalHtDev,,idTva,idDeGeneration) VALUES ('numDev1',30,'DESIGN COMMUNAL ROOM CONGRESS - MUNICIPALITÉ DE PARIS 11E','2023/12/10','Forfait',6000,1,1,1);INSERT INTO DEVIS(numDev,nbJourValidity,nameDev,dateValidationDev,typeDev,totalHtDev,idClient,idTva,idDeGeneration) VALUES ('numDev1',30,'DESIGN COMMUNAL ROOM CONGRESS - MUNICIPALITÉ DE PARIS 11E','2023/12/10','Forfait',6000,1,1,1);</v>
      </c>
      <c r="BY66" s="329">
        <f t="shared" ref="BY66:BY74" si="55">J66</f>
        <v>45270</v>
      </c>
      <c r="BZ66" s="160">
        <f>YEAR(BY66)</f>
        <v>2023</v>
      </c>
      <c r="CA66" s="160">
        <f>MONTH(BY66)</f>
        <v>12</v>
      </c>
      <c r="CB66" s="160">
        <f>DAY(BY66)</f>
        <v>10</v>
      </c>
      <c r="CC66" s="160" t="str">
        <f>BZ66&amp;"/"&amp;CA66&amp;"/"&amp;CB66</f>
        <v>2023/12/10</v>
      </c>
    </row>
    <row r="67" spans="5:81" ht="15.85" customHeight="1" thickBot="1" x14ac:dyDescent="0.35">
      <c r="F67" s="160">
        <v>2</v>
      </c>
      <c r="G67" s="329" t="s">
        <v>2110</v>
      </c>
      <c r="H67" s="160">
        <v>30</v>
      </c>
      <c r="I67" s="160" t="str">
        <f>UPPER("DESIGN HALL LIKE MUSEUM- "&amp;Q22)</f>
        <v>DESIGN HALL LIKE MUSEUM- BOISDELUX</v>
      </c>
      <c r="J67" s="329">
        <v>44928</v>
      </c>
      <c r="K67" s="160" t="s">
        <v>1816</v>
      </c>
      <c r="L67" s="160">
        <f>I101*J101+I102*J102+I103*J103</f>
        <v>6500</v>
      </c>
      <c r="M67" s="160">
        <v>2</v>
      </c>
      <c r="N67" s="160">
        <v>1</v>
      </c>
      <c r="O67" s="160">
        <v>2</v>
      </c>
      <c r="S67" s="353"/>
      <c r="T67" s="160" t="s">
        <v>1922</v>
      </c>
      <c r="U67" s="160" t="s">
        <v>376</v>
      </c>
      <c r="V67" s="160" t="s">
        <v>2088</v>
      </c>
      <c r="W67" s="203" t="s">
        <v>215</v>
      </c>
      <c r="X67" s="360" t="s">
        <v>2020</v>
      </c>
      <c r="Y67" s="203" t="s">
        <v>2026</v>
      </c>
      <c r="Z67" s="360" t="s">
        <v>2020</v>
      </c>
      <c r="AA67" s="203" t="s">
        <v>258</v>
      </c>
      <c r="AB67" s="360" t="s">
        <v>2020</v>
      </c>
      <c r="AC67" s="203" t="s">
        <v>306</v>
      </c>
      <c r="AD67" s="360" t="s">
        <v>2020</v>
      </c>
      <c r="AE67" s="203" t="s">
        <v>145</v>
      </c>
      <c r="AF67" s="360" t="s">
        <v>2020</v>
      </c>
      <c r="AG67" s="283" t="s">
        <v>2552</v>
      </c>
      <c r="AH67" s="360" t="s">
        <v>2020</v>
      </c>
      <c r="AI67" s="339"/>
      <c r="AJ67" s="360"/>
      <c r="AK67" s="339" t="s">
        <v>2108</v>
      </c>
      <c r="AL67" s="360" t="s">
        <v>2020</v>
      </c>
      <c r="AM67" s="339" t="s">
        <v>2553</v>
      </c>
      <c r="AN67" s="360" t="s">
        <v>2020</v>
      </c>
      <c r="AO67" s="339" t="s">
        <v>349</v>
      </c>
      <c r="AP67" s="360" t="s">
        <v>2089</v>
      </c>
      <c r="AQ67" s="369" t="str">
        <f t="shared" si="46"/>
        <v>numDev2</v>
      </c>
      <c r="AR67" s="360" t="s">
        <v>2093</v>
      </c>
      <c r="AS67" s="160">
        <f t="shared" si="47"/>
        <v>30</v>
      </c>
      <c r="AT67" s="360" t="s">
        <v>2090</v>
      </c>
      <c r="AU67" s="160" t="str">
        <f t="shared" si="48"/>
        <v>DESIGN HALL LIKE MUSEUM- BOISDELUX</v>
      </c>
      <c r="AV67" s="360" t="s">
        <v>2091</v>
      </c>
      <c r="AW67" s="329" t="str">
        <f t="shared" si="49"/>
        <v>2023/1/2</v>
      </c>
      <c r="AX67" s="360" t="s">
        <v>2091</v>
      </c>
      <c r="AY67" s="160" t="str">
        <f t="shared" si="50"/>
        <v>QPU</v>
      </c>
      <c r="AZ67" s="360" t="s">
        <v>2093</v>
      </c>
      <c r="BA67" s="160">
        <f t="shared" si="51"/>
        <v>6500</v>
      </c>
      <c r="BB67" s="360" t="s">
        <v>2020</v>
      </c>
      <c r="BC67" s="160">
        <f t="shared" si="52"/>
        <v>2</v>
      </c>
      <c r="BD67" s="360" t="s">
        <v>2020</v>
      </c>
      <c r="BE67" s="160">
        <f t="shared" si="53"/>
        <v>1</v>
      </c>
      <c r="BF67" s="360" t="s">
        <v>2020</v>
      </c>
      <c r="BG67" s="160">
        <f t="shared" si="54"/>
        <v>2</v>
      </c>
      <c r="BH67" s="160" t="s">
        <v>2021</v>
      </c>
      <c r="BI67" s="160" t="str">
        <f t="shared" ref="BI67:BJ74" si="56">T67&amp;U67&amp;V67&amp;W67&amp;X67&amp;Y67&amp;Z67&amp;AA67&amp;AB67&amp;AC67&amp;AD67&amp;AE67&amp;AF67&amp;AG67&amp;AH67&amp;AK67&amp;AL67&amp;AM67&amp;AN67&amp;AO67&amp;AP67&amp;AQ67&amp;AR67&amp;AS67&amp;AT67&amp;AU67&amp;AV67&amp;AW67&amp;AX67&amp;AY67&amp;AZ67&amp;BA67&amp;BB67&amp;BC67&amp;BD67&amp;BE67&amp;BF67&amp;BG67&amp;BH67</f>
        <v>INSERT INTO DEVIS(numDev,nbJourValidity,nameDev,dateValidationDev,typeDev,totalHtDev,idClient,idTva,idDeGeneration) VALUES ('numDev2',30,'DESIGN HALL LIKE MUSEUM- BOISDELUX','2023/1/2','QPU',6500,2,1,2);</v>
      </c>
      <c r="BJ67" s="160" t="str">
        <f t="shared" si="56"/>
        <v>DEVIS(numDev,nbJourValidity,nameDev,dateValidationDev,typeDev,totalHtDev,,idTva,idDeGeneration) VALUES ('numDev2',30,'DESIGN HALL LIKE MUSEUM- BOISDELUX','2023/1/2','QPU',6500,2,1,2);INSERT INTO DEVIS(numDev,nbJourValidity,nameDev,dateValidationDev,typeDev,totalHtDev,idClient,idTva,idDeGeneration) VALUES ('numDev2',30,'DESIGN HALL LIKE MUSEUM- BOISDELUX','2023/1/2','QPU',6500,2,1,2);</v>
      </c>
      <c r="BY67" s="329">
        <f t="shared" si="55"/>
        <v>44928</v>
      </c>
      <c r="BZ67" s="160">
        <f t="shared" ref="BZ67:BZ74" si="57">YEAR(BY67)</f>
        <v>2023</v>
      </c>
      <c r="CA67" s="160">
        <f t="shared" ref="CA67:CA74" si="58">MONTH(BY67)</f>
        <v>1</v>
      </c>
      <c r="CB67" s="160">
        <f t="shared" ref="CB67:CB74" si="59">DAY(BY67)</f>
        <v>2</v>
      </c>
      <c r="CC67" s="160" t="str">
        <f t="shared" ref="CC67:CC74" si="60">BZ67&amp;"/"&amp;CA67&amp;"/"&amp;CB67</f>
        <v>2023/1/2</v>
      </c>
    </row>
    <row r="68" spans="5:81" ht="15.85" customHeight="1" thickBot="1" x14ac:dyDescent="0.35">
      <c r="F68" s="160">
        <v>3</v>
      </c>
      <c r="G68" s="329" t="s">
        <v>2111</v>
      </c>
      <c r="H68" s="160">
        <v>30</v>
      </c>
      <c r="I68" s="160" t="str">
        <f>UPPER("DESIGN SHOW ROOM - "&amp;Q23)</f>
        <v>DESIGN SHOW ROOM - RAMENETAFRAISE</v>
      </c>
      <c r="J68" s="329">
        <v>44946</v>
      </c>
      <c r="K68" s="160" t="s">
        <v>1816</v>
      </c>
      <c r="L68" s="160">
        <f>I105*J105+I106*J106+I104*J104</f>
        <v>6300</v>
      </c>
      <c r="M68" s="160">
        <v>3</v>
      </c>
      <c r="N68" s="160">
        <v>1</v>
      </c>
      <c r="O68" s="160">
        <v>5</v>
      </c>
      <c r="S68" s="353"/>
      <c r="T68" s="160" t="s">
        <v>1922</v>
      </c>
      <c r="U68" s="160" t="s">
        <v>376</v>
      </c>
      <c r="V68" s="160" t="s">
        <v>2088</v>
      </c>
      <c r="W68" s="203" t="s">
        <v>215</v>
      </c>
      <c r="X68" s="360" t="s">
        <v>2020</v>
      </c>
      <c r="Y68" s="203" t="s">
        <v>2026</v>
      </c>
      <c r="Z68" s="360" t="s">
        <v>2020</v>
      </c>
      <c r="AA68" s="203" t="s">
        <v>258</v>
      </c>
      <c r="AB68" s="360" t="s">
        <v>2020</v>
      </c>
      <c r="AC68" s="203" t="s">
        <v>306</v>
      </c>
      <c r="AD68" s="360" t="s">
        <v>2020</v>
      </c>
      <c r="AE68" s="203" t="s">
        <v>145</v>
      </c>
      <c r="AF68" s="360" t="s">
        <v>2020</v>
      </c>
      <c r="AG68" s="283" t="s">
        <v>2552</v>
      </c>
      <c r="AH68" s="360" t="s">
        <v>2020</v>
      </c>
      <c r="AI68" s="339"/>
      <c r="AJ68" s="360"/>
      <c r="AK68" s="339" t="s">
        <v>2108</v>
      </c>
      <c r="AL68" s="360" t="s">
        <v>2020</v>
      </c>
      <c r="AM68" s="339" t="s">
        <v>2553</v>
      </c>
      <c r="AN68" s="360" t="s">
        <v>2020</v>
      </c>
      <c r="AO68" s="339" t="s">
        <v>349</v>
      </c>
      <c r="AP68" s="360" t="s">
        <v>2089</v>
      </c>
      <c r="AQ68" s="369" t="str">
        <f t="shared" si="46"/>
        <v>numDev3</v>
      </c>
      <c r="AR68" s="360" t="s">
        <v>2093</v>
      </c>
      <c r="AS68" s="160">
        <f t="shared" si="47"/>
        <v>30</v>
      </c>
      <c r="AT68" s="360" t="s">
        <v>2090</v>
      </c>
      <c r="AU68" s="160" t="str">
        <f t="shared" si="48"/>
        <v>DESIGN SHOW ROOM - RAMENETAFRAISE</v>
      </c>
      <c r="AV68" s="360" t="s">
        <v>2091</v>
      </c>
      <c r="AW68" s="329" t="str">
        <f t="shared" si="49"/>
        <v>2023/1/20</v>
      </c>
      <c r="AX68" s="360" t="s">
        <v>2091</v>
      </c>
      <c r="AY68" s="160" t="str">
        <f t="shared" si="50"/>
        <v>QPU</v>
      </c>
      <c r="AZ68" s="360" t="s">
        <v>2093</v>
      </c>
      <c r="BA68" s="160">
        <f t="shared" si="51"/>
        <v>6300</v>
      </c>
      <c r="BB68" s="360" t="s">
        <v>2020</v>
      </c>
      <c r="BC68" s="160">
        <f t="shared" si="52"/>
        <v>3</v>
      </c>
      <c r="BD68" s="360" t="s">
        <v>2020</v>
      </c>
      <c r="BE68" s="160">
        <f t="shared" si="53"/>
        <v>1</v>
      </c>
      <c r="BF68" s="360" t="s">
        <v>2020</v>
      </c>
      <c r="BG68" s="160">
        <f t="shared" si="54"/>
        <v>5</v>
      </c>
      <c r="BH68" s="160" t="s">
        <v>2021</v>
      </c>
      <c r="BI68" s="160" t="str">
        <f t="shared" si="56"/>
        <v>INSERT INTO DEVIS(numDev,nbJourValidity,nameDev,dateValidationDev,typeDev,totalHtDev,idClient,idTva,idDeGeneration) VALUES ('numDev3',30,'DESIGN SHOW ROOM - RAMENETAFRAISE','2023/1/20','QPU',6300,3,1,5);</v>
      </c>
      <c r="BJ68" s="160" t="str">
        <f t="shared" si="56"/>
        <v>DEVIS(numDev,nbJourValidity,nameDev,dateValidationDev,typeDev,totalHtDev,,idTva,idDeGeneration) VALUES ('numDev3',30,'DESIGN SHOW ROOM - RAMENETAFRAISE','2023/1/20','QPU',6300,3,1,5);INSERT INTO DEVIS(numDev,nbJourValidity,nameDev,dateValidationDev,typeDev,totalHtDev,idClient,idTva,idDeGeneration) VALUES ('numDev3',30,'DESIGN SHOW ROOM - RAMENETAFRAISE','2023/1/20','QPU',6300,3,1,5);</v>
      </c>
      <c r="BY68" s="329">
        <f t="shared" si="55"/>
        <v>44946</v>
      </c>
      <c r="BZ68" s="160">
        <f t="shared" si="57"/>
        <v>2023</v>
      </c>
      <c r="CA68" s="160">
        <f t="shared" si="58"/>
        <v>1</v>
      </c>
      <c r="CB68" s="160">
        <f t="shared" si="59"/>
        <v>20</v>
      </c>
      <c r="CC68" s="160" t="str">
        <f t="shared" si="60"/>
        <v>2023/1/20</v>
      </c>
    </row>
    <row r="69" spans="5:81" ht="15.85" customHeight="1" thickBot="1" x14ac:dyDescent="0.35">
      <c r="F69" s="160">
        <v>4</v>
      </c>
      <c r="G69" s="329" t="s">
        <v>2112</v>
      </c>
      <c r="H69" s="160">
        <v>30</v>
      </c>
      <c r="I69" s="160" t="str">
        <f>UPPER("DESIGN SHOW ROOM SDBs - "&amp;Q24)</f>
        <v>DESIGN SHOW ROOM SDBS - TAPUDFUITE</v>
      </c>
      <c r="J69" s="329">
        <v>44972</v>
      </c>
      <c r="K69" s="160" t="s">
        <v>1816</v>
      </c>
      <c r="L69" s="160">
        <f>I109*J109+I108*J107+I107*J108</f>
        <v>12100</v>
      </c>
      <c r="M69" s="160">
        <v>4</v>
      </c>
      <c r="N69" s="160">
        <v>1</v>
      </c>
      <c r="O69" s="160">
        <v>8</v>
      </c>
      <c r="S69" s="353"/>
      <c r="T69" s="160" t="s">
        <v>1922</v>
      </c>
      <c r="U69" s="160" t="s">
        <v>376</v>
      </c>
      <c r="V69" s="160" t="s">
        <v>2088</v>
      </c>
      <c r="W69" s="203" t="s">
        <v>215</v>
      </c>
      <c r="X69" s="360" t="s">
        <v>2020</v>
      </c>
      <c r="Y69" s="203" t="s">
        <v>2026</v>
      </c>
      <c r="Z69" s="360" t="s">
        <v>2020</v>
      </c>
      <c r="AA69" s="203" t="s">
        <v>258</v>
      </c>
      <c r="AB69" s="360" t="s">
        <v>2020</v>
      </c>
      <c r="AC69" s="203" t="s">
        <v>306</v>
      </c>
      <c r="AD69" s="360" t="s">
        <v>2020</v>
      </c>
      <c r="AE69" s="203" t="s">
        <v>145</v>
      </c>
      <c r="AF69" s="360" t="s">
        <v>2020</v>
      </c>
      <c r="AG69" s="283" t="s">
        <v>2552</v>
      </c>
      <c r="AH69" s="360" t="s">
        <v>2020</v>
      </c>
      <c r="AI69" s="339"/>
      <c r="AJ69" s="360"/>
      <c r="AK69" s="339" t="s">
        <v>2108</v>
      </c>
      <c r="AL69" s="360" t="s">
        <v>2020</v>
      </c>
      <c r="AM69" s="339" t="s">
        <v>2553</v>
      </c>
      <c r="AN69" s="360" t="s">
        <v>2020</v>
      </c>
      <c r="AO69" s="339" t="s">
        <v>349</v>
      </c>
      <c r="AP69" s="360" t="s">
        <v>2089</v>
      </c>
      <c r="AQ69" s="369" t="str">
        <f t="shared" si="46"/>
        <v>numDev4</v>
      </c>
      <c r="AR69" s="360" t="s">
        <v>2093</v>
      </c>
      <c r="AS69" s="160">
        <f t="shared" si="47"/>
        <v>30</v>
      </c>
      <c r="AT69" s="360" t="s">
        <v>2090</v>
      </c>
      <c r="AU69" s="160" t="str">
        <f t="shared" si="48"/>
        <v>DESIGN SHOW ROOM SDBS - TAPUDFUITE</v>
      </c>
      <c r="AV69" s="360" t="s">
        <v>2091</v>
      </c>
      <c r="AW69" s="329" t="str">
        <f t="shared" si="49"/>
        <v>2023/2/15</v>
      </c>
      <c r="AX69" s="360" t="s">
        <v>2091</v>
      </c>
      <c r="AY69" s="160" t="str">
        <f t="shared" si="50"/>
        <v>QPU</v>
      </c>
      <c r="AZ69" s="360" t="s">
        <v>2093</v>
      </c>
      <c r="BA69" s="160">
        <f t="shared" si="51"/>
        <v>12100</v>
      </c>
      <c r="BB69" s="360" t="s">
        <v>2020</v>
      </c>
      <c r="BC69" s="160">
        <f t="shared" si="52"/>
        <v>4</v>
      </c>
      <c r="BD69" s="360" t="s">
        <v>2020</v>
      </c>
      <c r="BE69" s="160">
        <f t="shared" si="53"/>
        <v>1</v>
      </c>
      <c r="BF69" s="360" t="s">
        <v>2020</v>
      </c>
      <c r="BG69" s="160">
        <f t="shared" si="54"/>
        <v>8</v>
      </c>
      <c r="BH69" s="160" t="s">
        <v>2021</v>
      </c>
      <c r="BI69" s="160" t="str">
        <f t="shared" si="56"/>
        <v>INSERT INTO DEVIS(numDev,nbJourValidity,nameDev,dateValidationDev,typeDev,totalHtDev,idClient,idTva,idDeGeneration) VALUES ('numDev4',30,'DESIGN SHOW ROOM SDBS - TAPUDFUITE','2023/2/15','QPU',12100,4,1,8);</v>
      </c>
      <c r="BJ69" s="160" t="str">
        <f t="shared" si="56"/>
        <v>DEVIS(numDev,nbJourValidity,nameDev,dateValidationDev,typeDev,totalHtDev,,idTva,idDeGeneration) VALUES ('numDev4',30,'DESIGN SHOW ROOM SDBS - TAPUDFUITE','2023/2/15','QPU',12100,4,1,8);INSERT INTO DEVIS(numDev,nbJourValidity,nameDev,dateValidationDev,typeDev,totalHtDev,idClient,idTva,idDeGeneration) VALUES ('numDev4',30,'DESIGN SHOW ROOM SDBS - TAPUDFUITE','2023/2/15','QPU',12100,4,1,8);</v>
      </c>
      <c r="BY69" s="329">
        <f t="shared" si="55"/>
        <v>44972</v>
      </c>
      <c r="BZ69" s="160">
        <f t="shared" si="57"/>
        <v>2023</v>
      </c>
      <c r="CA69" s="160">
        <f t="shared" si="58"/>
        <v>2</v>
      </c>
      <c r="CB69" s="160">
        <f t="shared" si="59"/>
        <v>15</v>
      </c>
      <c r="CC69" s="160" t="str">
        <f t="shared" si="60"/>
        <v>2023/2/15</v>
      </c>
    </row>
    <row r="70" spans="5:81" ht="15.85" customHeight="1" thickBot="1" x14ac:dyDescent="0.35">
      <c r="F70" s="160">
        <v>5</v>
      </c>
      <c r="G70" s="329" t="s">
        <v>2113</v>
      </c>
      <c r="H70" s="160">
        <v>30</v>
      </c>
      <c r="I70" s="160" t="str">
        <f>UPPER("DESIGN PROFESSIONAL BAKER ROOM - "&amp;Q25)</f>
        <v>DESIGN PROFESSIONAL BAKER ROOM - LABONNEBAGUETTE</v>
      </c>
      <c r="J70" s="329">
        <v>44983</v>
      </c>
      <c r="K70" s="160" t="s">
        <v>1808</v>
      </c>
      <c r="L70" s="160">
        <f>SUM(I83:I85)</f>
        <v>6300</v>
      </c>
      <c r="M70" s="160">
        <v>5</v>
      </c>
      <c r="N70" s="160">
        <v>1</v>
      </c>
      <c r="O70" s="160">
        <v>11</v>
      </c>
      <c r="S70" s="353"/>
      <c r="T70" s="160" t="s">
        <v>1922</v>
      </c>
      <c r="U70" s="160" t="s">
        <v>376</v>
      </c>
      <c r="V70" s="160" t="s">
        <v>2088</v>
      </c>
      <c r="W70" s="203" t="s">
        <v>215</v>
      </c>
      <c r="X70" s="360" t="s">
        <v>2020</v>
      </c>
      <c r="Y70" s="203" t="s">
        <v>2026</v>
      </c>
      <c r="Z70" s="360" t="s">
        <v>2020</v>
      </c>
      <c r="AA70" s="203" t="s">
        <v>258</v>
      </c>
      <c r="AB70" s="360" t="s">
        <v>2020</v>
      </c>
      <c r="AC70" s="203" t="s">
        <v>306</v>
      </c>
      <c r="AD70" s="360" t="s">
        <v>2020</v>
      </c>
      <c r="AE70" s="203" t="s">
        <v>145</v>
      </c>
      <c r="AF70" s="360" t="s">
        <v>2020</v>
      </c>
      <c r="AG70" s="283" t="s">
        <v>2552</v>
      </c>
      <c r="AH70" s="360" t="s">
        <v>2020</v>
      </c>
      <c r="AI70" s="339"/>
      <c r="AJ70" s="360"/>
      <c r="AK70" s="339" t="s">
        <v>2108</v>
      </c>
      <c r="AL70" s="360" t="s">
        <v>2020</v>
      </c>
      <c r="AM70" s="339" t="s">
        <v>2553</v>
      </c>
      <c r="AN70" s="360" t="s">
        <v>2020</v>
      </c>
      <c r="AO70" s="339" t="s">
        <v>349</v>
      </c>
      <c r="AP70" s="360" t="s">
        <v>2089</v>
      </c>
      <c r="AQ70" s="369" t="str">
        <f t="shared" si="46"/>
        <v>numDev5</v>
      </c>
      <c r="AR70" s="360" t="s">
        <v>2093</v>
      </c>
      <c r="AS70" s="160">
        <f t="shared" si="47"/>
        <v>30</v>
      </c>
      <c r="AT70" s="360" t="s">
        <v>2090</v>
      </c>
      <c r="AU70" s="160" t="str">
        <f t="shared" si="48"/>
        <v>DESIGN PROFESSIONAL BAKER ROOM - LABONNEBAGUETTE</v>
      </c>
      <c r="AV70" s="360" t="s">
        <v>2091</v>
      </c>
      <c r="AW70" s="329" t="str">
        <f t="shared" si="49"/>
        <v>2023/2/26</v>
      </c>
      <c r="AX70" s="360" t="s">
        <v>2091</v>
      </c>
      <c r="AY70" s="160" t="str">
        <f t="shared" si="50"/>
        <v>Forfait</v>
      </c>
      <c r="AZ70" s="360" t="s">
        <v>2093</v>
      </c>
      <c r="BA70" s="160">
        <f t="shared" si="51"/>
        <v>6300</v>
      </c>
      <c r="BB70" s="360" t="s">
        <v>2020</v>
      </c>
      <c r="BC70" s="160">
        <f t="shared" si="52"/>
        <v>5</v>
      </c>
      <c r="BD70" s="360" t="s">
        <v>2020</v>
      </c>
      <c r="BE70" s="160">
        <f t="shared" si="53"/>
        <v>1</v>
      </c>
      <c r="BF70" s="360" t="s">
        <v>2020</v>
      </c>
      <c r="BG70" s="160">
        <f t="shared" si="54"/>
        <v>11</v>
      </c>
      <c r="BH70" s="160" t="s">
        <v>2021</v>
      </c>
      <c r="BI70" s="160" t="str">
        <f t="shared" si="56"/>
        <v>INSERT INTO DEVIS(numDev,nbJourValidity,nameDev,dateValidationDev,typeDev,totalHtDev,idClient,idTva,idDeGeneration) VALUES ('numDev5',30,'DESIGN PROFESSIONAL BAKER ROOM - LABONNEBAGUETTE','2023/2/26','Forfait',6300,5,1,11);</v>
      </c>
      <c r="BJ70" s="160" t="str">
        <f t="shared" si="56"/>
        <v>DEVIS(numDev,nbJourValidity,nameDev,dateValidationDev,typeDev,totalHtDev,,idTva,idDeGeneration) VALUES ('numDev5',30,'DESIGN PROFESSIONAL BAKER ROOM - LABONNEBAGUETTE','2023/2/26','Forfait',6300,5,1,11);INSERT INTO DEVIS(numDev,nbJourValidity,nameDev,dateValidationDev,typeDev,totalHtDev,idClient,idTva,idDeGeneration) VALUES ('numDev5',30,'DESIGN PROFESSIONAL BAKER ROOM - LABONNEBAGUETTE','2023/2/26','Forfait',6300,5,1,11);</v>
      </c>
      <c r="BY70" s="329">
        <f t="shared" si="55"/>
        <v>44983</v>
      </c>
      <c r="BZ70" s="160">
        <f t="shared" si="57"/>
        <v>2023</v>
      </c>
      <c r="CA70" s="160">
        <f t="shared" si="58"/>
        <v>2</v>
      </c>
      <c r="CB70" s="160">
        <f t="shared" si="59"/>
        <v>26</v>
      </c>
      <c r="CC70" s="160" t="str">
        <f t="shared" si="60"/>
        <v>2023/2/26</v>
      </c>
    </row>
    <row r="71" spans="5:81" ht="15.85" customHeight="1" thickBot="1" x14ac:dyDescent="0.35">
      <c r="F71" s="160">
        <v>6</v>
      </c>
      <c r="G71" s="329" t="s">
        <v>2114</v>
      </c>
      <c r="H71" s="160">
        <v>30</v>
      </c>
      <c r="I71" s="160" t="str">
        <f>UPPER("DESIGN SWEETY ROOM - "&amp;Q26)</f>
        <v>DESIGN SWEETY ROOM - GLESBOULES</v>
      </c>
      <c r="J71" s="329">
        <v>44997</v>
      </c>
      <c r="K71" s="160" t="s">
        <v>1808</v>
      </c>
      <c r="L71" s="160">
        <f>SUM(I86:I88)</f>
        <v>6000</v>
      </c>
      <c r="M71" s="160">
        <v>6</v>
      </c>
      <c r="N71" s="160">
        <v>1</v>
      </c>
      <c r="O71" s="160">
        <v>14</v>
      </c>
      <c r="S71" s="353"/>
      <c r="T71" s="160" t="s">
        <v>1922</v>
      </c>
      <c r="U71" s="160" t="s">
        <v>376</v>
      </c>
      <c r="V71" s="160" t="s">
        <v>2088</v>
      </c>
      <c r="W71" s="203" t="s">
        <v>215</v>
      </c>
      <c r="X71" s="360" t="s">
        <v>2020</v>
      </c>
      <c r="Y71" s="203" t="s">
        <v>2026</v>
      </c>
      <c r="Z71" s="360" t="s">
        <v>2020</v>
      </c>
      <c r="AA71" s="203" t="s">
        <v>258</v>
      </c>
      <c r="AB71" s="360" t="s">
        <v>2020</v>
      </c>
      <c r="AC71" s="203" t="s">
        <v>306</v>
      </c>
      <c r="AD71" s="360" t="s">
        <v>2020</v>
      </c>
      <c r="AE71" s="203" t="s">
        <v>145</v>
      </c>
      <c r="AF71" s="360" t="s">
        <v>2020</v>
      </c>
      <c r="AG71" s="283" t="s">
        <v>2552</v>
      </c>
      <c r="AH71" s="360" t="s">
        <v>2020</v>
      </c>
      <c r="AI71" s="339"/>
      <c r="AJ71" s="360"/>
      <c r="AK71" s="339" t="s">
        <v>2108</v>
      </c>
      <c r="AL71" s="360" t="s">
        <v>2020</v>
      </c>
      <c r="AM71" s="339" t="s">
        <v>2553</v>
      </c>
      <c r="AN71" s="360" t="s">
        <v>2020</v>
      </c>
      <c r="AO71" s="339" t="s">
        <v>349</v>
      </c>
      <c r="AP71" s="360" t="s">
        <v>2089</v>
      </c>
      <c r="AQ71" s="369" t="str">
        <f t="shared" si="46"/>
        <v>numDev6</v>
      </c>
      <c r="AR71" s="360" t="s">
        <v>2093</v>
      </c>
      <c r="AS71" s="160">
        <f t="shared" si="47"/>
        <v>30</v>
      </c>
      <c r="AT71" s="360" t="s">
        <v>2090</v>
      </c>
      <c r="AU71" s="160" t="str">
        <f t="shared" si="48"/>
        <v>DESIGN SWEETY ROOM - GLESBOULES</v>
      </c>
      <c r="AV71" s="360" t="s">
        <v>2091</v>
      </c>
      <c r="AW71" s="329" t="str">
        <f t="shared" si="49"/>
        <v>2023/3/12</v>
      </c>
      <c r="AX71" s="360" t="s">
        <v>2091</v>
      </c>
      <c r="AY71" s="160" t="str">
        <f t="shared" si="50"/>
        <v>Forfait</v>
      </c>
      <c r="AZ71" s="360" t="s">
        <v>2093</v>
      </c>
      <c r="BA71" s="160">
        <f t="shared" si="51"/>
        <v>6000</v>
      </c>
      <c r="BB71" s="360" t="s">
        <v>2020</v>
      </c>
      <c r="BC71" s="160">
        <f t="shared" si="52"/>
        <v>6</v>
      </c>
      <c r="BD71" s="360" t="s">
        <v>2020</v>
      </c>
      <c r="BE71" s="160">
        <f t="shared" si="53"/>
        <v>1</v>
      </c>
      <c r="BF71" s="360" t="s">
        <v>2020</v>
      </c>
      <c r="BG71" s="160">
        <f t="shared" si="54"/>
        <v>14</v>
      </c>
      <c r="BH71" s="160" t="s">
        <v>2021</v>
      </c>
      <c r="BI71" s="160" t="str">
        <f t="shared" si="56"/>
        <v>INSERT INTO DEVIS(numDev,nbJourValidity,nameDev,dateValidationDev,typeDev,totalHtDev,idClient,idTva,idDeGeneration) VALUES ('numDev6',30,'DESIGN SWEETY ROOM - GLESBOULES','2023/3/12','Forfait',6000,6,1,14);</v>
      </c>
      <c r="BJ71" s="160" t="str">
        <f t="shared" si="56"/>
        <v>DEVIS(numDev,nbJourValidity,nameDev,dateValidationDev,typeDev,totalHtDev,,idTva,idDeGeneration) VALUES ('numDev6',30,'DESIGN SWEETY ROOM - GLESBOULES','2023/3/12','Forfait',6000,6,1,14);INSERT INTO DEVIS(numDev,nbJourValidity,nameDev,dateValidationDev,typeDev,totalHtDev,idClient,idTva,idDeGeneration) VALUES ('numDev6',30,'DESIGN SWEETY ROOM - GLESBOULES','2023/3/12','Forfait',6000,6,1,14);</v>
      </c>
      <c r="BY71" s="329">
        <f t="shared" si="55"/>
        <v>44997</v>
      </c>
      <c r="BZ71" s="160">
        <f t="shared" si="57"/>
        <v>2023</v>
      </c>
      <c r="CA71" s="160">
        <f t="shared" si="58"/>
        <v>3</v>
      </c>
      <c r="CB71" s="160">
        <f t="shared" si="59"/>
        <v>12</v>
      </c>
      <c r="CC71" s="160" t="str">
        <f t="shared" si="60"/>
        <v>2023/3/12</v>
      </c>
    </row>
    <row r="72" spans="5:81" ht="15.85" customHeight="1" thickBot="1" x14ac:dyDescent="0.35">
      <c r="F72" s="160">
        <v>7</v>
      </c>
      <c r="G72" s="329" t="s">
        <v>2115</v>
      </c>
      <c r="H72" s="160">
        <v>30</v>
      </c>
      <c r="I72" s="160" t="str">
        <f>UPPER("DESIGN BARS PIRATE - "&amp;Q27)</f>
        <v>DESIGN BARS PIRATE - AUPIRATE</v>
      </c>
      <c r="J72" s="329">
        <v>45031</v>
      </c>
      <c r="K72" s="160" t="s">
        <v>1808</v>
      </c>
      <c r="L72" s="160">
        <f>SUM(I89:I91)</f>
        <v>7100</v>
      </c>
      <c r="M72" s="160">
        <v>7</v>
      </c>
      <c r="N72" s="160">
        <v>1</v>
      </c>
      <c r="O72" s="160">
        <v>18</v>
      </c>
      <c r="S72" s="353"/>
      <c r="T72" s="160" t="s">
        <v>1922</v>
      </c>
      <c r="U72" s="160" t="s">
        <v>376</v>
      </c>
      <c r="V72" s="160" t="s">
        <v>2088</v>
      </c>
      <c r="W72" s="203" t="s">
        <v>215</v>
      </c>
      <c r="X72" s="360" t="s">
        <v>2020</v>
      </c>
      <c r="Y72" s="203" t="s">
        <v>2026</v>
      </c>
      <c r="Z72" s="360" t="s">
        <v>2020</v>
      </c>
      <c r="AA72" s="203" t="s">
        <v>258</v>
      </c>
      <c r="AB72" s="360" t="s">
        <v>2020</v>
      </c>
      <c r="AC72" s="203" t="s">
        <v>306</v>
      </c>
      <c r="AD72" s="360" t="s">
        <v>2020</v>
      </c>
      <c r="AE72" s="203" t="s">
        <v>145</v>
      </c>
      <c r="AF72" s="360" t="s">
        <v>2020</v>
      </c>
      <c r="AG72" s="283" t="s">
        <v>2552</v>
      </c>
      <c r="AH72" s="360" t="s">
        <v>2020</v>
      </c>
      <c r="AI72" s="339"/>
      <c r="AJ72" s="360"/>
      <c r="AK72" s="339" t="s">
        <v>2108</v>
      </c>
      <c r="AL72" s="360" t="s">
        <v>2020</v>
      </c>
      <c r="AM72" s="339" t="s">
        <v>2553</v>
      </c>
      <c r="AN72" s="360" t="s">
        <v>2020</v>
      </c>
      <c r="AO72" s="339" t="s">
        <v>349</v>
      </c>
      <c r="AP72" s="360" t="s">
        <v>2089</v>
      </c>
      <c r="AQ72" s="369" t="str">
        <f t="shared" si="46"/>
        <v>numDev7</v>
      </c>
      <c r="AR72" s="360" t="s">
        <v>2093</v>
      </c>
      <c r="AS72" s="160">
        <f t="shared" si="47"/>
        <v>30</v>
      </c>
      <c r="AT72" s="360" t="s">
        <v>2090</v>
      </c>
      <c r="AU72" s="160" t="str">
        <f t="shared" si="48"/>
        <v>DESIGN BARS PIRATE - AUPIRATE</v>
      </c>
      <c r="AV72" s="360" t="s">
        <v>2091</v>
      </c>
      <c r="AW72" s="329" t="str">
        <f t="shared" si="49"/>
        <v>2023/4/15</v>
      </c>
      <c r="AX72" s="360" t="s">
        <v>2091</v>
      </c>
      <c r="AY72" s="160" t="str">
        <f t="shared" si="50"/>
        <v>Forfait</v>
      </c>
      <c r="AZ72" s="360" t="s">
        <v>2093</v>
      </c>
      <c r="BA72" s="160">
        <f t="shared" si="51"/>
        <v>7100</v>
      </c>
      <c r="BB72" s="360" t="s">
        <v>2020</v>
      </c>
      <c r="BC72" s="160">
        <f t="shared" si="52"/>
        <v>7</v>
      </c>
      <c r="BD72" s="360" t="s">
        <v>2020</v>
      </c>
      <c r="BE72" s="160">
        <f t="shared" si="53"/>
        <v>1</v>
      </c>
      <c r="BF72" s="360" t="s">
        <v>2020</v>
      </c>
      <c r="BG72" s="160">
        <f t="shared" si="54"/>
        <v>18</v>
      </c>
      <c r="BH72" s="160" t="s">
        <v>2021</v>
      </c>
      <c r="BI72" s="160" t="str">
        <f t="shared" si="56"/>
        <v>INSERT INTO DEVIS(numDev,nbJourValidity,nameDev,dateValidationDev,typeDev,totalHtDev,idClient,idTva,idDeGeneration) VALUES ('numDev7',30,'DESIGN BARS PIRATE - AUPIRATE','2023/4/15','Forfait',7100,7,1,18);</v>
      </c>
      <c r="BJ72" s="160" t="str">
        <f t="shared" si="56"/>
        <v>DEVIS(numDev,nbJourValidity,nameDev,dateValidationDev,typeDev,totalHtDev,,idTva,idDeGeneration) VALUES ('numDev7',30,'DESIGN BARS PIRATE - AUPIRATE','2023/4/15','Forfait',7100,7,1,18);INSERT INTO DEVIS(numDev,nbJourValidity,nameDev,dateValidationDev,typeDev,totalHtDev,idClient,idTva,idDeGeneration) VALUES ('numDev7',30,'DESIGN BARS PIRATE - AUPIRATE','2023/4/15','Forfait',7100,7,1,18);</v>
      </c>
      <c r="BY72" s="329">
        <f t="shared" si="55"/>
        <v>45031</v>
      </c>
      <c r="BZ72" s="160">
        <f t="shared" si="57"/>
        <v>2023</v>
      </c>
      <c r="CA72" s="160">
        <f t="shared" si="58"/>
        <v>4</v>
      </c>
      <c r="CB72" s="160">
        <f t="shared" si="59"/>
        <v>15</v>
      </c>
      <c r="CC72" s="160" t="str">
        <f t="shared" si="60"/>
        <v>2023/4/15</v>
      </c>
    </row>
    <row r="73" spans="5:81" ht="20.05" customHeight="1" thickBot="1" x14ac:dyDescent="0.35">
      <c r="F73" s="160">
        <v>8</v>
      </c>
      <c r="G73" s="343" t="s">
        <v>2116</v>
      </c>
      <c r="H73" s="160">
        <v>30</v>
      </c>
      <c r="I73" s="160" t="str">
        <f>UPPER("DESIGN PART OF ADMINISTRATIVE SPACE - "&amp;Q22)</f>
        <v>DESIGN PART OF ADMINISTRATIVE SPACE - BOISDELUX</v>
      </c>
      <c r="J73" s="344">
        <v>45071</v>
      </c>
      <c r="K73" s="160" t="s">
        <v>1808</v>
      </c>
      <c r="L73" s="160">
        <f>SUM(I92:I94)</f>
        <v>7500</v>
      </c>
      <c r="M73" s="160">
        <v>2</v>
      </c>
      <c r="N73" s="160">
        <v>1</v>
      </c>
      <c r="O73" s="160">
        <v>21</v>
      </c>
      <c r="S73" s="353"/>
      <c r="T73" s="160" t="s">
        <v>1922</v>
      </c>
      <c r="U73" s="160" t="s">
        <v>376</v>
      </c>
      <c r="V73" s="160" t="s">
        <v>2088</v>
      </c>
      <c r="W73" s="203" t="s">
        <v>215</v>
      </c>
      <c r="X73" s="360" t="s">
        <v>2020</v>
      </c>
      <c r="Y73" s="203" t="s">
        <v>2026</v>
      </c>
      <c r="Z73" s="360" t="s">
        <v>2020</v>
      </c>
      <c r="AA73" s="203" t="s">
        <v>258</v>
      </c>
      <c r="AB73" s="360" t="s">
        <v>2020</v>
      </c>
      <c r="AC73" s="203" t="s">
        <v>306</v>
      </c>
      <c r="AD73" s="360" t="s">
        <v>2020</v>
      </c>
      <c r="AE73" s="203" t="s">
        <v>145</v>
      </c>
      <c r="AF73" s="360" t="s">
        <v>2020</v>
      </c>
      <c r="AG73" s="283" t="s">
        <v>2552</v>
      </c>
      <c r="AH73" s="360" t="s">
        <v>2020</v>
      </c>
      <c r="AI73" s="339"/>
      <c r="AJ73" s="360"/>
      <c r="AK73" s="339" t="s">
        <v>2108</v>
      </c>
      <c r="AL73" s="360" t="s">
        <v>2020</v>
      </c>
      <c r="AM73" s="339" t="s">
        <v>2553</v>
      </c>
      <c r="AN73" s="360" t="s">
        <v>2020</v>
      </c>
      <c r="AO73" s="339" t="s">
        <v>349</v>
      </c>
      <c r="AP73" s="360" t="s">
        <v>2089</v>
      </c>
      <c r="AQ73" s="369" t="str">
        <f t="shared" si="46"/>
        <v>numDev8</v>
      </c>
      <c r="AR73" s="360" t="s">
        <v>2093</v>
      </c>
      <c r="AS73" s="160">
        <f t="shared" si="47"/>
        <v>30</v>
      </c>
      <c r="AT73" s="360" t="s">
        <v>2090</v>
      </c>
      <c r="AU73" s="160" t="str">
        <f t="shared" si="48"/>
        <v>DESIGN PART OF ADMINISTRATIVE SPACE - BOISDELUX</v>
      </c>
      <c r="AV73" s="360" t="s">
        <v>2091</v>
      </c>
      <c r="AW73" s="329" t="str">
        <f t="shared" si="49"/>
        <v>2023/5/25</v>
      </c>
      <c r="AX73" s="360" t="s">
        <v>2091</v>
      </c>
      <c r="AY73" s="160" t="str">
        <f t="shared" si="50"/>
        <v>Forfait</v>
      </c>
      <c r="AZ73" s="360" t="s">
        <v>2093</v>
      </c>
      <c r="BA73" s="160">
        <f t="shared" si="51"/>
        <v>7500</v>
      </c>
      <c r="BB73" s="360" t="s">
        <v>2020</v>
      </c>
      <c r="BC73" s="160">
        <f t="shared" si="52"/>
        <v>2</v>
      </c>
      <c r="BD73" s="360" t="s">
        <v>2020</v>
      </c>
      <c r="BE73" s="160">
        <f t="shared" si="53"/>
        <v>1</v>
      </c>
      <c r="BF73" s="360" t="s">
        <v>2020</v>
      </c>
      <c r="BG73" s="160">
        <f t="shared" si="54"/>
        <v>21</v>
      </c>
      <c r="BH73" s="160" t="s">
        <v>2021</v>
      </c>
      <c r="BI73" s="160" t="str">
        <f t="shared" si="56"/>
        <v>INSERT INTO DEVIS(numDev,nbJourValidity,nameDev,dateValidationDev,typeDev,totalHtDev,idClient,idTva,idDeGeneration) VALUES ('numDev8',30,'DESIGN PART OF ADMINISTRATIVE SPACE - BOISDELUX','2023/5/25','Forfait',7500,2,1,21);</v>
      </c>
      <c r="BJ73" s="160" t="str">
        <f t="shared" si="56"/>
        <v>DEVIS(numDev,nbJourValidity,nameDev,dateValidationDev,typeDev,totalHtDev,,idTva,idDeGeneration) VALUES ('numDev8',30,'DESIGN PART OF ADMINISTRATIVE SPACE - BOISDELUX','2023/5/25','Forfait',7500,2,1,21);INSERT INTO DEVIS(numDev,nbJourValidity,nameDev,dateValidationDev,typeDev,totalHtDev,idClient,idTva,idDeGeneration) VALUES ('numDev8',30,'DESIGN PART OF ADMINISTRATIVE SPACE - BOISDELUX','2023/5/25','Forfait',7500,2,1,21);</v>
      </c>
      <c r="BY73" s="329">
        <f t="shared" si="55"/>
        <v>45071</v>
      </c>
      <c r="BZ73" s="160">
        <f t="shared" si="57"/>
        <v>2023</v>
      </c>
      <c r="CA73" s="160">
        <f t="shared" si="58"/>
        <v>5</v>
      </c>
      <c r="CB73" s="160">
        <f t="shared" si="59"/>
        <v>25</v>
      </c>
      <c r="CC73" s="160" t="str">
        <f t="shared" si="60"/>
        <v>2023/5/25</v>
      </c>
    </row>
    <row r="74" spans="5:81" ht="20.05" customHeight="1" thickBot="1" x14ac:dyDescent="0.35">
      <c r="F74" s="160">
        <v>9</v>
      </c>
      <c r="G74" s="343" t="s">
        <v>2117</v>
      </c>
      <c r="H74" s="160">
        <v>30</v>
      </c>
      <c r="I74" s="160" t="str">
        <f>UPPER("DESIGN MEDIC AGENCY SPACE - "&amp;Q28)</f>
        <v>DESIGN MEDIC AGENCY SPACE - MEDICCENTER</v>
      </c>
      <c r="J74" s="344">
        <v>45089</v>
      </c>
      <c r="K74" s="160" t="s">
        <v>1808</v>
      </c>
      <c r="L74" s="160">
        <f>SUM(I95:I97)</f>
        <v>14300</v>
      </c>
      <c r="M74" s="160">
        <v>8</v>
      </c>
      <c r="N74" s="160">
        <v>1</v>
      </c>
      <c r="O74" s="160">
        <v>23</v>
      </c>
      <c r="S74" s="353"/>
      <c r="T74" s="160" t="s">
        <v>1922</v>
      </c>
      <c r="U74" s="160" t="s">
        <v>376</v>
      </c>
      <c r="V74" s="160" t="s">
        <v>2088</v>
      </c>
      <c r="W74" s="203" t="s">
        <v>215</v>
      </c>
      <c r="X74" s="360" t="s">
        <v>2020</v>
      </c>
      <c r="Y74" s="203" t="s">
        <v>2026</v>
      </c>
      <c r="Z74" s="360" t="s">
        <v>2020</v>
      </c>
      <c r="AA74" s="203" t="s">
        <v>258</v>
      </c>
      <c r="AB74" s="360" t="s">
        <v>2020</v>
      </c>
      <c r="AC74" s="203" t="s">
        <v>306</v>
      </c>
      <c r="AD74" s="360" t="s">
        <v>2020</v>
      </c>
      <c r="AE74" s="203" t="s">
        <v>145</v>
      </c>
      <c r="AF74" s="360" t="s">
        <v>2020</v>
      </c>
      <c r="AG74" s="283" t="s">
        <v>2552</v>
      </c>
      <c r="AH74" s="360" t="s">
        <v>2020</v>
      </c>
      <c r="AI74" s="339"/>
      <c r="AJ74" s="360"/>
      <c r="AK74" s="339" t="s">
        <v>2108</v>
      </c>
      <c r="AL74" s="360" t="s">
        <v>2020</v>
      </c>
      <c r="AM74" s="339" t="s">
        <v>2553</v>
      </c>
      <c r="AN74" s="360" t="s">
        <v>2020</v>
      </c>
      <c r="AO74" s="339" t="s">
        <v>349</v>
      </c>
      <c r="AP74" s="360" t="s">
        <v>2089</v>
      </c>
      <c r="AQ74" s="369" t="str">
        <f t="shared" si="46"/>
        <v>numDev9</v>
      </c>
      <c r="AR74" s="360" t="s">
        <v>2093</v>
      </c>
      <c r="AS74" s="160">
        <f t="shared" si="47"/>
        <v>30</v>
      </c>
      <c r="AT74" s="360" t="s">
        <v>2090</v>
      </c>
      <c r="AU74" s="160" t="str">
        <f t="shared" si="48"/>
        <v>DESIGN MEDIC AGENCY SPACE - MEDICCENTER</v>
      </c>
      <c r="AV74" s="360" t="s">
        <v>2091</v>
      </c>
      <c r="AW74" s="329" t="str">
        <f t="shared" si="49"/>
        <v>2023/6/12</v>
      </c>
      <c r="AX74" s="360" t="s">
        <v>2091</v>
      </c>
      <c r="AY74" s="160" t="str">
        <f t="shared" si="50"/>
        <v>Forfait</v>
      </c>
      <c r="AZ74" s="360" t="s">
        <v>2093</v>
      </c>
      <c r="BA74" s="160">
        <f t="shared" si="51"/>
        <v>14300</v>
      </c>
      <c r="BB74" s="360" t="s">
        <v>2020</v>
      </c>
      <c r="BC74" s="160">
        <f t="shared" si="52"/>
        <v>8</v>
      </c>
      <c r="BD74" s="360" t="s">
        <v>2020</v>
      </c>
      <c r="BE74" s="160">
        <f t="shared" si="53"/>
        <v>1</v>
      </c>
      <c r="BF74" s="360" t="s">
        <v>2020</v>
      </c>
      <c r="BG74" s="160">
        <f t="shared" si="54"/>
        <v>23</v>
      </c>
      <c r="BH74" s="160" t="s">
        <v>2021</v>
      </c>
      <c r="BI74" s="160" t="str">
        <f t="shared" si="56"/>
        <v>INSERT INTO DEVIS(numDev,nbJourValidity,nameDev,dateValidationDev,typeDev,totalHtDev,idClient,idTva,idDeGeneration) VALUES ('numDev9',30,'DESIGN MEDIC AGENCY SPACE - MEDICCENTER','2023/6/12','Forfait',14300,8,1,23);</v>
      </c>
      <c r="BJ74" s="160" t="str">
        <f t="shared" si="56"/>
        <v>DEVIS(numDev,nbJourValidity,nameDev,dateValidationDev,typeDev,totalHtDev,,idTva,idDeGeneration) VALUES ('numDev9',30,'DESIGN MEDIC AGENCY SPACE - MEDICCENTER','2023/6/12','Forfait',14300,8,1,23);INSERT INTO DEVIS(numDev,nbJourValidity,nameDev,dateValidationDev,typeDev,totalHtDev,idClient,idTva,idDeGeneration) VALUES ('numDev9',30,'DESIGN MEDIC AGENCY SPACE - MEDICCENTER','2023/6/12','Forfait',14300,8,1,23);</v>
      </c>
      <c r="BY74" s="329">
        <f t="shared" si="55"/>
        <v>45089</v>
      </c>
      <c r="BZ74" s="160">
        <f t="shared" si="57"/>
        <v>2023</v>
      </c>
      <c r="CA74" s="160">
        <f t="shared" si="58"/>
        <v>6</v>
      </c>
      <c r="CB74" s="160">
        <f t="shared" si="59"/>
        <v>12</v>
      </c>
      <c r="CC74" s="160" t="str">
        <f t="shared" si="60"/>
        <v>2023/6/12</v>
      </c>
    </row>
    <row r="75" spans="5:81" ht="20.05" customHeight="1" x14ac:dyDescent="0.3">
      <c r="G75" s="329"/>
    </row>
    <row r="76" spans="5:81" ht="20.05" customHeight="1" x14ac:dyDescent="0.3">
      <c r="G76" s="329"/>
      <c r="X76" s="160" t="s">
        <v>2088</v>
      </c>
    </row>
    <row r="77" spans="5:81" ht="20.05" customHeight="1" thickBot="1" x14ac:dyDescent="0.35">
      <c r="G77" s="329"/>
    </row>
    <row r="78" spans="5:81" ht="20.05" customHeight="1" thickBot="1" x14ac:dyDescent="0.35">
      <c r="W78" s="276" t="s">
        <v>310</v>
      </c>
    </row>
    <row r="79" spans="5:81" ht="20.05" customHeight="1" thickBot="1" x14ac:dyDescent="0.35">
      <c r="E79" s="160" t="s">
        <v>377</v>
      </c>
      <c r="F79" s="276" t="s">
        <v>310</v>
      </c>
      <c r="G79" s="246" t="s">
        <v>311</v>
      </c>
      <c r="H79" s="208" t="s">
        <v>315</v>
      </c>
      <c r="I79" s="210" t="s">
        <v>338</v>
      </c>
      <c r="J79" s="341" t="s">
        <v>128</v>
      </c>
      <c r="T79" s="160" t="s">
        <v>1922</v>
      </c>
      <c r="U79" s="160" t="s">
        <v>377</v>
      </c>
      <c r="V79" s="160" t="s">
        <v>2088</v>
      </c>
      <c r="X79" s="360"/>
      <c r="Y79" s="246" t="s">
        <v>311</v>
      </c>
      <c r="Z79" s="360" t="s">
        <v>2020</v>
      </c>
      <c r="AA79" s="208" t="s">
        <v>315</v>
      </c>
      <c r="AB79" s="360" t="s">
        <v>2020</v>
      </c>
      <c r="AC79" s="210" t="s">
        <v>338</v>
      </c>
      <c r="AD79" s="360" t="s">
        <v>2020</v>
      </c>
      <c r="AE79" s="341" t="s">
        <v>128</v>
      </c>
      <c r="AF79" s="360" t="s">
        <v>2095</v>
      </c>
      <c r="AH79" s="360"/>
      <c r="AI79" s="160">
        <f>G80</f>
        <v>1</v>
      </c>
      <c r="AJ79" s="360" t="s">
        <v>2090</v>
      </c>
      <c r="AK79" s="160" t="str">
        <f>H80</f>
        <v>Echanges Rdv, prise de cotes, reportage photos</v>
      </c>
      <c r="AL79" s="360" t="s">
        <v>2093</v>
      </c>
      <c r="AM79" s="160">
        <f>I80</f>
        <v>300</v>
      </c>
      <c r="AN79" s="360" t="s">
        <v>2020</v>
      </c>
      <c r="AO79" s="160">
        <f>J80</f>
        <v>1</v>
      </c>
      <c r="AP79" s="160" t="s">
        <v>2021</v>
      </c>
      <c r="AQ79" s="160" t="str">
        <f>T79&amp;U79&amp;V79&amp;Y79&amp;Z79&amp;AA79&amp;AB79&amp;AC79&amp;AD79&amp;AE79&amp;AF79&amp;AI79&amp;AJ79&amp;AK79&amp;AL79&amp;AM79&amp;AN79&amp;AO79&amp;AP79</f>
        <v>INSERT INTO LIGDEVFORFAIT(numLigDevForfait,designationLigDevForfait,montantLigDevForfait,idDevis) VALUES (1,'Echanges Rdv, prise de cotes, reportage photos',300,1);</v>
      </c>
      <c r="AR79" s="160" t="s">
        <v>2355</v>
      </c>
    </row>
    <row r="80" spans="5:81" ht="57" customHeight="1" thickBot="1" x14ac:dyDescent="0.35">
      <c r="F80" s="160">
        <v>1</v>
      </c>
      <c r="G80" s="160">
        <f>F80</f>
        <v>1</v>
      </c>
      <c r="H80" s="304" t="s">
        <v>2051</v>
      </c>
      <c r="I80" s="160">
        <v>300</v>
      </c>
      <c r="J80" s="160">
        <v>1</v>
      </c>
      <c r="S80" s="353"/>
      <c r="T80" s="160" t="s">
        <v>1922</v>
      </c>
      <c r="U80" s="160" t="s">
        <v>377</v>
      </c>
      <c r="V80" s="160" t="s">
        <v>2088</v>
      </c>
      <c r="W80" s="276"/>
      <c r="X80" s="360"/>
      <c r="Y80" s="246" t="s">
        <v>311</v>
      </c>
      <c r="Z80" s="360" t="s">
        <v>2020</v>
      </c>
      <c r="AA80" s="208" t="s">
        <v>315</v>
      </c>
      <c r="AB80" s="360" t="s">
        <v>2020</v>
      </c>
      <c r="AC80" s="210" t="s">
        <v>338</v>
      </c>
      <c r="AD80" s="360" t="s">
        <v>2020</v>
      </c>
      <c r="AE80" s="341" t="s">
        <v>128</v>
      </c>
      <c r="AF80" s="360" t="s">
        <v>2095</v>
      </c>
      <c r="AH80" s="360"/>
      <c r="AI80" s="160">
        <f t="shared" ref="AI80:AI96" si="61">G81</f>
        <v>2</v>
      </c>
      <c r="AJ80" s="360" t="s">
        <v>2090</v>
      </c>
      <c r="AK80" s="160" t="str">
        <f t="shared" ref="AK80:AK96" si="62">H81</f>
        <v>Etude et propositions, Description de la partie a réaliser, Enumération des fournitures</v>
      </c>
      <c r="AL80" s="360" t="s">
        <v>2093</v>
      </c>
      <c r="AM80" s="160">
        <f t="shared" ref="AM80:AM96" si="63">I81</f>
        <v>2200</v>
      </c>
      <c r="AN80" s="360" t="s">
        <v>2020</v>
      </c>
      <c r="AO80" s="160">
        <f t="shared" ref="AO80:AO96" si="64">J81</f>
        <v>1</v>
      </c>
      <c r="AP80" s="160" t="s">
        <v>2021</v>
      </c>
      <c r="AQ80" s="160" t="str">
        <f t="shared" ref="AQ80:AQ96" si="65">T80&amp;U80&amp;V80&amp;Y80&amp;Z80&amp;AA80&amp;AB80&amp;AC80&amp;AD80&amp;AE80&amp;AF80&amp;AI80&amp;AJ80&amp;AK80&amp;AL80&amp;AM80&amp;AN80&amp;AO80&amp;AP80</f>
        <v>INSERT INTO LIGDEVFORFAIT(numLigDevForfait,designationLigDevForfait,montantLigDevForfait,idDevis) VALUES (2,'Etude et propositions, Description de la partie a réaliser, Enumération des fournitures',2200,1);</v>
      </c>
      <c r="AR80" s="160" t="s">
        <v>2356</v>
      </c>
    </row>
    <row r="81" spans="6:44" ht="51.2" customHeight="1" thickBot="1" x14ac:dyDescent="0.35">
      <c r="F81" s="160">
        <f>+F80+1</f>
        <v>2</v>
      </c>
      <c r="G81" s="160">
        <f>F81</f>
        <v>2</v>
      </c>
      <c r="H81" s="304" t="s">
        <v>2052</v>
      </c>
      <c r="I81" s="160">
        <v>2200</v>
      </c>
      <c r="J81" s="160">
        <v>1</v>
      </c>
      <c r="S81" s="353"/>
      <c r="T81" s="160" t="s">
        <v>1922</v>
      </c>
      <c r="U81" s="160" t="s">
        <v>377</v>
      </c>
      <c r="V81" s="160" t="s">
        <v>2088</v>
      </c>
      <c r="W81" s="276"/>
      <c r="X81" s="360"/>
      <c r="Y81" s="246" t="s">
        <v>311</v>
      </c>
      <c r="Z81" s="360" t="s">
        <v>2020</v>
      </c>
      <c r="AA81" s="208" t="s">
        <v>315</v>
      </c>
      <c r="AB81" s="360" t="s">
        <v>2020</v>
      </c>
      <c r="AC81" s="210" t="s">
        <v>338</v>
      </c>
      <c r="AD81" s="360" t="s">
        <v>2020</v>
      </c>
      <c r="AE81" s="341" t="s">
        <v>128</v>
      </c>
      <c r="AF81" s="360" t="s">
        <v>2095</v>
      </c>
      <c r="AH81" s="360"/>
      <c r="AI81" s="160">
        <f t="shared" si="61"/>
        <v>3</v>
      </c>
      <c r="AJ81" s="360" t="s">
        <v>2090</v>
      </c>
      <c r="AK81" s="160" t="str">
        <f t="shared" si="62"/>
        <v>Réalisation, Fabrication et pose des elements validés à la phase 2, indication éventuelle date de livraison</v>
      </c>
      <c r="AL81" s="360" t="s">
        <v>2093</v>
      </c>
      <c r="AM81" s="160">
        <f t="shared" si="63"/>
        <v>3500</v>
      </c>
      <c r="AN81" s="360" t="s">
        <v>2020</v>
      </c>
      <c r="AO81" s="160">
        <f t="shared" si="64"/>
        <v>1</v>
      </c>
      <c r="AP81" s="160" t="s">
        <v>2021</v>
      </c>
      <c r="AQ81" s="160" t="str">
        <f t="shared" si="65"/>
        <v>INSERT INTO LIGDEVFORFAIT(numLigDevForfait,designationLigDevForfait,montantLigDevForfait,idDevis) VALUES (3,'Réalisation, Fabrication et pose des elements validés à la phase 2, indication éventuelle date de livraison',3500,1);</v>
      </c>
      <c r="AR81" s="160" t="s">
        <v>2357</v>
      </c>
    </row>
    <row r="82" spans="6:44" ht="52.45" customHeight="1" thickBot="1" x14ac:dyDescent="0.35">
      <c r="F82" s="160">
        <f t="shared" ref="F82:F97" si="66">+F81+1</f>
        <v>3</v>
      </c>
      <c r="G82" s="160">
        <f>F82</f>
        <v>3</v>
      </c>
      <c r="H82" s="304" t="s">
        <v>2053</v>
      </c>
      <c r="I82" s="160">
        <v>3500</v>
      </c>
      <c r="J82" s="160">
        <v>1</v>
      </c>
      <c r="S82" s="353"/>
      <c r="T82" s="160" t="s">
        <v>1922</v>
      </c>
      <c r="U82" s="160" t="s">
        <v>377</v>
      </c>
      <c r="V82" s="160" t="s">
        <v>2088</v>
      </c>
      <c r="W82" s="276"/>
      <c r="X82" s="360"/>
      <c r="Y82" s="246" t="s">
        <v>311</v>
      </c>
      <c r="Z82" s="360" t="s">
        <v>2020</v>
      </c>
      <c r="AA82" s="208" t="s">
        <v>315</v>
      </c>
      <c r="AB82" s="360" t="s">
        <v>2020</v>
      </c>
      <c r="AC82" s="210" t="s">
        <v>338</v>
      </c>
      <c r="AD82" s="360" t="s">
        <v>2020</v>
      </c>
      <c r="AE82" s="341" t="s">
        <v>128</v>
      </c>
      <c r="AF82" s="360" t="s">
        <v>2095</v>
      </c>
      <c r="AH82" s="360"/>
      <c r="AI82" s="160">
        <f t="shared" si="61"/>
        <v>1</v>
      </c>
      <c r="AJ82" s="360" t="s">
        <v>2090</v>
      </c>
      <c r="AK82" s="160" t="str">
        <f t="shared" si="62"/>
        <v>Ligne prise des exigences test Forfait 1</v>
      </c>
      <c r="AL82" s="360" t="s">
        <v>2093</v>
      </c>
      <c r="AM82" s="160">
        <f t="shared" si="63"/>
        <v>400</v>
      </c>
      <c r="AN82" s="360" t="s">
        <v>2020</v>
      </c>
      <c r="AO82" s="160">
        <f t="shared" si="64"/>
        <v>5</v>
      </c>
      <c r="AP82" s="160" t="s">
        <v>2021</v>
      </c>
      <c r="AQ82" s="160" t="str">
        <f t="shared" si="65"/>
        <v>INSERT INTO LIGDEVFORFAIT(numLigDevForfait,designationLigDevForfait,montantLigDevForfait,idDevis) VALUES (1,'Ligne prise des exigences test Forfait 1',400,5);</v>
      </c>
      <c r="AR82" s="160" t="s">
        <v>2358</v>
      </c>
    </row>
    <row r="83" spans="6:44" ht="52.45" customHeight="1" thickBot="1" x14ac:dyDescent="0.35">
      <c r="F83" s="160">
        <f t="shared" si="66"/>
        <v>4</v>
      </c>
      <c r="G83" s="160">
        <v>1</v>
      </c>
      <c r="H83" s="304" t="s">
        <v>1817</v>
      </c>
      <c r="I83" s="160">
        <v>400</v>
      </c>
      <c r="J83" s="160">
        <v>5</v>
      </c>
      <c r="S83" s="353"/>
      <c r="T83" s="160" t="s">
        <v>1922</v>
      </c>
      <c r="U83" s="160" t="s">
        <v>377</v>
      </c>
      <c r="V83" s="160" t="s">
        <v>2088</v>
      </c>
      <c r="W83" s="276"/>
      <c r="X83" s="360"/>
      <c r="Y83" s="246" t="s">
        <v>311</v>
      </c>
      <c r="Z83" s="360" t="s">
        <v>2020</v>
      </c>
      <c r="AA83" s="208" t="s">
        <v>315</v>
      </c>
      <c r="AB83" s="360" t="s">
        <v>2020</v>
      </c>
      <c r="AC83" s="210" t="s">
        <v>338</v>
      </c>
      <c r="AD83" s="360" t="s">
        <v>2020</v>
      </c>
      <c r="AE83" s="341" t="s">
        <v>128</v>
      </c>
      <c r="AF83" s="360" t="s">
        <v>2095</v>
      </c>
      <c r="AH83" s="360"/>
      <c r="AI83" s="160">
        <f t="shared" si="61"/>
        <v>2</v>
      </c>
      <c r="AJ83" s="360" t="s">
        <v>2090</v>
      </c>
      <c r="AK83" s="160" t="str">
        <f t="shared" si="62"/>
        <v>Ligne de la conception test Forfait1</v>
      </c>
      <c r="AL83" s="360" t="s">
        <v>2093</v>
      </c>
      <c r="AM83" s="160">
        <f t="shared" si="63"/>
        <v>2300</v>
      </c>
      <c r="AN83" s="360" t="s">
        <v>2020</v>
      </c>
      <c r="AO83" s="160">
        <f t="shared" si="64"/>
        <v>5</v>
      </c>
      <c r="AP83" s="160" t="s">
        <v>2021</v>
      </c>
      <c r="AQ83" s="160" t="str">
        <f t="shared" si="65"/>
        <v>INSERT INTO LIGDEVFORFAIT(numLigDevForfait,designationLigDevForfait,montantLigDevForfait,idDevis) VALUES (2,'Ligne de la conception test Forfait1',2300,5);</v>
      </c>
      <c r="AR83" s="160" t="s">
        <v>2359</v>
      </c>
    </row>
    <row r="84" spans="6:44" ht="52.45" customHeight="1" thickBot="1" x14ac:dyDescent="0.35">
      <c r="F84" s="160">
        <f t="shared" si="66"/>
        <v>5</v>
      </c>
      <c r="G84" s="160">
        <v>2</v>
      </c>
      <c r="H84" s="304" t="s">
        <v>1818</v>
      </c>
      <c r="I84" s="160">
        <v>2300</v>
      </c>
      <c r="J84" s="160">
        <v>5</v>
      </c>
      <c r="S84" s="353"/>
      <c r="T84" s="160" t="s">
        <v>1922</v>
      </c>
      <c r="U84" s="160" t="s">
        <v>377</v>
      </c>
      <c r="V84" s="160" t="s">
        <v>2088</v>
      </c>
      <c r="W84" s="276"/>
      <c r="X84" s="360"/>
      <c r="Y84" s="246" t="s">
        <v>311</v>
      </c>
      <c r="Z84" s="360" t="s">
        <v>2020</v>
      </c>
      <c r="AA84" s="208" t="s">
        <v>315</v>
      </c>
      <c r="AB84" s="360" t="s">
        <v>2020</v>
      </c>
      <c r="AC84" s="210" t="s">
        <v>338</v>
      </c>
      <c r="AD84" s="360" t="s">
        <v>2020</v>
      </c>
      <c r="AE84" s="341" t="s">
        <v>128</v>
      </c>
      <c r="AF84" s="360" t="s">
        <v>2095</v>
      </c>
      <c r="AH84" s="360"/>
      <c r="AI84" s="160">
        <f t="shared" si="61"/>
        <v>3</v>
      </c>
      <c r="AJ84" s="360" t="s">
        <v>2090</v>
      </c>
      <c r="AK84" s="160" t="str">
        <f t="shared" si="62"/>
        <v>Ligne réalisation et indication date butoir projet test Forfait 1</v>
      </c>
      <c r="AL84" s="360" t="s">
        <v>2093</v>
      </c>
      <c r="AM84" s="160">
        <f t="shared" si="63"/>
        <v>3600</v>
      </c>
      <c r="AN84" s="360" t="s">
        <v>2020</v>
      </c>
      <c r="AO84" s="160">
        <f t="shared" si="64"/>
        <v>5</v>
      </c>
      <c r="AP84" s="160" t="s">
        <v>2021</v>
      </c>
      <c r="AQ84" s="160" t="str">
        <f t="shared" si="65"/>
        <v>INSERT INTO LIGDEVFORFAIT(numLigDevForfait,designationLigDevForfait,montantLigDevForfait,idDevis) VALUES (3,'Ligne réalisation et indication date butoir projet test Forfait 1',3600,5);</v>
      </c>
      <c r="AR84" s="160" t="s">
        <v>2360</v>
      </c>
    </row>
    <row r="85" spans="6:44" ht="52.45" customHeight="1" thickBot="1" x14ac:dyDescent="0.35">
      <c r="F85" s="160">
        <f t="shared" si="66"/>
        <v>6</v>
      </c>
      <c r="G85" s="160">
        <v>3</v>
      </c>
      <c r="H85" s="304" t="s">
        <v>1819</v>
      </c>
      <c r="I85" s="160">
        <v>3600</v>
      </c>
      <c r="J85" s="160">
        <v>5</v>
      </c>
      <c r="S85" s="353"/>
      <c r="T85" s="160" t="s">
        <v>1922</v>
      </c>
      <c r="U85" s="160" t="s">
        <v>377</v>
      </c>
      <c r="V85" s="160" t="s">
        <v>2088</v>
      </c>
      <c r="W85" s="276"/>
      <c r="X85" s="360"/>
      <c r="Y85" s="246" t="s">
        <v>311</v>
      </c>
      <c r="Z85" s="360" t="s">
        <v>2020</v>
      </c>
      <c r="AA85" s="208" t="s">
        <v>315</v>
      </c>
      <c r="AB85" s="360" t="s">
        <v>2020</v>
      </c>
      <c r="AC85" s="210" t="s">
        <v>338</v>
      </c>
      <c r="AD85" s="360" t="s">
        <v>2020</v>
      </c>
      <c r="AE85" s="341" t="s">
        <v>128</v>
      </c>
      <c r="AF85" s="360" t="s">
        <v>2095</v>
      </c>
      <c r="AH85" s="360"/>
      <c r="AI85" s="160">
        <f t="shared" si="61"/>
        <v>1</v>
      </c>
      <c r="AJ85" s="360" t="s">
        <v>2090</v>
      </c>
      <c r="AK85" s="160" t="str">
        <f t="shared" si="62"/>
        <v>Ligne prise des exigences test Forfait 2</v>
      </c>
      <c r="AL85" s="360" t="s">
        <v>2093</v>
      </c>
      <c r="AM85" s="160">
        <f t="shared" si="63"/>
        <v>500</v>
      </c>
      <c r="AN85" s="360" t="s">
        <v>2020</v>
      </c>
      <c r="AO85" s="160">
        <f t="shared" si="64"/>
        <v>6</v>
      </c>
      <c r="AP85" s="160" t="s">
        <v>2021</v>
      </c>
      <c r="AQ85" s="160" t="str">
        <f t="shared" si="65"/>
        <v>INSERT INTO LIGDEVFORFAIT(numLigDevForfait,designationLigDevForfait,montantLigDevForfait,idDevis) VALUES (1,'Ligne prise des exigences test Forfait 2',500,6);</v>
      </c>
      <c r="AR85" s="160" t="s">
        <v>2361</v>
      </c>
    </row>
    <row r="86" spans="6:44" ht="52.45" customHeight="1" thickBot="1" x14ac:dyDescent="0.35">
      <c r="F86" s="160">
        <f t="shared" si="66"/>
        <v>7</v>
      </c>
      <c r="G86" s="160">
        <v>1</v>
      </c>
      <c r="H86" s="304" t="s">
        <v>1826</v>
      </c>
      <c r="I86" s="160">
        <v>500</v>
      </c>
      <c r="J86" s="160">
        <v>6</v>
      </c>
      <c r="S86" s="353"/>
      <c r="T86" s="160" t="s">
        <v>1922</v>
      </c>
      <c r="U86" s="160" t="s">
        <v>377</v>
      </c>
      <c r="V86" s="160" t="s">
        <v>2088</v>
      </c>
      <c r="W86" s="276"/>
      <c r="X86" s="360"/>
      <c r="Y86" s="246" t="s">
        <v>311</v>
      </c>
      <c r="Z86" s="360" t="s">
        <v>2020</v>
      </c>
      <c r="AA86" s="208" t="s">
        <v>315</v>
      </c>
      <c r="AB86" s="360" t="s">
        <v>2020</v>
      </c>
      <c r="AC86" s="210" t="s">
        <v>338</v>
      </c>
      <c r="AD86" s="360" t="s">
        <v>2020</v>
      </c>
      <c r="AE86" s="341" t="s">
        <v>128</v>
      </c>
      <c r="AF86" s="360" t="s">
        <v>2095</v>
      </c>
      <c r="AH86" s="360"/>
      <c r="AI86" s="160">
        <f t="shared" si="61"/>
        <v>2</v>
      </c>
      <c r="AJ86" s="360" t="s">
        <v>2090</v>
      </c>
      <c r="AK86" s="160" t="str">
        <f t="shared" si="62"/>
        <v>Ligne de la conception test Forfait2</v>
      </c>
      <c r="AL86" s="360" t="s">
        <v>2093</v>
      </c>
      <c r="AM86" s="160">
        <f t="shared" si="63"/>
        <v>2500</v>
      </c>
      <c r="AN86" s="360" t="s">
        <v>2020</v>
      </c>
      <c r="AO86" s="160">
        <f t="shared" si="64"/>
        <v>6</v>
      </c>
      <c r="AP86" s="160" t="s">
        <v>2021</v>
      </c>
      <c r="AQ86" s="160" t="str">
        <f t="shared" si="65"/>
        <v>INSERT INTO LIGDEVFORFAIT(numLigDevForfait,designationLigDevForfait,montantLigDevForfait,idDevis) VALUES (2,'Ligne de la conception test Forfait2',2500,6);</v>
      </c>
      <c r="AR86" s="160" t="s">
        <v>2362</v>
      </c>
    </row>
    <row r="87" spans="6:44" ht="52.45" customHeight="1" thickBot="1" x14ac:dyDescent="0.35">
      <c r="F87" s="160">
        <f t="shared" si="66"/>
        <v>8</v>
      </c>
      <c r="G87" s="160">
        <v>2</v>
      </c>
      <c r="H87" s="304" t="s">
        <v>1827</v>
      </c>
      <c r="I87" s="160">
        <v>2500</v>
      </c>
      <c r="J87" s="160">
        <v>6</v>
      </c>
      <c r="S87" s="353" t="str">
        <f t="shared" ref="S87:S96" si="67">"INSERT INTO "&amp;$E$79&amp;"("&amp;$F$79&amp;", "&amp;$G$79&amp;", "&amp;$H$79&amp;", "&amp;$I$79&amp;", "&amp;$J$79&amp;") VALUES ("&amp;F87&amp;", "&amp;G87&amp;", "&amp;H87&amp;", "&amp;I87&amp;", "&amp;J87&amp;");"</f>
        <v>INSERT INTO LIGDEVFORFAIT(idLigDevForfait, numLigDevForfait, designationLigDevForfait, montantLigDevForfait, idDevis) VALUES (8, 2, Ligne de la conception test Forfait2, 2500, 6);</v>
      </c>
      <c r="T87" s="160" t="s">
        <v>1922</v>
      </c>
      <c r="U87" s="160" t="s">
        <v>377</v>
      </c>
      <c r="V87" s="160" t="s">
        <v>2088</v>
      </c>
      <c r="W87" s="276"/>
      <c r="X87" s="360"/>
      <c r="Y87" s="246" t="s">
        <v>311</v>
      </c>
      <c r="Z87" s="360" t="s">
        <v>2020</v>
      </c>
      <c r="AA87" s="208" t="s">
        <v>315</v>
      </c>
      <c r="AB87" s="360" t="s">
        <v>2020</v>
      </c>
      <c r="AC87" s="210" t="s">
        <v>338</v>
      </c>
      <c r="AD87" s="360" t="s">
        <v>2020</v>
      </c>
      <c r="AE87" s="341" t="s">
        <v>128</v>
      </c>
      <c r="AF87" s="360" t="s">
        <v>2095</v>
      </c>
      <c r="AH87" s="360"/>
      <c r="AI87" s="160">
        <f t="shared" si="61"/>
        <v>3</v>
      </c>
      <c r="AJ87" s="360" t="s">
        <v>2090</v>
      </c>
      <c r="AK87" s="160" t="str">
        <f t="shared" si="62"/>
        <v>Ligne réalisation et indication date butoir projet test Forfait 2</v>
      </c>
      <c r="AL87" s="360" t="s">
        <v>2093</v>
      </c>
      <c r="AM87" s="160">
        <f t="shared" si="63"/>
        <v>3000</v>
      </c>
      <c r="AN87" s="360" t="s">
        <v>2020</v>
      </c>
      <c r="AO87" s="160">
        <f t="shared" si="64"/>
        <v>6</v>
      </c>
      <c r="AP87" s="160" t="s">
        <v>2021</v>
      </c>
      <c r="AQ87" s="160" t="str">
        <f t="shared" si="65"/>
        <v>INSERT INTO LIGDEVFORFAIT(numLigDevForfait,designationLigDevForfait,montantLigDevForfait,idDevis) VALUES (3,'Ligne réalisation et indication date butoir projet test Forfait 2',3000,6);</v>
      </c>
      <c r="AR87" s="160" t="s">
        <v>2363</v>
      </c>
    </row>
    <row r="88" spans="6:44" ht="52.45" customHeight="1" thickBot="1" x14ac:dyDescent="0.35">
      <c r="F88" s="160">
        <f t="shared" si="66"/>
        <v>9</v>
      </c>
      <c r="G88" s="160">
        <v>3</v>
      </c>
      <c r="H88" s="304" t="s">
        <v>1828</v>
      </c>
      <c r="I88" s="160">
        <v>3000</v>
      </c>
      <c r="J88" s="160">
        <v>6</v>
      </c>
      <c r="S88" s="353" t="str">
        <f t="shared" si="67"/>
        <v>INSERT INTO LIGDEVFORFAIT(idLigDevForfait, numLigDevForfait, designationLigDevForfait, montantLigDevForfait, idDevis) VALUES (9, 3, Ligne réalisation et indication date butoir projet test Forfait 2, 3000, 6);</v>
      </c>
      <c r="T88" s="160" t="s">
        <v>1922</v>
      </c>
      <c r="U88" s="160" t="s">
        <v>377</v>
      </c>
      <c r="V88" s="160" t="s">
        <v>2088</v>
      </c>
      <c r="W88" s="276"/>
      <c r="X88" s="360"/>
      <c r="Y88" s="246" t="s">
        <v>311</v>
      </c>
      <c r="Z88" s="360" t="s">
        <v>2020</v>
      </c>
      <c r="AA88" s="208" t="s">
        <v>315</v>
      </c>
      <c r="AB88" s="360" t="s">
        <v>2020</v>
      </c>
      <c r="AC88" s="210" t="s">
        <v>338</v>
      </c>
      <c r="AD88" s="360" t="s">
        <v>2020</v>
      </c>
      <c r="AE88" s="341" t="s">
        <v>128</v>
      </c>
      <c r="AF88" s="360" t="s">
        <v>2095</v>
      </c>
      <c r="AH88" s="360"/>
      <c r="AI88" s="160">
        <f t="shared" si="61"/>
        <v>1</v>
      </c>
      <c r="AJ88" s="360" t="s">
        <v>2090</v>
      </c>
      <c r="AK88" s="160" t="str">
        <f t="shared" si="62"/>
        <v>Ligne prise des exigences test Forfait 3</v>
      </c>
      <c r="AL88" s="360" t="s">
        <v>2093</v>
      </c>
      <c r="AM88" s="160">
        <f t="shared" si="63"/>
        <v>300</v>
      </c>
      <c r="AN88" s="360" t="s">
        <v>2020</v>
      </c>
      <c r="AO88" s="160">
        <f t="shared" si="64"/>
        <v>7</v>
      </c>
      <c r="AP88" s="160" t="s">
        <v>2021</v>
      </c>
      <c r="AQ88" s="160" t="str">
        <f t="shared" si="65"/>
        <v>INSERT INTO LIGDEVFORFAIT(numLigDevForfait,designationLigDevForfait,montantLigDevForfait,idDevis) VALUES (1,'Ligne prise des exigences test Forfait 3',300,7);</v>
      </c>
      <c r="AR88" s="160" t="s">
        <v>2364</v>
      </c>
    </row>
    <row r="89" spans="6:44" ht="52.45" customHeight="1" thickBot="1" x14ac:dyDescent="0.35">
      <c r="F89" s="160">
        <f t="shared" si="66"/>
        <v>10</v>
      </c>
      <c r="G89" s="160">
        <v>1</v>
      </c>
      <c r="H89" s="304" t="s">
        <v>1829</v>
      </c>
      <c r="I89" s="160">
        <v>300</v>
      </c>
      <c r="J89" s="160">
        <v>7</v>
      </c>
      <c r="S89" s="353" t="str">
        <f t="shared" si="67"/>
        <v>INSERT INTO LIGDEVFORFAIT(idLigDevForfait, numLigDevForfait, designationLigDevForfait, montantLigDevForfait, idDevis) VALUES (10, 1, Ligne prise des exigences test Forfait 3, 300, 7);</v>
      </c>
      <c r="T89" s="160" t="s">
        <v>1922</v>
      </c>
      <c r="U89" s="160" t="s">
        <v>377</v>
      </c>
      <c r="V89" s="160" t="s">
        <v>2088</v>
      </c>
      <c r="W89" s="276"/>
      <c r="X89" s="360"/>
      <c r="Y89" s="246" t="s">
        <v>311</v>
      </c>
      <c r="Z89" s="360" t="s">
        <v>2020</v>
      </c>
      <c r="AA89" s="208" t="s">
        <v>315</v>
      </c>
      <c r="AB89" s="360" t="s">
        <v>2020</v>
      </c>
      <c r="AC89" s="210" t="s">
        <v>338</v>
      </c>
      <c r="AD89" s="360" t="s">
        <v>2020</v>
      </c>
      <c r="AE89" s="341" t="s">
        <v>128</v>
      </c>
      <c r="AF89" s="360" t="s">
        <v>2095</v>
      </c>
      <c r="AH89" s="360"/>
      <c r="AI89" s="160">
        <f t="shared" si="61"/>
        <v>2</v>
      </c>
      <c r="AJ89" s="360" t="s">
        <v>2090</v>
      </c>
      <c r="AK89" s="160" t="str">
        <f t="shared" si="62"/>
        <v>Ligne de la conception test Forfait3</v>
      </c>
      <c r="AL89" s="360" t="s">
        <v>2093</v>
      </c>
      <c r="AM89" s="160">
        <f t="shared" si="63"/>
        <v>2600</v>
      </c>
      <c r="AN89" s="360" t="s">
        <v>2020</v>
      </c>
      <c r="AO89" s="160">
        <f t="shared" si="64"/>
        <v>7</v>
      </c>
      <c r="AP89" s="160" t="s">
        <v>2021</v>
      </c>
      <c r="AQ89" s="160" t="str">
        <f t="shared" si="65"/>
        <v>INSERT INTO LIGDEVFORFAIT(numLigDevForfait,designationLigDevForfait,montantLigDevForfait,idDevis) VALUES (2,'Ligne de la conception test Forfait3',2600,7);</v>
      </c>
      <c r="AR89" s="160" t="s">
        <v>2365</v>
      </c>
    </row>
    <row r="90" spans="6:44" ht="52.45" customHeight="1" thickBot="1" x14ac:dyDescent="0.35">
      <c r="F90" s="160">
        <f t="shared" si="66"/>
        <v>11</v>
      </c>
      <c r="G90" s="160">
        <v>2</v>
      </c>
      <c r="H90" s="304" t="s">
        <v>1830</v>
      </c>
      <c r="I90" s="160">
        <v>2600</v>
      </c>
      <c r="J90" s="160">
        <v>7</v>
      </c>
      <c r="S90" s="353" t="str">
        <f t="shared" si="67"/>
        <v>INSERT INTO LIGDEVFORFAIT(idLigDevForfait, numLigDevForfait, designationLigDevForfait, montantLigDevForfait, idDevis) VALUES (11, 2, Ligne de la conception test Forfait3, 2600, 7);</v>
      </c>
      <c r="T90" s="160" t="s">
        <v>1922</v>
      </c>
      <c r="U90" s="160" t="s">
        <v>377</v>
      </c>
      <c r="V90" s="160" t="s">
        <v>2088</v>
      </c>
      <c r="W90" s="276"/>
      <c r="X90" s="360"/>
      <c r="Y90" s="246" t="s">
        <v>311</v>
      </c>
      <c r="Z90" s="360" t="s">
        <v>2020</v>
      </c>
      <c r="AA90" s="208" t="s">
        <v>315</v>
      </c>
      <c r="AB90" s="360" t="s">
        <v>2020</v>
      </c>
      <c r="AC90" s="210" t="s">
        <v>338</v>
      </c>
      <c r="AD90" s="360" t="s">
        <v>2020</v>
      </c>
      <c r="AE90" s="341" t="s">
        <v>128</v>
      </c>
      <c r="AF90" s="360" t="s">
        <v>2095</v>
      </c>
      <c r="AH90" s="360"/>
      <c r="AI90" s="160">
        <f t="shared" si="61"/>
        <v>3</v>
      </c>
      <c r="AJ90" s="360" t="s">
        <v>2090</v>
      </c>
      <c r="AK90" s="160" t="str">
        <f t="shared" si="62"/>
        <v>Ligne réalisation et indication date butoir projet test Forfait 3</v>
      </c>
      <c r="AL90" s="360" t="s">
        <v>2093</v>
      </c>
      <c r="AM90" s="160">
        <f t="shared" si="63"/>
        <v>4200</v>
      </c>
      <c r="AN90" s="360" t="s">
        <v>2020</v>
      </c>
      <c r="AO90" s="160">
        <f t="shared" si="64"/>
        <v>7</v>
      </c>
      <c r="AP90" s="160" t="s">
        <v>2021</v>
      </c>
      <c r="AQ90" s="160" t="str">
        <f t="shared" si="65"/>
        <v>INSERT INTO LIGDEVFORFAIT(numLigDevForfait,designationLigDevForfait,montantLigDevForfait,idDevis) VALUES (3,'Ligne réalisation et indication date butoir projet test Forfait 3',4200,7);</v>
      </c>
      <c r="AR90" s="160" t="s">
        <v>2366</v>
      </c>
    </row>
    <row r="91" spans="6:44" ht="52.45" customHeight="1" thickBot="1" x14ac:dyDescent="0.35">
      <c r="F91" s="160">
        <f t="shared" si="66"/>
        <v>12</v>
      </c>
      <c r="G91" s="160">
        <v>3</v>
      </c>
      <c r="H91" s="304" t="s">
        <v>1831</v>
      </c>
      <c r="I91" s="160">
        <v>4200</v>
      </c>
      <c r="J91" s="160">
        <v>7</v>
      </c>
      <c r="S91" s="353" t="str">
        <f t="shared" si="67"/>
        <v>INSERT INTO LIGDEVFORFAIT(idLigDevForfait, numLigDevForfait, designationLigDevForfait, montantLigDevForfait, idDevis) VALUES (12, 3, Ligne réalisation et indication date butoir projet test Forfait 3, 4200, 7);</v>
      </c>
      <c r="T91" s="160" t="s">
        <v>1922</v>
      </c>
      <c r="U91" s="160" t="s">
        <v>377</v>
      </c>
      <c r="V91" s="160" t="s">
        <v>2088</v>
      </c>
      <c r="W91" s="276"/>
      <c r="X91" s="360"/>
      <c r="Y91" s="246" t="s">
        <v>311</v>
      </c>
      <c r="Z91" s="360" t="s">
        <v>2020</v>
      </c>
      <c r="AA91" s="208" t="s">
        <v>315</v>
      </c>
      <c r="AB91" s="360" t="s">
        <v>2020</v>
      </c>
      <c r="AC91" s="210" t="s">
        <v>338</v>
      </c>
      <c r="AD91" s="360" t="s">
        <v>2020</v>
      </c>
      <c r="AE91" s="341" t="s">
        <v>128</v>
      </c>
      <c r="AF91" s="360" t="s">
        <v>2095</v>
      </c>
      <c r="AH91" s="360"/>
      <c r="AI91" s="160">
        <f t="shared" si="61"/>
        <v>1</v>
      </c>
      <c r="AJ91" s="360" t="s">
        <v>2090</v>
      </c>
      <c r="AK91" s="160" t="str">
        <f t="shared" si="62"/>
        <v>Ligne prise des exigences test Forfait 4</v>
      </c>
      <c r="AL91" s="360" t="s">
        <v>2093</v>
      </c>
      <c r="AM91" s="160">
        <f t="shared" si="63"/>
        <v>500</v>
      </c>
      <c r="AN91" s="360" t="s">
        <v>2020</v>
      </c>
      <c r="AO91" s="160">
        <f t="shared" si="64"/>
        <v>8</v>
      </c>
      <c r="AP91" s="160" t="s">
        <v>2021</v>
      </c>
      <c r="AQ91" s="160" t="str">
        <f t="shared" si="65"/>
        <v>INSERT INTO LIGDEVFORFAIT(numLigDevForfait,designationLigDevForfait,montantLigDevForfait,idDevis) VALUES (1,'Ligne prise des exigences test Forfait 4',500,8);</v>
      </c>
      <c r="AR91" s="160" t="s">
        <v>2367</v>
      </c>
    </row>
    <row r="92" spans="6:44" ht="52.45" customHeight="1" thickBot="1" x14ac:dyDescent="0.35">
      <c r="F92" s="160">
        <f t="shared" si="66"/>
        <v>13</v>
      </c>
      <c r="G92" s="160">
        <v>1</v>
      </c>
      <c r="H92" s="304" t="s">
        <v>1832</v>
      </c>
      <c r="I92" s="160">
        <v>500</v>
      </c>
      <c r="J92" s="160">
        <v>8</v>
      </c>
      <c r="S92" s="353" t="str">
        <f t="shared" si="67"/>
        <v>INSERT INTO LIGDEVFORFAIT(idLigDevForfait, numLigDevForfait, designationLigDevForfait, montantLigDevForfait, idDevis) VALUES (13, 1, Ligne prise des exigences test Forfait 4, 500, 8);</v>
      </c>
      <c r="T92" s="160" t="s">
        <v>1922</v>
      </c>
      <c r="U92" s="160" t="s">
        <v>377</v>
      </c>
      <c r="V92" s="160" t="s">
        <v>2088</v>
      </c>
      <c r="W92" s="276"/>
      <c r="X92" s="360"/>
      <c r="Y92" s="246" t="s">
        <v>311</v>
      </c>
      <c r="Z92" s="360" t="s">
        <v>2020</v>
      </c>
      <c r="AA92" s="208" t="s">
        <v>315</v>
      </c>
      <c r="AB92" s="360" t="s">
        <v>2020</v>
      </c>
      <c r="AC92" s="210" t="s">
        <v>338</v>
      </c>
      <c r="AD92" s="360" t="s">
        <v>2020</v>
      </c>
      <c r="AE92" s="341" t="s">
        <v>128</v>
      </c>
      <c r="AF92" s="360" t="s">
        <v>2095</v>
      </c>
      <c r="AH92" s="360"/>
      <c r="AI92" s="160">
        <f t="shared" si="61"/>
        <v>2</v>
      </c>
      <c r="AJ92" s="360" t="s">
        <v>2090</v>
      </c>
      <c r="AK92" s="160" t="str">
        <f t="shared" si="62"/>
        <v>Ligne de la conception test Forfait4</v>
      </c>
      <c r="AL92" s="360" t="s">
        <v>2093</v>
      </c>
      <c r="AM92" s="160">
        <f t="shared" si="63"/>
        <v>3000</v>
      </c>
      <c r="AN92" s="360" t="s">
        <v>2020</v>
      </c>
      <c r="AO92" s="160">
        <f t="shared" si="64"/>
        <v>8</v>
      </c>
      <c r="AP92" s="160" t="s">
        <v>2021</v>
      </c>
      <c r="AQ92" s="160" t="str">
        <f t="shared" si="65"/>
        <v>INSERT INTO LIGDEVFORFAIT(numLigDevForfait,designationLigDevForfait,montantLigDevForfait,idDevis) VALUES (2,'Ligne de la conception test Forfait4',3000,8);</v>
      </c>
      <c r="AR92" s="160" t="s">
        <v>2368</v>
      </c>
    </row>
    <row r="93" spans="6:44" ht="52.45" customHeight="1" thickBot="1" x14ac:dyDescent="0.35">
      <c r="F93" s="160">
        <f t="shared" si="66"/>
        <v>14</v>
      </c>
      <c r="G93" s="160">
        <v>2</v>
      </c>
      <c r="H93" s="304" t="s">
        <v>1833</v>
      </c>
      <c r="I93" s="160">
        <v>3000</v>
      </c>
      <c r="J93" s="160">
        <v>8</v>
      </c>
      <c r="S93" s="353" t="str">
        <f t="shared" si="67"/>
        <v>INSERT INTO LIGDEVFORFAIT(idLigDevForfait, numLigDevForfait, designationLigDevForfait, montantLigDevForfait, idDevis) VALUES (14, 2, Ligne de la conception test Forfait4, 3000, 8);</v>
      </c>
      <c r="T93" s="160" t="s">
        <v>1922</v>
      </c>
      <c r="U93" s="160" t="s">
        <v>377</v>
      </c>
      <c r="V93" s="160" t="s">
        <v>2088</v>
      </c>
      <c r="W93" s="276"/>
      <c r="X93" s="360"/>
      <c r="Y93" s="246" t="s">
        <v>311</v>
      </c>
      <c r="Z93" s="360" t="s">
        <v>2020</v>
      </c>
      <c r="AA93" s="208" t="s">
        <v>315</v>
      </c>
      <c r="AB93" s="360" t="s">
        <v>2020</v>
      </c>
      <c r="AC93" s="210" t="s">
        <v>338</v>
      </c>
      <c r="AD93" s="360" t="s">
        <v>2020</v>
      </c>
      <c r="AE93" s="341" t="s">
        <v>128</v>
      </c>
      <c r="AF93" s="360" t="s">
        <v>2095</v>
      </c>
      <c r="AH93" s="360"/>
      <c r="AI93" s="160">
        <f t="shared" si="61"/>
        <v>3</v>
      </c>
      <c r="AJ93" s="360" t="s">
        <v>2090</v>
      </c>
      <c r="AK93" s="160" t="str">
        <f t="shared" si="62"/>
        <v>Ligne réalisation et indication date butoir projet test Forfait 4</v>
      </c>
      <c r="AL93" s="360" t="s">
        <v>2093</v>
      </c>
      <c r="AM93" s="160">
        <f t="shared" si="63"/>
        <v>4000</v>
      </c>
      <c r="AN93" s="360" t="s">
        <v>2020</v>
      </c>
      <c r="AO93" s="160">
        <f t="shared" si="64"/>
        <v>8</v>
      </c>
      <c r="AP93" s="160" t="s">
        <v>2021</v>
      </c>
      <c r="AQ93" s="160" t="str">
        <f t="shared" si="65"/>
        <v>INSERT INTO LIGDEVFORFAIT(numLigDevForfait,designationLigDevForfait,montantLigDevForfait,idDevis) VALUES (3,'Ligne réalisation et indication date butoir projet test Forfait 4',4000,8);</v>
      </c>
      <c r="AR93" s="160" t="s">
        <v>2369</v>
      </c>
    </row>
    <row r="94" spans="6:44" ht="52.45" customHeight="1" thickBot="1" x14ac:dyDescent="0.35">
      <c r="F94" s="160">
        <f t="shared" si="66"/>
        <v>15</v>
      </c>
      <c r="G94" s="160">
        <v>3</v>
      </c>
      <c r="H94" s="304" t="s">
        <v>1834</v>
      </c>
      <c r="I94" s="160">
        <v>4000</v>
      </c>
      <c r="J94" s="160">
        <v>8</v>
      </c>
      <c r="S94" s="353" t="str">
        <f t="shared" si="67"/>
        <v>INSERT INTO LIGDEVFORFAIT(idLigDevForfait, numLigDevForfait, designationLigDevForfait, montantLigDevForfait, idDevis) VALUES (15, 3, Ligne réalisation et indication date butoir projet test Forfait 4, 4000, 8);</v>
      </c>
      <c r="T94" s="160" t="s">
        <v>1922</v>
      </c>
      <c r="U94" s="160" t="s">
        <v>377</v>
      </c>
      <c r="V94" s="160" t="s">
        <v>2088</v>
      </c>
      <c r="W94" s="276"/>
      <c r="X94" s="360"/>
      <c r="Y94" s="246" t="s">
        <v>311</v>
      </c>
      <c r="Z94" s="360" t="s">
        <v>2020</v>
      </c>
      <c r="AA94" s="208" t="s">
        <v>315</v>
      </c>
      <c r="AB94" s="360" t="s">
        <v>2020</v>
      </c>
      <c r="AC94" s="210" t="s">
        <v>338</v>
      </c>
      <c r="AD94" s="360" t="s">
        <v>2020</v>
      </c>
      <c r="AE94" s="341" t="s">
        <v>128</v>
      </c>
      <c r="AF94" s="360" t="s">
        <v>2095</v>
      </c>
      <c r="AH94" s="360"/>
      <c r="AI94" s="160">
        <f t="shared" si="61"/>
        <v>1</v>
      </c>
      <c r="AJ94" s="360" t="s">
        <v>2090</v>
      </c>
      <c r="AK94" s="160" t="str">
        <f t="shared" si="62"/>
        <v>Ligne prise des exigences test Forfait 5</v>
      </c>
      <c r="AL94" s="360" t="s">
        <v>2093</v>
      </c>
      <c r="AM94" s="160">
        <f t="shared" si="63"/>
        <v>800</v>
      </c>
      <c r="AN94" s="360" t="s">
        <v>2020</v>
      </c>
      <c r="AO94" s="160">
        <f t="shared" si="64"/>
        <v>9</v>
      </c>
      <c r="AP94" s="160" t="s">
        <v>2021</v>
      </c>
      <c r="AQ94" s="160" t="str">
        <f t="shared" si="65"/>
        <v>INSERT INTO LIGDEVFORFAIT(numLigDevForfait,designationLigDevForfait,montantLigDevForfait,idDevis) VALUES (1,'Ligne prise des exigences test Forfait 5',800,9);</v>
      </c>
      <c r="AR94" s="160" t="s">
        <v>2370</v>
      </c>
    </row>
    <row r="95" spans="6:44" ht="52.45" customHeight="1" thickBot="1" x14ac:dyDescent="0.35">
      <c r="F95" s="160">
        <f t="shared" si="66"/>
        <v>16</v>
      </c>
      <c r="G95" s="160">
        <v>1</v>
      </c>
      <c r="H95" s="304" t="s">
        <v>1847</v>
      </c>
      <c r="I95" s="160">
        <v>800</v>
      </c>
      <c r="J95" s="160">
        <v>9</v>
      </c>
      <c r="S95" s="353" t="str">
        <f t="shared" si="67"/>
        <v>INSERT INTO LIGDEVFORFAIT(idLigDevForfait, numLigDevForfait, designationLigDevForfait, montantLigDevForfait, idDevis) VALUES (16, 1, Ligne prise des exigences test Forfait 5, 800, 9);</v>
      </c>
      <c r="T95" s="160" t="s">
        <v>1922</v>
      </c>
      <c r="U95" s="160" t="s">
        <v>377</v>
      </c>
      <c r="V95" s="160" t="s">
        <v>2088</v>
      </c>
      <c r="W95" s="276"/>
      <c r="X95" s="360"/>
      <c r="Y95" s="246" t="s">
        <v>311</v>
      </c>
      <c r="Z95" s="360" t="s">
        <v>2020</v>
      </c>
      <c r="AA95" s="208" t="s">
        <v>315</v>
      </c>
      <c r="AB95" s="360" t="s">
        <v>2020</v>
      </c>
      <c r="AC95" s="210" t="s">
        <v>338</v>
      </c>
      <c r="AD95" s="360" t="s">
        <v>2020</v>
      </c>
      <c r="AE95" s="341" t="s">
        <v>128</v>
      </c>
      <c r="AF95" s="360" t="s">
        <v>2095</v>
      </c>
      <c r="AH95" s="360"/>
      <c r="AI95" s="160">
        <f t="shared" si="61"/>
        <v>2</v>
      </c>
      <c r="AJ95" s="360" t="s">
        <v>2090</v>
      </c>
      <c r="AK95" s="160" t="str">
        <f t="shared" si="62"/>
        <v>Ligne de la conception test Forfait5</v>
      </c>
      <c r="AL95" s="360" t="s">
        <v>2093</v>
      </c>
      <c r="AM95" s="160">
        <f t="shared" si="63"/>
        <v>5200</v>
      </c>
      <c r="AN95" s="360" t="s">
        <v>2020</v>
      </c>
      <c r="AO95" s="160">
        <f t="shared" si="64"/>
        <v>9</v>
      </c>
      <c r="AP95" s="160" t="s">
        <v>2021</v>
      </c>
      <c r="AQ95" s="160" t="str">
        <f t="shared" si="65"/>
        <v>INSERT INTO LIGDEVFORFAIT(numLigDevForfait,designationLigDevForfait,montantLigDevForfait,idDevis) VALUES (2,'Ligne de la conception test Forfait5',5200,9);</v>
      </c>
      <c r="AR95" s="160" t="s">
        <v>2371</v>
      </c>
    </row>
    <row r="96" spans="6:44" ht="52.45" customHeight="1" x14ac:dyDescent="0.3">
      <c r="F96" s="160">
        <f t="shared" si="66"/>
        <v>17</v>
      </c>
      <c r="G96" s="160">
        <v>2</v>
      </c>
      <c r="H96" s="304" t="s">
        <v>1848</v>
      </c>
      <c r="I96" s="160">
        <v>5200</v>
      </c>
      <c r="J96" s="160">
        <v>9</v>
      </c>
      <c r="S96" s="353" t="str">
        <f t="shared" si="67"/>
        <v>INSERT INTO LIGDEVFORFAIT(idLigDevForfait, numLigDevForfait, designationLigDevForfait, montantLigDevForfait, idDevis) VALUES (17, 2, Ligne de la conception test Forfait5, 5200, 9);</v>
      </c>
      <c r="T96" s="160" t="s">
        <v>1922</v>
      </c>
      <c r="U96" s="160" t="s">
        <v>377</v>
      </c>
      <c r="V96" s="160" t="s">
        <v>2088</v>
      </c>
      <c r="W96" s="365"/>
      <c r="X96" s="360"/>
      <c r="Y96" s="366" t="s">
        <v>311</v>
      </c>
      <c r="Z96" s="360" t="s">
        <v>2020</v>
      </c>
      <c r="AA96" s="367" t="s">
        <v>315</v>
      </c>
      <c r="AB96" s="360" t="s">
        <v>2020</v>
      </c>
      <c r="AC96" s="367" t="s">
        <v>338</v>
      </c>
      <c r="AD96" s="360" t="s">
        <v>2020</v>
      </c>
      <c r="AE96" s="341" t="s">
        <v>128</v>
      </c>
      <c r="AF96" s="360" t="s">
        <v>2095</v>
      </c>
      <c r="AH96" s="360"/>
      <c r="AI96" s="160">
        <f t="shared" si="61"/>
        <v>3</v>
      </c>
      <c r="AJ96" s="360" t="s">
        <v>2090</v>
      </c>
      <c r="AK96" s="160" t="str">
        <f t="shared" si="62"/>
        <v>Ligne réalisation et indication date butoir projet test Forfait 5</v>
      </c>
      <c r="AL96" s="360" t="s">
        <v>2093</v>
      </c>
      <c r="AM96" s="160">
        <f t="shared" si="63"/>
        <v>8300</v>
      </c>
      <c r="AN96" s="360" t="s">
        <v>2020</v>
      </c>
      <c r="AO96" s="160">
        <f t="shared" si="64"/>
        <v>9</v>
      </c>
      <c r="AP96" s="160" t="s">
        <v>2021</v>
      </c>
      <c r="AQ96" s="160" t="str">
        <f t="shared" si="65"/>
        <v>INSERT INTO LIGDEVFORFAIT(numLigDevForfait,designationLigDevForfait,montantLigDevForfait,idDevis) VALUES (3,'Ligne réalisation et indication date butoir projet test Forfait 5',8300,9);</v>
      </c>
      <c r="AR96" s="160" t="s">
        <v>2372</v>
      </c>
    </row>
    <row r="97" spans="5:48" ht="20.05" customHeight="1" x14ac:dyDescent="0.3">
      <c r="F97" s="160">
        <f t="shared" si="66"/>
        <v>18</v>
      </c>
      <c r="G97" s="160">
        <v>3</v>
      </c>
      <c r="H97" s="304" t="s">
        <v>1849</v>
      </c>
      <c r="I97" s="160">
        <v>8300</v>
      </c>
      <c r="J97" s="160">
        <v>9</v>
      </c>
      <c r="S97" s="353"/>
      <c r="W97" s="368"/>
      <c r="X97" s="360"/>
      <c r="Y97" s="322"/>
      <c r="Z97" s="360"/>
      <c r="AA97" s="322"/>
      <c r="AB97" s="360"/>
      <c r="AC97" s="322"/>
      <c r="AD97" s="360"/>
      <c r="AE97" s="294"/>
      <c r="AF97" s="360"/>
      <c r="AH97" s="360"/>
      <c r="AJ97" s="360"/>
      <c r="AL97" s="360"/>
      <c r="AN97" s="360"/>
    </row>
    <row r="98" spans="5:48" ht="20.05" customHeight="1" thickBot="1" x14ac:dyDescent="0.35"/>
    <row r="99" spans="5:48" ht="20.05" customHeight="1" thickBot="1" x14ac:dyDescent="0.35">
      <c r="W99" s="277" t="s">
        <v>221</v>
      </c>
    </row>
    <row r="100" spans="5:48" ht="20.05" customHeight="1" thickBot="1" x14ac:dyDescent="0.35">
      <c r="E100" s="160" t="s">
        <v>378</v>
      </c>
      <c r="F100" s="277" t="s">
        <v>2554</v>
      </c>
      <c r="G100" s="250" t="s">
        <v>2555</v>
      </c>
      <c r="H100" s="214" t="s">
        <v>2556</v>
      </c>
      <c r="I100" s="214" t="s">
        <v>2557</v>
      </c>
      <c r="J100" s="216" t="s">
        <v>2558</v>
      </c>
      <c r="K100" s="340" t="s">
        <v>128</v>
      </c>
      <c r="T100" s="160" t="s">
        <v>1922</v>
      </c>
      <c r="U100" s="160" t="s">
        <v>2076</v>
      </c>
      <c r="V100" s="160" t="s">
        <v>2088</v>
      </c>
      <c r="X100" s="360"/>
      <c r="Y100" s="250" t="s">
        <v>2555</v>
      </c>
      <c r="Z100" s="360" t="s">
        <v>2020</v>
      </c>
      <c r="AA100" s="214" t="s">
        <v>2556</v>
      </c>
      <c r="AB100" s="360" t="s">
        <v>2020</v>
      </c>
      <c r="AC100" s="214" t="s">
        <v>2557</v>
      </c>
      <c r="AD100" s="360" t="s">
        <v>2020</v>
      </c>
      <c r="AE100" s="216" t="s">
        <v>2558</v>
      </c>
      <c r="AF100" s="360" t="s">
        <v>2020</v>
      </c>
      <c r="AG100" s="340" t="s">
        <v>128</v>
      </c>
      <c r="AH100" s="360" t="s">
        <v>2095</v>
      </c>
    </row>
    <row r="101" spans="5:48" ht="48.25" customHeight="1" thickBot="1" x14ac:dyDescent="0.35">
      <c r="F101" s="160">
        <v>1</v>
      </c>
      <c r="G101" s="160">
        <v>1</v>
      </c>
      <c r="H101" s="304" t="s">
        <v>2051</v>
      </c>
      <c r="I101" s="160">
        <v>3</v>
      </c>
      <c r="J101" s="160">
        <v>100</v>
      </c>
      <c r="K101" s="160">
        <v>2</v>
      </c>
      <c r="S101" s="353"/>
      <c r="T101" s="160" t="s">
        <v>1922</v>
      </c>
      <c r="U101" s="160" t="s">
        <v>2076</v>
      </c>
      <c r="V101" s="160" t="s">
        <v>2088</v>
      </c>
      <c r="W101" s="277"/>
      <c r="X101" s="360"/>
      <c r="Y101" s="250" t="s">
        <v>2555</v>
      </c>
      <c r="Z101" s="360" t="s">
        <v>2020</v>
      </c>
      <c r="AA101" s="214" t="s">
        <v>2556</v>
      </c>
      <c r="AB101" s="360" t="s">
        <v>2020</v>
      </c>
      <c r="AC101" s="214" t="s">
        <v>2557</v>
      </c>
      <c r="AD101" s="360" t="s">
        <v>2020</v>
      </c>
      <c r="AE101" s="216" t="s">
        <v>2558</v>
      </c>
      <c r="AF101" s="360" t="s">
        <v>2020</v>
      </c>
      <c r="AG101" s="340" t="s">
        <v>128</v>
      </c>
      <c r="AH101" s="360" t="s">
        <v>2095</v>
      </c>
      <c r="AJ101" s="360"/>
      <c r="AK101" s="160">
        <f>G101</f>
        <v>1</v>
      </c>
      <c r="AL101" s="360" t="s">
        <v>2090</v>
      </c>
      <c r="AM101" s="160" t="str">
        <f>H101</f>
        <v>Echanges Rdv, prise de cotes, reportage photos</v>
      </c>
      <c r="AN101" s="360" t="s">
        <v>2093</v>
      </c>
      <c r="AO101" s="160">
        <f>I101</f>
        <v>3</v>
      </c>
      <c r="AP101" s="360" t="s">
        <v>2020</v>
      </c>
      <c r="AQ101" s="160">
        <f>J101</f>
        <v>100</v>
      </c>
      <c r="AR101" s="360" t="s">
        <v>2020</v>
      </c>
      <c r="AS101" s="160">
        <f>K101</f>
        <v>2</v>
      </c>
      <c r="AT101" s="160" t="s">
        <v>2021</v>
      </c>
      <c r="AU101" s="160" t="str">
        <f>T101&amp;U101&amp;V101&amp;Y101&amp;Z101&amp;AA101&amp;AB101&amp;AC101&amp;AD101&amp;AE101&amp;AF101&amp;AG101&amp;AH101&amp;AK101&amp;AL101&amp;AM101&amp;AN101&amp;AO101&amp;AP101&amp;AQ101&amp;AR101&amp;AS101&amp;AT101</f>
        <v>INSERT INTO LIGDEVQPU(numLigDevQpu,designationLigDevQpu,qLigDevQpu,montantLigDevQpu,idDevis) VALUES (1,'Echanges Rdv, prise de cotes, reportage photos',3,100,2);</v>
      </c>
      <c r="AV101" s="160" t="s">
        <v>2559</v>
      </c>
    </row>
    <row r="102" spans="5:48" ht="48.25" customHeight="1" thickBot="1" x14ac:dyDescent="0.35">
      <c r="F102" s="160">
        <v>2</v>
      </c>
      <c r="G102" s="160">
        <v>2</v>
      </c>
      <c r="H102" s="304" t="s">
        <v>2052</v>
      </c>
      <c r="I102" s="160">
        <v>2</v>
      </c>
      <c r="J102" s="160">
        <v>1100</v>
      </c>
      <c r="K102" s="160">
        <v>2</v>
      </c>
      <c r="S102" s="353"/>
      <c r="T102" s="160" t="s">
        <v>1922</v>
      </c>
      <c r="U102" s="160" t="s">
        <v>2076</v>
      </c>
      <c r="V102" s="160" t="s">
        <v>2088</v>
      </c>
      <c r="W102" s="277"/>
      <c r="X102" s="360"/>
      <c r="Y102" s="250" t="s">
        <v>2555</v>
      </c>
      <c r="Z102" s="360" t="s">
        <v>2020</v>
      </c>
      <c r="AA102" s="214" t="s">
        <v>2556</v>
      </c>
      <c r="AB102" s="360" t="s">
        <v>2020</v>
      </c>
      <c r="AC102" s="214" t="s">
        <v>2557</v>
      </c>
      <c r="AD102" s="360" t="s">
        <v>2020</v>
      </c>
      <c r="AE102" s="216" t="s">
        <v>2558</v>
      </c>
      <c r="AF102" s="360" t="s">
        <v>2020</v>
      </c>
      <c r="AG102" s="340" t="s">
        <v>128</v>
      </c>
      <c r="AH102" s="360" t="s">
        <v>2095</v>
      </c>
      <c r="AJ102" s="360"/>
      <c r="AK102" s="160">
        <f t="shared" ref="AK102:AK109" si="68">G102</f>
        <v>2</v>
      </c>
      <c r="AL102" s="360" t="s">
        <v>2090</v>
      </c>
      <c r="AM102" s="160" t="str">
        <f t="shared" ref="AM102:AM109" si="69">H102</f>
        <v>Etude et propositions, Description de la partie a réaliser, Enumération des fournitures</v>
      </c>
      <c r="AN102" s="360" t="s">
        <v>2093</v>
      </c>
      <c r="AO102" s="160">
        <f t="shared" ref="AO102:AO109" si="70">I102</f>
        <v>2</v>
      </c>
      <c r="AP102" s="360" t="s">
        <v>2020</v>
      </c>
      <c r="AQ102" s="160">
        <f t="shared" ref="AQ102:AQ109" si="71">J102</f>
        <v>1100</v>
      </c>
      <c r="AR102" s="360" t="s">
        <v>2020</v>
      </c>
      <c r="AS102" s="160">
        <f t="shared" ref="AS102:AS109" si="72">K102</f>
        <v>2</v>
      </c>
      <c r="AT102" s="160" t="s">
        <v>2021</v>
      </c>
      <c r="AU102" s="160" t="str">
        <f t="shared" ref="AU102:AU109" si="73">T102&amp;U102&amp;V102&amp;Y102&amp;Z102&amp;AA102&amp;AB102&amp;AC102&amp;AD102&amp;AE102&amp;AF102&amp;AG102&amp;AH102&amp;AK102&amp;AL102&amp;AM102&amp;AN102&amp;AO102&amp;AP102&amp;AQ102&amp;AR102&amp;AS102&amp;AT102</f>
        <v>INSERT INTO LIGDEVQPU(numLigDevQpu,designationLigDevQpu,qLigDevQpu,montantLigDevQpu,idDevis) VALUES (2,'Etude et propositions, Description de la partie a réaliser, Enumération des fournitures',2,1100,2);</v>
      </c>
      <c r="AV102" s="160" t="s">
        <v>2560</v>
      </c>
    </row>
    <row r="103" spans="5:48" ht="48.25" customHeight="1" thickBot="1" x14ac:dyDescent="0.35">
      <c r="F103" s="160">
        <v>3</v>
      </c>
      <c r="G103" s="160">
        <v>3</v>
      </c>
      <c r="H103" s="304" t="s">
        <v>2073</v>
      </c>
      <c r="I103" s="160">
        <v>4</v>
      </c>
      <c r="J103" s="160">
        <v>1000</v>
      </c>
      <c r="K103" s="160">
        <v>2</v>
      </c>
      <c r="S103" s="353"/>
      <c r="T103" s="160" t="s">
        <v>1922</v>
      </c>
      <c r="U103" s="160" t="s">
        <v>2076</v>
      </c>
      <c r="V103" s="160" t="s">
        <v>2088</v>
      </c>
      <c r="W103" s="277"/>
      <c r="X103" s="360"/>
      <c r="Y103" s="250" t="s">
        <v>2555</v>
      </c>
      <c r="Z103" s="360" t="s">
        <v>2020</v>
      </c>
      <c r="AA103" s="214" t="s">
        <v>2556</v>
      </c>
      <c r="AB103" s="360" t="s">
        <v>2020</v>
      </c>
      <c r="AC103" s="214" t="s">
        <v>2557</v>
      </c>
      <c r="AD103" s="360" t="s">
        <v>2020</v>
      </c>
      <c r="AE103" s="216" t="s">
        <v>2558</v>
      </c>
      <c r="AF103" s="360" t="s">
        <v>2020</v>
      </c>
      <c r="AG103" s="340" t="s">
        <v>128</v>
      </c>
      <c r="AH103" s="360" t="s">
        <v>2095</v>
      </c>
      <c r="AJ103" s="360"/>
      <c r="AK103" s="160">
        <f t="shared" si="68"/>
        <v>3</v>
      </c>
      <c r="AL103" s="360" t="s">
        <v>2090</v>
      </c>
      <c r="AM103" s="160" t="str">
        <f t="shared" si="69"/>
        <v>Réalisation, Fabrication et pose des elements validés à la phase 2 , indication éventuelle date de livraison</v>
      </c>
      <c r="AN103" s="360" t="s">
        <v>2093</v>
      </c>
      <c r="AO103" s="160">
        <f t="shared" si="70"/>
        <v>4</v>
      </c>
      <c r="AP103" s="360" t="s">
        <v>2020</v>
      </c>
      <c r="AQ103" s="160">
        <f t="shared" si="71"/>
        <v>1000</v>
      </c>
      <c r="AR103" s="360" t="s">
        <v>2020</v>
      </c>
      <c r="AS103" s="160">
        <f t="shared" si="72"/>
        <v>2</v>
      </c>
      <c r="AT103" s="160" t="s">
        <v>2021</v>
      </c>
      <c r="AU103" s="160" t="str">
        <f t="shared" si="73"/>
        <v>INSERT INTO LIGDEVQPU(numLigDevQpu,designationLigDevQpu,qLigDevQpu,montantLigDevQpu,idDevis) VALUES (3,'Réalisation, Fabrication et pose des elements validés à la phase 2 , indication éventuelle date de livraison',4,1000,2);</v>
      </c>
      <c r="AV103" s="160" t="s">
        <v>2561</v>
      </c>
    </row>
    <row r="104" spans="5:48" ht="20.05" customHeight="1" thickBot="1" x14ac:dyDescent="0.35">
      <c r="F104" s="160">
        <f t="shared" ref="F104:F109" si="74">F103+1</f>
        <v>4</v>
      </c>
      <c r="G104" s="160">
        <v>1</v>
      </c>
      <c r="H104" s="304" t="s">
        <v>1820</v>
      </c>
      <c r="I104" s="160">
        <v>4</v>
      </c>
      <c r="J104" s="160">
        <v>100</v>
      </c>
      <c r="K104" s="160">
        <v>3</v>
      </c>
      <c r="S104" s="353"/>
      <c r="T104" s="160" t="s">
        <v>1922</v>
      </c>
      <c r="U104" s="160" t="s">
        <v>2076</v>
      </c>
      <c r="V104" s="160" t="s">
        <v>2088</v>
      </c>
      <c r="W104" s="277"/>
      <c r="X104" s="360"/>
      <c r="Y104" s="250" t="s">
        <v>2555</v>
      </c>
      <c r="Z104" s="360" t="s">
        <v>2020</v>
      </c>
      <c r="AA104" s="214" t="s">
        <v>2556</v>
      </c>
      <c r="AB104" s="360" t="s">
        <v>2020</v>
      </c>
      <c r="AC104" s="214" t="s">
        <v>2557</v>
      </c>
      <c r="AD104" s="360" t="s">
        <v>2020</v>
      </c>
      <c r="AE104" s="216" t="s">
        <v>2558</v>
      </c>
      <c r="AF104" s="360" t="s">
        <v>2020</v>
      </c>
      <c r="AG104" s="340" t="s">
        <v>128</v>
      </c>
      <c r="AH104" s="360" t="s">
        <v>2095</v>
      </c>
      <c r="AJ104" s="360"/>
      <c r="AK104" s="160">
        <f t="shared" si="68"/>
        <v>1</v>
      </c>
      <c r="AL104" s="360" t="s">
        <v>2090</v>
      </c>
      <c r="AM104" s="160" t="str">
        <f t="shared" si="69"/>
        <v>Ligne prise des exigences test QPU 1</v>
      </c>
      <c r="AN104" s="360" t="s">
        <v>2093</v>
      </c>
      <c r="AO104" s="160">
        <f t="shared" si="70"/>
        <v>4</v>
      </c>
      <c r="AP104" s="360" t="s">
        <v>2020</v>
      </c>
      <c r="AQ104" s="160">
        <f t="shared" si="71"/>
        <v>100</v>
      </c>
      <c r="AR104" s="360" t="s">
        <v>2020</v>
      </c>
      <c r="AS104" s="160">
        <f t="shared" si="72"/>
        <v>3</v>
      </c>
      <c r="AT104" s="160" t="s">
        <v>2021</v>
      </c>
      <c r="AU104" s="160" t="str">
        <f t="shared" si="73"/>
        <v>INSERT INTO LIGDEVQPU(numLigDevQpu,designationLigDevQpu,qLigDevQpu,montantLigDevQpu,idDevis) VALUES (1,'Ligne prise des exigences test QPU 1',4,100,3);</v>
      </c>
      <c r="AV104" s="160" t="s">
        <v>2562</v>
      </c>
    </row>
    <row r="105" spans="5:48" ht="20.05" customHeight="1" thickBot="1" x14ac:dyDescent="0.35">
      <c r="F105" s="160">
        <f t="shared" si="74"/>
        <v>5</v>
      </c>
      <c r="G105" s="160">
        <v>2</v>
      </c>
      <c r="H105" s="304" t="s">
        <v>1821</v>
      </c>
      <c r="I105" s="160">
        <v>2</v>
      </c>
      <c r="J105" s="160">
        <v>1150</v>
      </c>
      <c r="K105" s="160">
        <v>3</v>
      </c>
      <c r="S105" s="353"/>
      <c r="T105" s="160" t="s">
        <v>1922</v>
      </c>
      <c r="U105" s="160" t="s">
        <v>2076</v>
      </c>
      <c r="V105" s="160" t="s">
        <v>2088</v>
      </c>
      <c r="W105" s="277"/>
      <c r="X105" s="360"/>
      <c r="Y105" s="250" t="s">
        <v>2555</v>
      </c>
      <c r="Z105" s="360" t="s">
        <v>2020</v>
      </c>
      <c r="AA105" s="214" t="s">
        <v>2556</v>
      </c>
      <c r="AB105" s="360" t="s">
        <v>2020</v>
      </c>
      <c r="AC105" s="214" t="s">
        <v>2557</v>
      </c>
      <c r="AD105" s="360" t="s">
        <v>2020</v>
      </c>
      <c r="AE105" s="216" t="s">
        <v>2558</v>
      </c>
      <c r="AF105" s="360" t="s">
        <v>2020</v>
      </c>
      <c r="AG105" s="340" t="s">
        <v>128</v>
      </c>
      <c r="AH105" s="360" t="s">
        <v>2095</v>
      </c>
      <c r="AJ105" s="360"/>
      <c r="AK105" s="160">
        <f t="shared" si="68"/>
        <v>2</v>
      </c>
      <c r="AL105" s="360" t="s">
        <v>2090</v>
      </c>
      <c r="AM105" s="160" t="str">
        <f t="shared" si="69"/>
        <v>Ligne de la conception test QPU 1</v>
      </c>
      <c r="AN105" s="360" t="s">
        <v>2093</v>
      </c>
      <c r="AO105" s="160">
        <f t="shared" si="70"/>
        <v>2</v>
      </c>
      <c r="AP105" s="360" t="s">
        <v>2020</v>
      </c>
      <c r="AQ105" s="160">
        <f t="shared" si="71"/>
        <v>1150</v>
      </c>
      <c r="AR105" s="360" t="s">
        <v>2020</v>
      </c>
      <c r="AS105" s="160">
        <f t="shared" si="72"/>
        <v>3</v>
      </c>
      <c r="AT105" s="160" t="s">
        <v>2021</v>
      </c>
      <c r="AU105" s="160" t="str">
        <f t="shared" si="73"/>
        <v>INSERT INTO LIGDEVQPU(numLigDevQpu,designationLigDevQpu,qLigDevQpu,montantLigDevQpu,idDevis) VALUES (2,'Ligne de la conception test QPU 1',2,1150,3);</v>
      </c>
      <c r="AV105" s="160" t="s">
        <v>2563</v>
      </c>
    </row>
    <row r="106" spans="5:48" ht="20.05" customHeight="1" thickBot="1" x14ac:dyDescent="0.35">
      <c r="F106" s="160">
        <f t="shared" si="74"/>
        <v>6</v>
      </c>
      <c r="G106" s="160">
        <v>3</v>
      </c>
      <c r="H106" s="304" t="s">
        <v>1822</v>
      </c>
      <c r="I106" s="160">
        <v>3</v>
      </c>
      <c r="J106" s="160">
        <v>1200</v>
      </c>
      <c r="K106" s="160">
        <v>3</v>
      </c>
      <c r="S106" s="353"/>
      <c r="T106" s="160" t="s">
        <v>1922</v>
      </c>
      <c r="U106" s="160" t="s">
        <v>2076</v>
      </c>
      <c r="V106" s="160" t="s">
        <v>2088</v>
      </c>
      <c r="W106" s="277"/>
      <c r="X106" s="360"/>
      <c r="Y106" s="250" t="s">
        <v>2555</v>
      </c>
      <c r="Z106" s="360" t="s">
        <v>2020</v>
      </c>
      <c r="AA106" s="214" t="s">
        <v>2556</v>
      </c>
      <c r="AB106" s="360" t="s">
        <v>2020</v>
      </c>
      <c r="AC106" s="214" t="s">
        <v>2557</v>
      </c>
      <c r="AD106" s="360" t="s">
        <v>2020</v>
      </c>
      <c r="AE106" s="216" t="s">
        <v>2558</v>
      </c>
      <c r="AF106" s="360" t="s">
        <v>2020</v>
      </c>
      <c r="AG106" s="340" t="s">
        <v>128</v>
      </c>
      <c r="AH106" s="360" t="s">
        <v>2095</v>
      </c>
      <c r="AJ106" s="360"/>
      <c r="AK106" s="160">
        <f t="shared" si="68"/>
        <v>3</v>
      </c>
      <c r="AL106" s="360" t="s">
        <v>2090</v>
      </c>
      <c r="AM106" s="160" t="str">
        <f t="shared" si="69"/>
        <v>Ligne réalisation et indication date butoir projet test QPU 1</v>
      </c>
      <c r="AN106" s="360" t="s">
        <v>2093</v>
      </c>
      <c r="AO106" s="160">
        <f t="shared" si="70"/>
        <v>3</v>
      </c>
      <c r="AP106" s="360" t="s">
        <v>2020</v>
      </c>
      <c r="AQ106" s="160">
        <f t="shared" si="71"/>
        <v>1200</v>
      </c>
      <c r="AR106" s="360" t="s">
        <v>2020</v>
      </c>
      <c r="AS106" s="160">
        <f t="shared" si="72"/>
        <v>3</v>
      </c>
      <c r="AT106" s="160" t="s">
        <v>2021</v>
      </c>
      <c r="AU106" s="160" t="str">
        <f t="shared" si="73"/>
        <v>INSERT INTO LIGDEVQPU(numLigDevQpu,designationLigDevQpu,qLigDevQpu,montantLigDevQpu,idDevis) VALUES (3,'Ligne réalisation et indication date butoir projet test QPU 1',3,1200,3);</v>
      </c>
      <c r="AV106" s="160" t="s">
        <v>2564</v>
      </c>
    </row>
    <row r="107" spans="5:48" ht="20.05" customHeight="1" thickBot="1" x14ac:dyDescent="0.35">
      <c r="F107" s="160">
        <f t="shared" si="74"/>
        <v>7</v>
      </c>
      <c r="G107" s="160">
        <v>1</v>
      </c>
      <c r="H107" s="304" t="s">
        <v>1823</v>
      </c>
      <c r="I107" s="160">
        <v>5</v>
      </c>
      <c r="J107" s="160">
        <v>100</v>
      </c>
      <c r="K107" s="160">
        <v>4</v>
      </c>
      <c r="S107" s="353"/>
      <c r="T107" s="160" t="s">
        <v>1922</v>
      </c>
      <c r="U107" s="160" t="s">
        <v>2076</v>
      </c>
      <c r="V107" s="160" t="s">
        <v>2088</v>
      </c>
      <c r="W107" s="277"/>
      <c r="X107" s="360"/>
      <c r="Y107" s="250" t="s">
        <v>2555</v>
      </c>
      <c r="Z107" s="360" t="s">
        <v>2020</v>
      </c>
      <c r="AA107" s="214" t="s">
        <v>2556</v>
      </c>
      <c r="AB107" s="360" t="s">
        <v>2020</v>
      </c>
      <c r="AC107" s="214" t="s">
        <v>2557</v>
      </c>
      <c r="AD107" s="360" t="s">
        <v>2020</v>
      </c>
      <c r="AE107" s="216" t="s">
        <v>2558</v>
      </c>
      <c r="AF107" s="360" t="s">
        <v>2020</v>
      </c>
      <c r="AG107" s="340" t="s">
        <v>128</v>
      </c>
      <c r="AH107" s="360" t="s">
        <v>2095</v>
      </c>
      <c r="AJ107" s="360"/>
      <c r="AK107" s="160">
        <f t="shared" si="68"/>
        <v>1</v>
      </c>
      <c r="AL107" s="360" t="s">
        <v>2090</v>
      </c>
      <c r="AM107" s="160" t="str">
        <f t="shared" si="69"/>
        <v>Ligne prise des exigences test QPU 2</v>
      </c>
      <c r="AN107" s="360" t="s">
        <v>2093</v>
      </c>
      <c r="AO107" s="160">
        <f t="shared" si="70"/>
        <v>5</v>
      </c>
      <c r="AP107" s="360" t="s">
        <v>2020</v>
      </c>
      <c r="AQ107" s="160">
        <f t="shared" si="71"/>
        <v>100</v>
      </c>
      <c r="AR107" s="360" t="s">
        <v>2020</v>
      </c>
      <c r="AS107" s="160">
        <f t="shared" si="72"/>
        <v>4</v>
      </c>
      <c r="AT107" s="160" t="s">
        <v>2021</v>
      </c>
      <c r="AU107" s="160" t="str">
        <f t="shared" si="73"/>
        <v>INSERT INTO LIGDEVQPU(numLigDevQpu,designationLigDevQpu,qLigDevQpu,montantLigDevQpu,idDevis) VALUES (1,'Ligne prise des exigences test QPU 2',5,100,4);</v>
      </c>
      <c r="AV107" s="160" t="s">
        <v>2565</v>
      </c>
    </row>
    <row r="108" spans="5:48" ht="20.05" customHeight="1" thickBot="1" x14ac:dyDescent="0.35">
      <c r="F108" s="160">
        <f t="shared" si="74"/>
        <v>8</v>
      </c>
      <c r="G108" s="160">
        <v>2</v>
      </c>
      <c r="H108" s="304" t="s">
        <v>1824</v>
      </c>
      <c r="I108" s="160">
        <v>6</v>
      </c>
      <c r="J108" s="160">
        <v>1100</v>
      </c>
      <c r="K108" s="160">
        <v>4</v>
      </c>
      <c r="S108" s="353"/>
      <c r="T108" s="160" t="s">
        <v>1922</v>
      </c>
      <c r="U108" s="160" t="s">
        <v>2076</v>
      </c>
      <c r="V108" s="160" t="s">
        <v>2088</v>
      </c>
      <c r="W108" s="277"/>
      <c r="X108" s="360"/>
      <c r="Y108" s="250" t="s">
        <v>2555</v>
      </c>
      <c r="Z108" s="360" t="s">
        <v>2020</v>
      </c>
      <c r="AA108" s="214" t="s">
        <v>2556</v>
      </c>
      <c r="AB108" s="360" t="s">
        <v>2020</v>
      </c>
      <c r="AC108" s="214" t="s">
        <v>2557</v>
      </c>
      <c r="AD108" s="360" t="s">
        <v>2020</v>
      </c>
      <c r="AE108" s="216" t="s">
        <v>2558</v>
      </c>
      <c r="AF108" s="360" t="s">
        <v>2020</v>
      </c>
      <c r="AG108" s="340" t="s">
        <v>128</v>
      </c>
      <c r="AH108" s="360" t="s">
        <v>2095</v>
      </c>
      <c r="AJ108" s="360"/>
      <c r="AK108" s="160">
        <f t="shared" si="68"/>
        <v>2</v>
      </c>
      <c r="AL108" s="360" t="s">
        <v>2090</v>
      </c>
      <c r="AM108" s="160" t="str">
        <f t="shared" si="69"/>
        <v>Ligne de la conception test QPU 2</v>
      </c>
      <c r="AN108" s="360" t="s">
        <v>2093</v>
      </c>
      <c r="AO108" s="160">
        <f t="shared" si="70"/>
        <v>6</v>
      </c>
      <c r="AP108" s="360" t="s">
        <v>2020</v>
      </c>
      <c r="AQ108" s="160">
        <f t="shared" si="71"/>
        <v>1100</v>
      </c>
      <c r="AR108" s="360" t="s">
        <v>2020</v>
      </c>
      <c r="AS108" s="160">
        <f t="shared" si="72"/>
        <v>4</v>
      </c>
      <c r="AT108" s="160" t="s">
        <v>2021</v>
      </c>
      <c r="AU108" s="160" t="str">
        <f t="shared" si="73"/>
        <v>INSERT INTO LIGDEVQPU(numLigDevQpu,designationLigDevQpu,qLigDevQpu,montantLigDevQpu,idDevis) VALUES (2,'Ligne de la conception test QPU 2',6,1100,4);</v>
      </c>
      <c r="AV108" s="160" t="s">
        <v>2566</v>
      </c>
    </row>
    <row r="109" spans="5:48" ht="20.05" customHeight="1" thickBot="1" x14ac:dyDescent="0.35">
      <c r="F109" s="160">
        <f t="shared" si="74"/>
        <v>9</v>
      </c>
      <c r="G109" s="160">
        <v>3</v>
      </c>
      <c r="H109" s="304" t="s">
        <v>1825</v>
      </c>
      <c r="I109" s="160">
        <v>6</v>
      </c>
      <c r="J109" s="160">
        <v>1000</v>
      </c>
      <c r="K109" s="160">
        <v>4</v>
      </c>
      <c r="S109" s="353"/>
      <c r="T109" s="160" t="s">
        <v>1922</v>
      </c>
      <c r="U109" s="160" t="s">
        <v>2076</v>
      </c>
      <c r="V109" s="160" t="s">
        <v>2088</v>
      </c>
      <c r="W109" s="277"/>
      <c r="X109" s="360"/>
      <c r="Y109" s="250" t="s">
        <v>2555</v>
      </c>
      <c r="Z109" s="360" t="s">
        <v>2020</v>
      </c>
      <c r="AA109" s="214" t="s">
        <v>2556</v>
      </c>
      <c r="AB109" s="360" t="s">
        <v>2020</v>
      </c>
      <c r="AC109" s="214" t="s">
        <v>2557</v>
      </c>
      <c r="AD109" s="360" t="s">
        <v>2020</v>
      </c>
      <c r="AE109" s="216" t="s">
        <v>2558</v>
      </c>
      <c r="AF109" s="360" t="s">
        <v>2020</v>
      </c>
      <c r="AG109" s="340" t="s">
        <v>128</v>
      </c>
      <c r="AH109" s="360" t="s">
        <v>2095</v>
      </c>
      <c r="AJ109" s="360"/>
      <c r="AK109" s="160">
        <f t="shared" si="68"/>
        <v>3</v>
      </c>
      <c r="AL109" s="360" t="s">
        <v>2090</v>
      </c>
      <c r="AM109" s="160" t="str">
        <f t="shared" si="69"/>
        <v>Ligne réalisation et indication date butoir projet test QPU 2</v>
      </c>
      <c r="AN109" s="360" t="s">
        <v>2093</v>
      </c>
      <c r="AO109" s="160">
        <f t="shared" si="70"/>
        <v>6</v>
      </c>
      <c r="AP109" s="360" t="s">
        <v>2020</v>
      </c>
      <c r="AQ109" s="160">
        <f t="shared" si="71"/>
        <v>1000</v>
      </c>
      <c r="AR109" s="360" t="s">
        <v>2020</v>
      </c>
      <c r="AS109" s="160">
        <f t="shared" si="72"/>
        <v>4</v>
      </c>
      <c r="AT109" s="160" t="s">
        <v>2021</v>
      </c>
      <c r="AU109" s="160" t="str">
        <f t="shared" si="73"/>
        <v>INSERT INTO LIGDEVQPU(numLigDevQpu,designationLigDevQpu,qLigDevQpu,montantLigDevQpu,idDevis) VALUES (3,'Ligne réalisation et indication date butoir projet test QPU 2',6,1000,4);</v>
      </c>
      <c r="AV109" s="160" t="s">
        <v>2567</v>
      </c>
    </row>
    <row r="110" spans="5:48" ht="20.05" customHeight="1" x14ac:dyDescent="0.3"/>
    <row r="111" spans="5:48" ht="20.05" customHeight="1" x14ac:dyDescent="0.3"/>
    <row r="112" spans="5:48" ht="20.05" customHeight="1" x14ac:dyDescent="0.3"/>
    <row r="114" spans="5:76" ht="15.05" thickBot="1" x14ac:dyDescent="0.35">
      <c r="BI114" s="360" t="s">
        <v>1937</v>
      </c>
      <c r="BJ114" s="360" t="s">
        <v>2020</v>
      </c>
      <c r="BK114" s="360" t="s">
        <v>1936</v>
      </c>
      <c r="BL114" s="360" t="s">
        <v>1938</v>
      </c>
      <c r="BM114" s="160" t="s">
        <v>2021</v>
      </c>
    </row>
    <row r="115" spans="5:76" ht="28.05" customHeight="1" thickBot="1" x14ac:dyDescent="0.35">
      <c r="W115" s="272" t="s">
        <v>287</v>
      </c>
      <c r="AW115" s="160" t="s">
        <v>2077</v>
      </c>
    </row>
    <row r="116" spans="5:76" s="322" customFormat="1" ht="30.05" customHeight="1" thickBot="1" x14ac:dyDescent="0.35">
      <c r="E116" s="160" t="s">
        <v>372</v>
      </c>
      <c r="F116" s="272" t="s">
        <v>287</v>
      </c>
      <c r="G116" s="181" t="s">
        <v>81</v>
      </c>
      <c r="H116" s="181" t="s">
        <v>288</v>
      </c>
      <c r="I116" s="181" t="s">
        <v>341</v>
      </c>
      <c r="J116" s="181" t="s">
        <v>289</v>
      </c>
      <c r="K116" s="181" t="s">
        <v>290</v>
      </c>
      <c r="L116" s="181" t="s">
        <v>291</v>
      </c>
      <c r="M116" s="181" t="s">
        <v>292</v>
      </c>
      <c r="N116" s="185" t="s">
        <v>293</v>
      </c>
      <c r="O116" s="322" t="s">
        <v>2568</v>
      </c>
      <c r="P116" s="342" t="s">
        <v>128</v>
      </c>
      <c r="Q116" s="342"/>
      <c r="R116" s="342" t="s">
        <v>196</v>
      </c>
      <c r="T116" s="160" t="s">
        <v>1922</v>
      </c>
      <c r="U116" s="160" t="s">
        <v>372</v>
      </c>
      <c r="V116" s="160" t="s">
        <v>2088</v>
      </c>
      <c r="X116" s="360"/>
      <c r="Y116" s="181" t="s">
        <v>81</v>
      </c>
      <c r="Z116" s="360" t="s">
        <v>2020</v>
      </c>
      <c r="AA116" s="181" t="s">
        <v>288</v>
      </c>
      <c r="AB116" s="360" t="s">
        <v>2020</v>
      </c>
      <c r="AC116" s="181" t="s">
        <v>341</v>
      </c>
      <c r="AD116" s="360" t="s">
        <v>2020</v>
      </c>
      <c r="AE116" s="181" t="s">
        <v>289</v>
      </c>
      <c r="AF116" s="360" t="s">
        <v>2020</v>
      </c>
      <c r="AG116" s="181" t="s">
        <v>290</v>
      </c>
      <c r="AH116" s="360" t="s">
        <v>2020</v>
      </c>
      <c r="AI116" s="181" t="s">
        <v>291</v>
      </c>
      <c r="AJ116" s="360" t="s">
        <v>2020</v>
      </c>
      <c r="AK116" s="181" t="s">
        <v>292</v>
      </c>
      <c r="AL116" s="360" t="s">
        <v>2020</v>
      </c>
      <c r="AM116" s="185" t="s">
        <v>293</v>
      </c>
      <c r="AN116" s="360" t="s">
        <v>2020</v>
      </c>
      <c r="AO116" s="322" t="s">
        <v>2568</v>
      </c>
      <c r="AP116" s="360" t="s">
        <v>2020</v>
      </c>
      <c r="AQ116" s="342" t="s">
        <v>128</v>
      </c>
      <c r="AR116" s="360" t="s">
        <v>2020</v>
      </c>
      <c r="AS116" s="342"/>
      <c r="AT116" s="360"/>
      <c r="AU116" s="342" t="s">
        <v>196</v>
      </c>
      <c r="AV116" s="360" t="s">
        <v>2089</v>
      </c>
      <c r="AX116" s="360"/>
      <c r="AY116" s="322" t="str">
        <f>G117</f>
        <v>Municipalité de Paris 11e - Proj231</v>
      </c>
      <c r="AZ116" s="360" t="s">
        <v>2091</v>
      </c>
      <c r="BA116" s="322" t="str">
        <f>H117</f>
        <v>Municipalité de Paris 11e</v>
      </c>
      <c r="BB116" s="360" t="s">
        <v>2091</v>
      </c>
      <c r="BC116" s="322" t="str">
        <f>I117</f>
        <v>Agencement salle municipal congrès des débranchés 2023</v>
      </c>
      <c r="BD116" s="360" t="s">
        <v>2091</v>
      </c>
      <c r="BE116" s="327" t="str">
        <f>TEXT(J117,"aaaa/mm/jj")</f>
        <v>2023/01/02</v>
      </c>
      <c r="BF116" s="360" t="s">
        <v>2091</v>
      </c>
      <c r="BG116" s="327" t="str">
        <f>TEXT(K117,"aaaa/mm/jj")</f>
        <v>2023/01/17</v>
      </c>
      <c r="BH116" s="360" t="s">
        <v>2091</v>
      </c>
      <c r="BI116" s="327" t="str">
        <f>TEXT(L117,"aaaa/mm/jj")</f>
        <v>2023/01/17</v>
      </c>
      <c r="BJ116" s="360" t="s">
        <v>2091</v>
      </c>
      <c r="BK116" s="322" t="str">
        <f>M117</f>
        <v>https:\\localhost\testPathFile1</v>
      </c>
      <c r="BL116" s="360" t="s">
        <v>2091</v>
      </c>
      <c r="BM116" s="322" t="str">
        <f ca="1">N117</f>
        <v>Terminer</v>
      </c>
      <c r="BN116" s="360" t="s">
        <v>2093</v>
      </c>
      <c r="BO116" s="322">
        <f>O117</f>
        <v>6000</v>
      </c>
      <c r="BP116" s="360" t="s">
        <v>2020</v>
      </c>
      <c r="BQ116" s="322">
        <f>P117</f>
        <v>1</v>
      </c>
      <c r="BR116" s="360" t="s">
        <v>2020</v>
      </c>
      <c r="BT116" s="360"/>
      <c r="BU116" s="322">
        <f>R117</f>
        <v>1</v>
      </c>
      <c r="BV116" s="160" t="s">
        <v>2021</v>
      </c>
      <c r="BW116" s="322" t="str">
        <f ca="1">T116&amp;U116&amp;V116&amp;Y116&amp;Z116&amp;AA116&amp;AB116&amp;AC116&amp;AD116&amp;AE116&amp;AF116&amp;AG116&amp;AH116&amp;AI116&amp;AJ116&amp;AK116&amp;AL116&amp;AM116&amp;AN116&amp;AO116&amp;AP116&amp;AQ116&amp;AR116&amp;AU116&amp;AV116&amp;AW116&amp;AX116&amp;AY116&amp;AZ116&amp;BA116&amp;BB116&amp;BC116&amp;BD116&amp;BE116&amp;BF116&amp;BG116&amp;BH116&amp;BI116&amp;BJ116&amp;BK116&amp;BL116&amp;BM116&amp;BN116&amp;BO116&amp;BP116&amp;BQ116&amp;BR116&amp;BU116&amp;BV116</f>
        <v>INSERT INTO PROJETS(numProj,nameProj,descriptionProj,dateStartProj,dateEndThProj,dateEndRealProj,placeProj,stateAdvancementProj,caProj,idDevis,idUtilisateur) VALUES ('Municipalité de Paris 11e - Proj231','Municipalité de Paris 11e','Agencement salle municipal congrès des débranchés 2023','2023/01/02','2023/01/17','2023/01/17','https:\\localhost\testPathFile1','Terminer',6000,1,1);</v>
      </c>
      <c r="BX116" s="322" t="s">
        <v>2569</v>
      </c>
    </row>
    <row r="117" spans="5:76" s="322" customFormat="1" ht="20.05" customHeight="1" thickBot="1" x14ac:dyDescent="0.35">
      <c r="F117" s="322">
        <v>1</v>
      </c>
      <c r="G117" s="322" t="str">
        <f>H117&amp;" - Proj"&amp;MID(YEAR(J117),3,2)&amp;F117</f>
        <v>Municipalité de Paris 11e - Proj231</v>
      </c>
      <c r="H117" s="322" t="s">
        <v>1792</v>
      </c>
      <c r="I117" s="322" t="s">
        <v>1890</v>
      </c>
      <c r="J117" s="327">
        <v>44928</v>
      </c>
      <c r="K117" s="327">
        <v>44943</v>
      </c>
      <c r="L117" s="327">
        <v>44943</v>
      </c>
      <c r="M117" s="328" t="s">
        <v>2137</v>
      </c>
      <c r="N117" s="322" t="str">
        <f ca="1">IF(L117&lt;&gt;"","Terminer",IF((J117&lt;TODAY()),"EnCours","Créé"))</f>
        <v>Terminer</v>
      </c>
      <c r="O117" s="322">
        <f>_xlfn.XLOOKUP(P117,F$66:F$74,L$66:L$74)</f>
        <v>6000</v>
      </c>
      <c r="P117" s="322">
        <v>1</v>
      </c>
      <c r="R117" s="322">
        <v>1</v>
      </c>
      <c r="S117" s="353"/>
      <c r="T117" s="160" t="s">
        <v>1922</v>
      </c>
      <c r="U117" s="160" t="s">
        <v>372</v>
      </c>
      <c r="V117" s="160" t="s">
        <v>2088</v>
      </c>
      <c r="W117" s="272"/>
      <c r="X117" s="360"/>
      <c r="Y117" s="181" t="s">
        <v>81</v>
      </c>
      <c r="Z117" s="360" t="s">
        <v>2020</v>
      </c>
      <c r="AA117" s="181" t="s">
        <v>288</v>
      </c>
      <c r="AB117" s="360" t="s">
        <v>2020</v>
      </c>
      <c r="AC117" s="181" t="s">
        <v>341</v>
      </c>
      <c r="AD117" s="360" t="s">
        <v>2020</v>
      </c>
      <c r="AE117" s="181" t="s">
        <v>289</v>
      </c>
      <c r="AF117" s="360" t="s">
        <v>2020</v>
      </c>
      <c r="AG117" s="181" t="s">
        <v>290</v>
      </c>
      <c r="AH117" s="360" t="s">
        <v>2020</v>
      </c>
      <c r="AI117" s="181" t="s">
        <v>291</v>
      </c>
      <c r="AJ117" s="360" t="s">
        <v>2020</v>
      </c>
      <c r="AK117" s="181" t="s">
        <v>292</v>
      </c>
      <c r="AL117" s="360" t="s">
        <v>2020</v>
      </c>
      <c r="AM117" s="185" t="s">
        <v>293</v>
      </c>
      <c r="AN117" s="360" t="s">
        <v>2020</v>
      </c>
      <c r="AO117" s="322" t="s">
        <v>2568</v>
      </c>
      <c r="AP117" s="360" t="s">
        <v>2020</v>
      </c>
      <c r="AQ117" s="342" t="s">
        <v>128</v>
      </c>
      <c r="AR117" s="360" t="s">
        <v>2020</v>
      </c>
      <c r="AS117" s="342"/>
      <c r="AT117" s="360"/>
      <c r="AU117" s="342" t="s">
        <v>196</v>
      </c>
      <c r="AV117" s="360" t="s">
        <v>2089</v>
      </c>
      <c r="AX117" s="360"/>
      <c r="AY117" s="322" t="str">
        <f t="shared" ref="AY117:AY123" si="75">G118</f>
        <v>BoisdeLux - Proj232</v>
      </c>
      <c r="AZ117" s="360" t="s">
        <v>2091</v>
      </c>
      <c r="BA117" s="322" t="str">
        <f t="shared" ref="BA117:BA123" si="76">H118</f>
        <v>BoisdeLux</v>
      </c>
      <c r="BB117" s="360" t="s">
        <v>2091</v>
      </c>
      <c r="BC117" s="322" t="str">
        <f t="shared" ref="BC117:BC123" si="77">I118</f>
        <v>Agencement hall Ets en mini musée</v>
      </c>
      <c r="BD117" s="360" t="s">
        <v>2091</v>
      </c>
      <c r="BE117" s="327" t="str">
        <f t="shared" ref="BE117:BE123" si="78">TEXT(J118,"aaaa/mm/jj")</f>
        <v>2023/01/16</v>
      </c>
      <c r="BF117" s="360" t="s">
        <v>2091</v>
      </c>
      <c r="BG117" s="327" t="str">
        <f t="shared" ref="BG117:BG123" si="79">TEXT(K118,"aaaa/mm/jj")</f>
        <v>2023/02/03</v>
      </c>
      <c r="BH117" s="360" t="s">
        <v>2091</v>
      </c>
      <c r="BI117" s="327" t="str">
        <f t="shared" ref="BI117:BI123" si="80">TEXT(L118,"aaaa/mm/jj")</f>
        <v>2023/02/03</v>
      </c>
      <c r="BJ117" s="360" t="s">
        <v>2091</v>
      </c>
      <c r="BK117" s="322" t="str">
        <f t="shared" ref="BK117:BK123" si="81">M118</f>
        <v>https:\\localhost\testPathFile2</v>
      </c>
      <c r="BL117" s="360" t="s">
        <v>2091</v>
      </c>
      <c r="BM117" s="322" t="str">
        <f t="shared" ref="BM117:BM123" ca="1" si="82">N118</f>
        <v>Terminer</v>
      </c>
      <c r="BN117" s="360" t="s">
        <v>2093</v>
      </c>
      <c r="BO117" s="322">
        <f t="shared" ref="BO117:BO123" si="83">O118</f>
        <v>6500</v>
      </c>
      <c r="BP117" s="360" t="s">
        <v>2020</v>
      </c>
      <c r="BQ117" s="322">
        <f t="shared" ref="BQ117:BQ123" si="84">P118</f>
        <v>2</v>
      </c>
      <c r="BR117" s="360" t="s">
        <v>2020</v>
      </c>
      <c r="BT117" s="360"/>
      <c r="BU117" s="322">
        <f t="shared" ref="BU117:BU123" si="85">R118</f>
        <v>1</v>
      </c>
      <c r="BV117" s="160" t="s">
        <v>2021</v>
      </c>
      <c r="BW117" s="322" t="str">
        <f t="shared" ref="BW117:BW123" ca="1" si="86">T117&amp;U117&amp;V117&amp;Y117&amp;Z117&amp;AA117&amp;AB117&amp;AC117&amp;AD117&amp;AE117&amp;AF117&amp;AG117&amp;AH117&amp;AI117&amp;AJ117&amp;AK117&amp;AL117&amp;AM117&amp;AN117&amp;AO117&amp;AP117&amp;AQ117&amp;AR117&amp;AU117&amp;AV117&amp;AW117&amp;AX117&amp;AY117&amp;AZ117&amp;BA117&amp;BB117&amp;BC117&amp;BD117&amp;BE117&amp;BF117&amp;BG117&amp;BH117&amp;BI117&amp;BJ117&amp;BK117&amp;BL117&amp;BM117&amp;BN117&amp;BO117&amp;BP117&amp;BQ117&amp;BR117&amp;BU117&amp;BV117</f>
        <v>INSERT INTO PROJETS(numProj,nameProj,descriptionProj,dateStartProj,dateEndThProj,dateEndRealProj,placeProj,stateAdvancementProj,caProj,idDevis,idUtilisateur) VALUES ('BoisdeLux - Proj232','BoisdeLux','Agencement hall Ets en mini musée','2023/01/16','2023/02/03','2023/02/03','https:\\localhost\testPathFile2','Terminer',6500,2,1);</v>
      </c>
      <c r="BX117" s="322" t="s">
        <v>2570</v>
      </c>
    </row>
    <row r="118" spans="5:76" s="322" customFormat="1" ht="20.05" customHeight="1" thickBot="1" x14ac:dyDescent="0.35">
      <c r="F118" s="322">
        <v>2</v>
      </c>
      <c r="G118" s="322" t="str">
        <f t="shared" ref="G118:G124" si="87">H118&amp;" - Proj"&amp;MID(YEAR(J118),3,2)&amp;F118</f>
        <v>BoisdeLux - Proj232</v>
      </c>
      <c r="H118" s="322" t="s">
        <v>1793</v>
      </c>
      <c r="I118" s="322" t="s">
        <v>1796</v>
      </c>
      <c r="J118" s="327">
        <v>44942</v>
      </c>
      <c r="K118" s="327">
        <v>44960</v>
      </c>
      <c r="L118" s="327">
        <f>K118</f>
        <v>44960</v>
      </c>
      <c r="M118" s="328" t="s">
        <v>2138</v>
      </c>
      <c r="N118" s="322" t="str">
        <f t="shared" ref="N118:N124" ca="1" si="88">IF(L118&lt;&gt;"","Terminer",IF((J118&lt;TODAY()),"EnCours","Créé"))</f>
        <v>Terminer</v>
      </c>
      <c r="O118" s="322">
        <f t="shared" ref="O118:O124" si="89">_xlfn.XLOOKUP(P118,F$66:F$74,L$66:L$74)</f>
        <v>6500</v>
      </c>
      <c r="P118" s="322">
        <v>2</v>
      </c>
      <c r="R118" s="322">
        <v>1</v>
      </c>
      <c r="S118" s="353"/>
      <c r="T118" s="160" t="s">
        <v>1922</v>
      </c>
      <c r="U118" s="160" t="s">
        <v>372</v>
      </c>
      <c r="V118" s="160" t="s">
        <v>2088</v>
      </c>
      <c r="W118" s="272"/>
      <c r="X118" s="360"/>
      <c r="Y118" s="181" t="s">
        <v>81</v>
      </c>
      <c r="Z118" s="360" t="s">
        <v>2020</v>
      </c>
      <c r="AA118" s="181" t="s">
        <v>288</v>
      </c>
      <c r="AB118" s="360" t="s">
        <v>2020</v>
      </c>
      <c r="AC118" s="181" t="s">
        <v>341</v>
      </c>
      <c r="AD118" s="360" t="s">
        <v>2020</v>
      </c>
      <c r="AE118" s="181" t="s">
        <v>289</v>
      </c>
      <c r="AF118" s="360" t="s">
        <v>2020</v>
      </c>
      <c r="AG118" s="181" t="s">
        <v>290</v>
      </c>
      <c r="AH118" s="360" t="s">
        <v>2020</v>
      </c>
      <c r="AI118" s="181" t="s">
        <v>291</v>
      </c>
      <c r="AJ118" s="360" t="s">
        <v>2020</v>
      </c>
      <c r="AK118" s="181" t="s">
        <v>292</v>
      </c>
      <c r="AL118" s="360" t="s">
        <v>2020</v>
      </c>
      <c r="AM118" s="185" t="s">
        <v>293</v>
      </c>
      <c r="AN118" s="360" t="s">
        <v>2020</v>
      </c>
      <c r="AO118" s="322" t="s">
        <v>2568</v>
      </c>
      <c r="AP118" s="360" t="s">
        <v>2020</v>
      </c>
      <c r="AQ118" s="342" t="s">
        <v>128</v>
      </c>
      <c r="AR118" s="360" t="s">
        <v>2020</v>
      </c>
      <c r="AS118" s="342"/>
      <c r="AT118" s="360"/>
      <c r="AU118" s="342" t="s">
        <v>196</v>
      </c>
      <c r="AV118" s="360" t="s">
        <v>2089</v>
      </c>
      <c r="AX118" s="360"/>
      <c r="AY118" s="322" t="str">
        <f t="shared" si="75"/>
        <v>RameneTaFraise - Proj233</v>
      </c>
      <c r="AZ118" s="360" t="s">
        <v>2091</v>
      </c>
      <c r="BA118" s="322" t="str">
        <f t="shared" si="76"/>
        <v>RameneTaFraise</v>
      </c>
      <c r="BB118" s="360" t="s">
        <v>2091</v>
      </c>
      <c r="BC118" s="322" t="str">
        <f t="shared" si="77"/>
        <v>Agencement show room 2023</v>
      </c>
      <c r="BD118" s="360" t="s">
        <v>2091</v>
      </c>
      <c r="BE118" s="327" t="str">
        <f t="shared" si="78"/>
        <v>2023/02/06</v>
      </c>
      <c r="BF118" s="360" t="s">
        <v>2091</v>
      </c>
      <c r="BG118" s="327" t="str">
        <f t="shared" si="79"/>
        <v>2023/02/24</v>
      </c>
      <c r="BH118" s="360" t="s">
        <v>2091</v>
      </c>
      <c r="BI118" s="327" t="str">
        <f t="shared" si="80"/>
        <v>2023/02/24</v>
      </c>
      <c r="BJ118" s="360" t="s">
        <v>2091</v>
      </c>
      <c r="BK118" s="322" t="str">
        <f t="shared" si="81"/>
        <v>https:\\localhost\testPathFile3</v>
      </c>
      <c r="BL118" s="360" t="s">
        <v>2091</v>
      </c>
      <c r="BM118" s="322" t="str">
        <f t="shared" ca="1" si="82"/>
        <v>Terminer</v>
      </c>
      <c r="BN118" s="360" t="s">
        <v>2093</v>
      </c>
      <c r="BO118" s="322">
        <f t="shared" si="83"/>
        <v>6300</v>
      </c>
      <c r="BP118" s="360" t="s">
        <v>2020</v>
      </c>
      <c r="BQ118" s="322">
        <f t="shared" si="84"/>
        <v>3</v>
      </c>
      <c r="BR118" s="360" t="s">
        <v>2020</v>
      </c>
      <c r="BT118" s="360"/>
      <c r="BU118" s="322">
        <f t="shared" si="85"/>
        <v>1</v>
      </c>
      <c r="BV118" s="160" t="s">
        <v>2021</v>
      </c>
      <c r="BW118" s="322" t="str">
        <f t="shared" ca="1" si="86"/>
        <v>INSERT INTO PROJETS(numProj,nameProj,descriptionProj,dateStartProj,dateEndThProj,dateEndRealProj,placeProj,stateAdvancementProj,caProj,idDevis,idUtilisateur) VALUES ('RameneTaFraise - Proj233','RameneTaFraise','Agencement show room 2023','2023/02/06','2023/02/24','2023/02/24','https:\\localhost\testPathFile3','Terminer',6300,3,1);</v>
      </c>
      <c r="BX118" s="322" t="s">
        <v>2571</v>
      </c>
    </row>
    <row r="119" spans="5:76" s="322" customFormat="1" ht="20.05" customHeight="1" thickBot="1" x14ac:dyDescent="0.35">
      <c r="F119" s="322">
        <v>3</v>
      </c>
      <c r="G119" s="322" t="str">
        <f t="shared" si="87"/>
        <v>RameneTaFraise - Proj233</v>
      </c>
      <c r="H119" s="322" t="s">
        <v>1794</v>
      </c>
      <c r="I119" s="322" t="s">
        <v>1795</v>
      </c>
      <c r="J119" s="327">
        <v>44963</v>
      </c>
      <c r="K119" s="327">
        <v>44981</v>
      </c>
      <c r="L119" s="327">
        <f>K119</f>
        <v>44981</v>
      </c>
      <c r="M119" s="328" t="s">
        <v>2139</v>
      </c>
      <c r="N119" s="322" t="str">
        <f t="shared" ca="1" si="88"/>
        <v>Terminer</v>
      </c>
      <c r="O119" s="322">
        <f t="shared" si="89"/>
        <v>6300</v>
      </c>
      <c r="P119" s="322">
        <v>3</v>
      </c>
      <c r="R119" s="322">
        <v>1</v>
      </c>
      <c r="S119" s="353"/>
      <c r="T119" s="160" t="s">
        <v>1922</v>
      </c>
      <c r="U119" s="160" t="s">
        <v>372</v>
      </c>
      <c r="V119" s="160" t="s">
        <v>2088</v>
      </c>
      <c r="W119" s="272"/>
      <c r="X119" s="360"/>
      <c r="Y119" s="181" t="s">
        <v>81</v>
      </c>
      <c r="Z119" s="360" t="s">
        <v>2020</v>
      </c>
      <c r="AA119" s="181" t="s">
        <v>288</v>
      </c>
      <c r="AB119" s="360" t="s">
        <v>2020</v>
      </c>
      <c r="AC119" s="181" t="s">
        <v>341</v>
      </c>
      <c r="AD119" s="360" t="s">
        <v>2020</v>
      </c>
      <c r="AE119" s="181" t="s">
        <v>289</v>
      </c>
      <c r="AF119" s="360" t="s">
        <v>2020</v>
      </c>
      <c r="AG119" s="181" t="s">
        <v>290</v>
      </c>
      <c r="AH119" s="360" t="s">
        <v>2020</v>
      </c>
      <c r="AI119" s="181" t="s">
        <v>291</v>
      </c>
      <c r="AJ119" s="360" t="s">
        <v>2020</v>
      </c>
      <c r="AK119" s="181" t="s">
        <v>292</v>
      </c>
      <c r="AL119" s="360" t="s">
        <v>2020</v>
      </c>
      <c r="AM119" s="185" t="s">
        <v>293</v>
      </c>
      <c r="AN119" s="360" t="s">
        <v>2020</v>
      </c>
      <c r="AO119" s="322" t="s">
        <v>2568</v>
      </c>
      <c r="AP119" s="360" t="s">
        <v>2020</v>
      </c>
      <c r="AQ119" s="342" t="s">
        <v>128</v>
      </c>
      <c r="AR119" s="360" t="s">
        <v>2020</v>
      </c>
      <c r="AS119" s="342"/>
      <c r="AT119" s="360"/>
      <c r="AU119" s="342" t="s">
        <v>196</v>
      </c>
      <c r="AV119" s="360" t="s">
        <v>2089</v>
      </c>
      <c r="AX119" s="360"/>
      <c r="AY119" s="322" t="str">
        <f t="shared" si="75"/>
        <v>TaPudFuite - Proj234</v>
      </c>
      <c r="AZ119" s="360" t="s">
        <v>2091</v>
      </c>
      <c r="BA119" s="322" t="str">
        <f t="shared" si="76"/>
        <v>TaPudFuite</v>
      </c>
      <c r="BB119" s="360" t="s">
        <v>2091</v>
      </c>
      <c r="BC119" s="322" t="str">
        <f t="shared" si="77"/>
        <v>Agencement showRoom SdBs</v>
      </c>
      <c r="BD119" s="360" t="s">
        <v>2091</v>
      </c>
      <c r="BE119" s="327" t="str">
        <f t="shared" si="78"/>
        <v>2023/02/27</v>
      </c>
      <c r="BF119" s="360" t="s">
        <v>2091</v>
      </c>
      <c r="BG119" s="327" t="str">
        <f t="shared" si="79"/>
        <v>2023/03/10</v>
      </c>
      <c r="BH119" s="360" t="s">
        <v>2091</v>
      </c>
      <c r="BI119" s="327" t="str">
        <f t="shared" si="80"/>
        <v>2023/03/10</v>
      </c>
      <c r="BJ119" s="360" t="s">
        <v>2091</v>
      </c>
      <c r="BK119" s="322" t="str">
        <f t="shared" si="81"/>
        <v>https:\\localhost\testPathFile4</v>
      </c>
      <c r="BL119" s="360" t="s">
        <v>2091</v>
      </c>
      <c r="BM119" s="322" t="str">
        <f t="shared" ca="1" si="82"/>
        <v>Terminer</v>
      </c>
      <c r="BN119" s="360" t="s">
        <v>2093</v>
      </c>
      <c r="BO119" s="322">
        <f t="shared" si="83"/>
        <v>12100</v>
      </c>
      <c r="BP119" s="360" t="s">
        <v>2020</v>
      </c>
      <c r="BQ119" s="322">
        <f t="shared" si="84"/>
        <v>4</v>
      </c>
      <c r="BR119" s="360" t="s">
        <v>2020</v>
      </c>
      <c r="BT119" s="360"/>
      <c r="BU119" s="322">
        <f t="shared" si="85"/>
        <v>1</v>
      </c>
      <c r="BV119" s="160" t="s">
        <v>2021</v>
      </c>
      <c r="BW119" s="322" t="str">
        <f t="shared" ca="1" si="86"/>
        <v>INSERT INTO PROJETS(numProj,nameProj,descriptionProj,dateStartProj,dateEndThProj,dateEndRealProj,placeProj,stateAdvancementProj,caProj,idDevis,idUtilisateur) VALUES ('TaPudFuite - Proj234','TaPudFuite','Agencement showRoom SdBs','2023/02/27','2023/03/10','2023/03/10','https:\\localhost\testPathFile4','Terminer',12100,4,1);</v>
      </c>
      <c r="BX119" s="322" t="s">
        <v>2572</v>
      </c>
    </row>
    <row r="120" spans="5:76" s="322" customFormat="1" ht="20.05" customHeight="1" thickBot="1" x14ac:dyDescent="0.35">
      <c r="F120" s="322">
        <v>4</v>
      </c>
      <c r="G120" s="322" t="str">
        <f t="shared" si="87"/>
        <v>TaPudFuite - Proj234</v>
      </c>
      <c r="H120" s="322" t="s">
        <v>1797</v>
      </c>
      <c r="I120" s="322" t="s">
        <v>1801</v>
      </c>
      <c r="J120" s="327">
        <v>44984</v>
      </c>
      <c r="K120" s="327">
        <v>44995</v>
      </c>
      <c r="L120" s="327">
        <f>K120</f>
        <v>44995</v>
      </c>
      <c r="M120" s="328" t="s">
        <v>2140</v>
      </c>
      <c r="N120" s="322" t="str">
        <f t="shared" ca="1" si="88"/>
        <v>Terminer</v>
      </c>
      <c r="O120" s="322">
        <f t="shared" si="89"/>
        <v>12100</v>
      </c>
      <c r="P120" s="322">
        <v>4</v>
      </c>
      <c r="R120" s="322">
        <v>1</v>
      </c>
      <c r="S120" s="353"/>
      <c r="T120" s="160" t="s">
        <v>1922</v>
      </c>
      <c r="U120" s="160" t="s">
        <v>372</v>
      </c>
      <c r="V120" s="160" t="s">
        <v>2088</v>
      </c>
      <c r="W120" s="272"/>
      <c r="X120" s="360"/>
      <c r="Y120" s="181" t="s">
        <v>81</v>
      </c>
      <c r="Z120" s="360" t="s">
        <v>2020</v>
      </c>
      <c r="AA120" s="181" t="s">
        <v>288</v>
      </c>
      <c r="AB120" s="360" t="s">
        <v>2020</v>
      </c>
      <c r="AC120" s="181" t="s">
        <v>341</v>
      </c>
      <c r="AD120" s="360" t="s">
        <v>2020</v>
      </c>
      <c r="AE120" s="181" t="s">
        <v>289</v>
      </c>
      <c r="AF120" s="360" t="s">
        <v>2020</v>
      </c>
      <c r="AG120" s="181" t="s">
        <v>290</v>
      </c>
      <c r="AH120" s="360" t="s">
        <v>2020</v>
      </c>
      <c r="AI120" s="181" t="s">
        <v>291</v>
      </c>
      <c r="AJ120" s="360" t="s">
        <v>2020</v>
      </c>
      <c r="AK120" s="181" t="s">
        <v>292</v>
      </c>
      <c r="AL120" s="360" t="s">
        <v>2020</v>
      </c>
      <c r="AM120" s="185" t="s">
        <v>293</v>
      </c>
      <c r="AN120" s="360" t="s">
        <v>2020</v>
      </c>
      <c r="AO120" s="322" t="s">
        <v>2568</v>
      </c>
      <c r="AP120" s="360" t="s">
        <v>2020</v>
      </c>
      <c r="AQ120" s="342" t="s">
        <v>128</v>
      </c>
      <c r="AR120" s="360" t="s">
        <v>2020</v>
      </c>
      <c r="AS120" s="342"/>
      <c r="AT120" s="360"/>
      <c r="AU120" s="342" t="s">
        <v>196</v>
      </c>
      <c r="AV120" s="360" t="s">
        <v>2089</v>
      </c>
      <c r="AX120" s="360"/>
      <c r="AY120" s="322" t="str">
        <f t="shared" si="75"/>
        <v>LaBonneBaguette - Proj235</v>
      </c>
      <c r="AZ120" s="360" t="s">
        <v>2091</v>
      </c>
      <c r="BA120" s="322" t="str">
        <f t="shared" si="76"/>
        <v>LaBonneBaguette</v>
      </c>
      <c r="BB120" s="360" t="s">
        <v>2091</v>
      </c>
      <c r="BC120" s="322" t="str">
        <f t="shared" si="77"/>
        <v>Agencement de la boulangerie</v>
      </c>
      <c r="BD120" s="360" t="s">
        <v>2091</v>
      </c>
      <c r="BE120" s="327" t="str">
        <f t="shared" si="78"/>
        <v>2023/03/13</v>
      </c>
      <c r="BF120" s="360" t="s">
        <v>2091</v>
      </c>
      <c r="BG120" s="327" t="str">
        <f t="shared" si="79"/>
        <v>2023/03/31</v>
      </c>
      <c r="BH120" s="360" t="s">
        <v>2091</v>
      </c>
      <c r="BI120" s="327" t="str">
        <f t="shared" si="80"/>
        <v>2023/04/04</v>
      </c>
      <c r="BJ120" s="360" t="s">
        <v>2091</v>
      </c>
      <c r="BK120" s="322" t="str">
        <f t="shared" si="81"/>
        <v>https:\\localhost\testPathFile5</v>
      </c>
      <c r="BL120" s="360" t="s">
        <v>2091</v>
      </c>
      <c r="BM120" s="322" t="str">
        <f t="shared" ca="1" si="82"/>
        <v>Terminer</v>
      </c>
      <c r="BN120" s="360" t="s">
        <v>2093</v>
      </c>
      <c r="BO120" s="322">
        <f t="shared" si="83"/>
        <v>6300</v>
      </c>
      <c r="BP120" s="360" t="s">
        <v>2020</v>
      </c>
      <c r="BQ120" s="322">
        <f t="shared" si="84"/>
        <v>5</v>
      </c>
      <c r="BR120" s="360" t="s">
        <v>2020</v>
      </c>
      <c r="BT120" s="360"/>
      <c r="BU120" s="322">
        <f t="shared" si="85"/>
        <v>1</v>
      </c>
      <c r="BV120" s="160" t="s">
        <v>2021</v>
      </c>
      <c r="BW120" s="322" t="str">
        <f t="shared" ca="1" si="86"/>
        <v>INSERT INTO PROJETS(numProj,nameProj,descriptionProj,dateStartProj,dateEndThProj,dateEndRealProj,placeProj,stateAdvancementProj,caProj,idDevis,idUtilisateur) VALUES ('LaBonneBaguette - Proj235','LaBonneBaguette','Agencement de la boulangerie','2023/03/13','2023/03/31','2023/04/04','https:\\localhost\testPathFile5','Terminer',6300,5,1);</v>
      </c>
      <c r="BX120" s="322" t="s">
        <v>2573</v>
      </c>
    </row>
    <row r="121" spans="5:76" s="322" customFormat="1" ht="20.05" customHeight="1" thickBot="1" x14ac:dyDescent="0.35">
      <c r="F121" s="322">
        <v>5</v>
      </c>
      <c r="G121" s="322" t="str">
        <f t="shared" si="87"/>
        <v>LaBonneBaguette - Proj235</v>
      </c>
      <c r="H121" s="322" t="s">
        <v>1798</v>
      </c>
      <c r="I121" s="322" t="s">
        <v>1802</v>
      </c>
      <c r="J121" s="327">
        <v>44998</v>
      </c>
      <c r="K121" s="327">
        <v>45016</v>
      </c>
      <c r="L121" s="327">
        <v>45020</v>
      </c>
      <c r="M121" s="328" t="s">
        <v>2141</v>
      </c>
      <c r="N121" s="322" t="str">
        <f t="shared" ca="1" si="88"/>
        <v>Terminer</v>
      </c>
      <c r="O121" s="322">
        <f t="shared" si="89"/>
        <v>6300</v>
      </c>
      <c r="P121" s="322">
        <v>5</v>
      </c>
      <c r="R121" s="322">
        <v>1</v>
      </c>
      <c r="S121" s="353"/>
      <c r="T121" s="160" t="s">
        <v>1922</v>
      </c>
      <c r="U121" s="160" t="s">
        <v>372</v>
      </c>
      <c r="V121" s="160" t="s">
        <v>2088</v>
      </c>
      <c r="W121" s="272"/>
      <c r="X121" s="360"/>
      <c r="Y121" s="181" t="s">
        <v>81</v>
      </c>
      <c r="Z121" s="360" t="s">
        <v>2020</v>
      </c>
      <c r="AA121" s="181" t="s">
        <v>288</v>
      </c>
      <c r="AB121" s="360" t="s">
        <v>2020</v>
      </c>
      <c r="AC121" s="181" t="s">
        <v>341</v>
      </c>
      <c r="AD121" s="360" t="s">
        <v>2020</v>
      </c>
      <c r="AE121" s="181" t="s">
        <v>289</v>
      </c>
      <c r="AF121" s="360" t="s">
        <v>2020</v>
      </c>
      <c r="AG121" s="181" t="s">
        <v>290</v>
      </c>
      <c r="AH121" s="360" t="s">
        <v>2020</v>
      </c>
      <c r="AI121" s="181" t="s">
        <v>291</v>
      </c>
      <c r="AJ121" s="360" t="s">
        <v>2020</v>
      </c>
      <c r="AK121" s="181" t="s">
        <v>292</v>
      </c>
      <c r="AL121" s="360" t="s">
        <v>2020</v>
      </c>
      <c r="AM121" s="185" t="s">
        <v>293</v>
      </c>
      <c r="AN121" s="360" t="s">
        <v>2020</v>
      </c>
      <c r="AO121" s="322" t="s">
        <v>2568</v>
      </c>
      <c r="AP121" s="360" t="s">
        <v>2020</v>
      </c>
      <c r="AQ121" s="342" t="s">
        <v>128</v>
      </c>
      <c r="AR121" s="360" t="s">
        <v>2020</v>
      </c>
      <c r="AS121" s="342"/>
      <c r="AT121" s="360"/>
      <c r="AU121" s="342" t="s">
        <v>196</v>
      </c>
      <c r="AV121" s="360" t="s">
        <v>2089</v>
      </c>
      <c r="AX121" s="360"/>
      <c r="AY121" s="322" t="str">
        <f t="shared" si="75"/>
        <v>GlesBoules - Proj236</v>
      </c>
      <c r="AZ121" s="360" t="s">
        <v>2091</v>
      </c>
      <c r="BA121" s="322" t="str">
        <f t="shared" si="76"/>
        <v>GlesBoules</v>
      </c>
      <c r="BB121" s="360" t="s">
        <v>2091</v>
      </c>
      <c r="BC121" s="322" t="str">
        <f t="shared" si="77"/>
        <v>Réfection de la surface de vente de confiserie</v>
      </c>
      <c r="BD121" s="360" t="s">
        <v>2091</v>
      </c>
      <c r="BE121" s="327" t="str">
        <f t="shared" si="78"/>
        <v>2023/04/03</v>
      </c>
      <c r="BF121" s="360" t="s">
        <v>2091</v>
      </c>
      <c r="BG121" s="327" t="str">
        <f t="shared" si="79"/>
        <v>2023/04/28</v>
      </c>
      <c r="BH121" s="360" t="s">
        <v>2091</v>
      </c>
      <c r="BI121" s="327" t="str">
        <f t="shared" si="80"/>
        <v>2023/04/28</v>
      </c>
      <c r="BJ121" s="360" t="s">
        <v>2091</v>
      </c>
      <c r="BK121" s="322" t="str">
        <f t="shared" si="81"/>
        <v>https:\\localhost\testPathFile6</v>
      </c>
      <c r="BL121" s="360" t="s">
        <v>2091</v>
      </c>
      <c r="BM121" s="322" t="str">
        <f t="shared" ca="1" si="82"/>
        <v>Terminer</v>
      </c>
      <c r="BN121" s="360" t="s">
        <v>2093</v>
      </c>
      <c r="BO121" s="322">
        <f t="shared" si="83"/>
        <v>6000</v>
      </c>
      <c r="BP121" s="360" t="s">
        <v>2020</v>
      </c>
      <c r="BQ121" s="322">
        <f t="shared" si="84"/>
        <v>6</v>
      </c>
      <c r="BR121" s="360" t="s">
        <v>2020</v>
      </c>
      <c r="BT121" s="360"/>
      <c r="BU121" s="322">
        <f t="shared" si="85"/>
        <v>1</v>
      </c>
      <c r="BV121" s="160" t="s">
        <v>2021</v>
      </c>
      <c r="BW121" s="322" t="str">
        <f t="shared" ca="1" si="86"/>
        <v>INSERT INTO PROJETS(numProj,nameProj,descriptionProj,dateStartProj,dateEndThProj,dateEndRealProj,placeProj,stateAdvancementProj,caProj,idDevis,idUtilisateur) VALUES ('GlesBoules - Proj236','GlesBoules','Réfection de la surface de vente de confiserie','2023/04/03','2023/04/28','2023/04/28','https:\\localhost\testPathFile6','Terminer',6000,6,1);</v>
      </c>
      <c r="BX121" s="322" t="s">
        <v>2574</v>
      </c>
    </row>
    <row r="122" spans="5:76" s="322" customFormat="1" ht="20.05" customHeight="1" thickBot="1" x14ac:dyDescent="0.35">
      <c r="F122" s="322">
        <v>6</v>
      </c>
      <c r="G122" s="322" t="str">
        <f t="shared" si="87"/>
        <v>GlesBoules - Proj236</v>
      </c>
      <c r="H122" s="322" t="s">
        <v>1799</v>
      </c>
      <c r="I122" s="322" t="s">
        <v>1803</v>
      </c>
      <c r="J122" s="327">
        <v>45019</v>
      </c>
      <c r="K122" s="327">
        <v>45044</v>
      </c>
      <c r="L122" s="327">
        <v>45044</v>
      </c>
      <c r="M122" s="328" t="s">
        <v>2142</v>
      </c>
      <c r="N122" s="322" t="str">
        <f t="shared" ca="1" si="88"/>
        <v>Terminer</v>
      </c>
      <c r="O122" s="322">
        <f t="shared" si="89"/>
        <v>6000</v>
      </c>
      <c r="P122" s="322">
        <v>6</v>
      </c>
      <c r="R122" s="322">
        <v>1</v>
      </c>
      <c r="S122" s="353"/>
      <c r="T122" s="160" t="s">
        <v>1922</v>
      </c>
      <c r="U122" s="160" t="s">
        <v>372</v>
      </c>
      <c r="V122" s="160" t="s">
        <v>2088</v>
      </c>
      <c r="W122" s="272"/>
      <c r="X122" s="360"/>
      <c r="Y122" s="181" t="s">
        <v>81</v>
      </c>
      <c r="Z122" s="360" t="s">
        <v>2020</v>
      </c>
      <c r="AA122" s="181" t="s">
        <v>288</v>
      </c>
      <c r="AB122" s="360" t="s">
        <v>2020</v>
      </c>
      <c r="AC122" s="181" t="s">
        <v>341</v>
      </c>
      <c r="AD122" s="360" t="s">
        <v>2020</v>
      </c>
      <c r="AE122" s="181" t="s">
        <v>289</v>
      </c>
      <c r="AF122" s="360" t="s">
        <v>2020</v>
      </c>
      <c r="AG122" s="181" t="s">
        <v>290</v>
      </c>
      <c r="AH122" s="360" t="s">
        <v>2020</v>
      </c>
      <c r="AI122" s="181" t="s">
        <v>291</v>
      </c>
      <c r="AJ122" s="360" t="s">
        <v>2020</v>
      </c>
      <c r="AK122" s="181" t="s">
        <v>292</v>
      </c>
      <c r="AL122" s="360" t="s">
        <v>2020</v>
      </c>
      <c r="AM122" s="185" t="s">
        <v>293</v>
      </c>
      <c r="AN122" s="360" t="s">
        <v>2020</v>
      </c>
      <c r="AO122" s="322" t="s">
        <v>2568</v>
      </c>
      <c r="AP122" s="360" t="s">
        <v>2020</v>
      </c>
      <c r="AQ122" s="342" t="s">
        <v>128</v>
      </c>
      <c r="AR122" s="360" t="s">
        <v>2020</v>
      </c>
      <c r="AS122" s="342"/>
      <c r="AT122" s="360"/>
      <c r="AU122" s="342" t="s">
        <v>196</v>
      </c>
      <c r="AV122" s="360" t="s">
        <v>2089</v>
      </c>
      <c r="AX122" s="360"/>
      <c r="AY122" s="322" t="str">
        <f t="shared" si="75"/>
        <v>AuPirate - Proj237</v>
      </c>
      <c r="AZ122" s="360" t="s">
        <v>2091</v>
      </c>
      <c r="BA122" s="322" t="str">
        <f t="shared" si="76"/>
        <v>AuPirate</v>
      </c>
      <c r="BB122" s="360" t="s">
        <v>2091</v>
      </c>
      <c r="BC122" s="322" t="str">
        <f t="shared" si="77"/>
        <v>Agencement de lenvironnement de Bar</v>
      </c>
      <c r="BD122" s="360" t="s">
        <v>2091</v>
      </c>
      <c r="BE122" s="327" t="str">
        <f t="shared" si="78"/>
        <v>2023/05/02</v>
      </c>
      <c r="BF122" s="360" t="s">
        <v>2091</v>
      </c>
      <c r="BG122" s="327" t="str">
        <f t="shared" si="79"/>
        <v>2023/05/17</v>
      </c>
      <c r="BH122" s="360" t="s">
        <v>2091</v>
      </c>
      <c r="BI122" s="327" t="str">
        <f t="shared" si="80"/>
        <v>2023/05/17</v>
      </c>
      <c r="BJ122" s="360" t="s">
        <v>2091</v>
      </c>
      <c r="BK122" s="322" t="str">
        <f t="shared" si="81"/>
        <v>https:\\localhost\testPathFile7</v>
      </c>
      <c r="BL122" s="360" t="s">
        <v>2091</v>
      </c>
      <c r="BM122" s="322" t="str">
        <f t="shared" ca="1" si="82"/>
        <v>Terminer</v>
      </c>
      <c r="BN122" s="360" t="s">
        <v>2093</v>
      </c>
      <c r="BO122" s="322">
        <f t="shared" si="83"/>
        <v>7100</v>
      </c>
      <c r="BP122" s="360" t="s">
        <v>2020</v>
      </c>
      <c r="BQ122" s="322">
        <f t="shared" si="84"/>
        <v>7</v>
      </c>
      <c r="BR122" s="360" t="s">
        <v>2020</v>
      </c>
      <c r="BT122" s="360"/>
      <c r="BU122" s="322">
        <f t="shared" si="85"/>
        <v>1</v>
      </c>
      <c r="BV122" s="160" t="s">
        <v>2021</v>
      </c>
      <c r="BW122" s="322" t="str">
        <f t="shared" ca="1" si="86"/>
        <v>INSERT INTO PROJETS(numProj,nameProj,descriptionProj,dateStartProj,dateEndThProj,dateEndRealProj,placeProj,stateAdvancementProj,caProj,idDevis,idUtilisateur) VALUES ('AuPirate - Proj237','AuPirate','Agencement de lenvironnement de Bar','2023/05/02','2023/05/17','2023/05/17','https:\\localhost\testPathFile7','Terminer',7100,7,1);</v>
      </c>
      <c r="BX122" s="322" t="s">
        <v>2575</v>
      </c>
    </row>
    <row r="123" spans="5:76" s="322" customFormat="1" ht="20.05" customHeight="1" thickBot="1" x14ac:dyDescent="0.35">
      <c r="F123" s="322">
        <v>7</v>
      </c>
      <c r="G123" s="322" t="str">
        <f t="shared" si="87"/>
        <v>AuPirate - Proj237</v>
      </c>
      <c r="H123" s="322" t="s">
        <v>1800</v>
      </c>
      <c r="I123" s="322" t="s">
        <v>2374</v>
      </c>
      <c r="J123" s="327">
        <v>45048</v>
      </c>
      <c r="K123" s="327">
        <v>45063</v>
      </c>
      <c r="L123" s="327">
        <v>45063</v>
      </c>
      <c r="M123" s="328" t="s">
        <v>2143</v>
      </c>
      <c r="N123" s="322" t="str">
        <f t="shared" ca="1" si="88"/>
        <v>Terminer</v>
      </c>
      <c r="O123" s="322">
        <f t="shared" si="89"/>
        <v>7100</v>
      </c>
      <c r="P123" s="322">
        <v>7</v>
      </c>
      <c r="R123" s="322">
        <v>1</v>
      </c>
      <c r="S123" s="353"/>
      <c r="T123" s="160" t="s">
        <v>1922</v>
      </c>
      <c r="U123" s="160" t="s">
        <v>372</v>
      </c>
      <c r="V123" s="160" t="s">
        <v>2088</v>
      </c>
      <c r="W123" s="272"/>
      <c r="X123" s="360"/>
      <c r="Y123" s="181" t="s">
        <v>81</v>
      </c>
      <c r="Z123" s="360" t="s">
        <v>2020</v>
      </c>
      <c r="AA123" s="181" t="s">
        <v>288</v>
      </c>
      <c r="AB123" s="360" t="s">
        <v>2020</v>
      </c>
      <c r="AC123" s="181" t="s">
        <v>341</v>
      </c>
      <c r="AD123" s="360" t="s">
        <v>2020</v>
      </c>
      <c r="AE123" s="181" t="s">
        <v>289</v>
      </c>
      <c r="AF123" s="360" t="s">
        <v>2020</v>
      </c>
      <c r="AG123" s="181" t="s">
        <v>290</v>
      </c>
      <c r="AH123" s="360" t="s">
        <v>2020</v>
      </c>
      <c r="AI123" s="181" t="s">
        <v>291</v>
      </c>
      <c r="AJ123" s="360" t="s">
        <v>2020</v>
      </c>
      <c r="AK123" s="181" t="s">
        <v>292</v>
      </c>
      <c r="AL123" s="360" t="s">
        <v>2020</v>
      </c>
      <c r="AM123" s="185" t="s">
        <v>293</v>
      </c>
      <c r="AN123" s="360" t="s">
        <v>2020</v>
      </c>
      <c r="AO123" s="322" t="s">
        <v>2568</v>
      </c>
      <c r="AP123" s="360" t="s">
        <v>2020</v>
      </c>
      <c r="AQ123" s="342" t="s">
        <v>128</v>
      </c>
      <c r="AR123" s="360" t="s">
        <v>2020</v>
      </c>
      <c r="AS123" s="342"/>
      <c r="AT123" s="360"/>
      <c r="AU123" s="342" t="s">
        <v>196</v>
      </c>
      <c r="AV123" s="360" t="s">
        <v>2089</v>
      </c>
      <c r="AX123" s="360"/>
      <c r="AY123" s="322" t="str">
        <f t="shared" si="75"/>
        <v>BoisdeLux - Proj238</v>
      </c>
      <c r="AZ123" s="360" t="s">
        <v>2091</v>
      </c>
      <c r="BA123" s="322" t="str">
        <f t="shared" si="76"/>
        <v>BoisdeLux</v>
      </c>
      <c r="BB123" s="360" t="s">
        <v>2091</v>
      </c>
      <c r="BC123" s="322" t="str">
        <f t="shared" si="77"/>
        <v>agencement de la partie administrative de lEts</v>
      </c>
      <c r="BD123" s="360" t="s">
        <v>2091</v>
      </c>
      <c r="BE123" s="327" t="str">
        <f t="shared" si="78"/>
        <v>2023/05/16</v>
      </c>
      <c r="BF123" s="360" t="s">
        <v>2091</v>
      </c>
      <c r="BG123" s="327" t="str">
        <f t="shared" si="79"/>
        <v>2023/05/27</v>
      </c>
      <c r="BH123" s="360" t="s">
        <v>2091</v>
      </c>
      <c r="BI123" s="327" t="str">
        <f t="shared" si="80"/>
        <v>2023/05/27</v>
      </c>
      <c r="BJ123" s="360" t="s">
        <v>2091</v>
      </c>
      <c r="BK123" s="322" t="str">
        <f t="shared" si="81"/>
        <v>https:\\localhost\testPathFile8</v>
      </c>
      <c r="BL123" s="360" t="s">
        <v>2091</v>
      </c>
      <c r="BM123" s="322" t="str">
        <f t="shared" ca="1" si="82"/>
        <v>Terminer</v>
      </c>
      <c r="BN123" s="360" t="s">
        <v>2093</v>
      </c>
      <c r="BO123" s="322">
        <f t="shared" si="83"/>
        <v>7500</v>
      </c>
      <c r="BP123" s="360" t="s">
        <v>2020</v>
      </c>
      <c r="BQ123" s="322">
        <f t="shared" si="84"/>
        <v>8</v>
      </c>
      <c r="BR123" s="360" t="s">
        <v>2020</v>
      </c>
      <c r="BT123" s="360"/>
      <c r="BU123" s="322">
        <f t="shared" si="85"/>
        <v>1</v>
      </c>
      <c r="BV123" s="160" t="s">
        <v>2021</v>
      </c>
      <c r="BW123" s="322" t="str">
        <f t="shared" ca="1" si="86"/>
        <v>INSERT INTO PROJETS(numProj,nameProj,descriptionProj,dateStartProj,dateEndThProj,dateEndRealProj,placeProj,stateAdvancementProj,caProj,idDevis,idUtilisateur) VALUES ('BoisdeLux - Proj238','BoisdeLux','agencement de la partie administrative de lEts','2023/05/16','2023/05/27','2023/05/27','https:\\localhost\testPathFile8','Terminer',7500,8,1);</v>
      </c>
      <c r="BX123" s="322" t="s">
        <v>2576</v>
      </c>
    </row>
    <row r="124" spans="5:76" s="322" customFormat="1" ht="20.05" customHeight="1" thickBot="1" x14ac:dyDescent="0.35">
      <c r="F124" s="322">
        <v>8</v>
      </c>
      <c r="G124" s="322" t="str">
        <f t="shared" si="87"/>
        <v>BoisdeLux - Proj238</v>
      </c>
      <c r="H124" s="322" t="s">
        <v>1793</v>
      </c>
      <c r="I124" s="322" t="s">
        <v>2373</v>
      </c>
      <c r="J124" s="345">
        <v>45062</v>
      </c>
      <c r="K124" s="327">
        <v>45073</v>
      </c>
      <c r="L124" s="327">
        <v>45073</v>
      </c>
      <c r="M124" s="328" t="s">
        <v>2144</v>
      </c>
      <c r="N124" s="322" t="str">
        <f t="shared" ca="1" si="88"/>
        <v>Terminer</v>
      </c>
      <c r="O124" s="322">
        <f t="shared" si="89"/>
        <v>7500</v>
      </c>
      <c r="P124" s="322">
        <v>8</v>
      </c>
      <c r="R124" s="322">
        <v>1</v>
      </c>
      <c r="S124" s="353"/>
      <c r="T124" s="160"/>
      <c r="U124" s="160"/>
      <c r="V124" s="160"/>
      <c r="W124" s="272"/>
      <c r="X124" s="360"/>
      <c r="Y124" s="181"/>
      <c r="Z124" s="360"/>
      <c r="AA124" s="181"/>
      <c r="AB124" s="360"/>
      <c r="AC124" s="181"/>
      <c r="AD124" s="360"/>
      <c r="AE124" s="181"/>
      <c r="AF124" s="360"/>
      <c r="AG124" s="181"/>
      <c r="AH124" s="360"/>
      <c r="AI124" s="181"/>
      <c r="AJ124" s="360"/>
      <c r="AK124" s="181"/>
      <c r="AL124" s="360"/>
      <c r="AM124" s="185"/>
      <c r="AN124" s="360"/>
      <c r="AP124" s="360"/>
      <c r="AQ124" s="342"/>
      <c r="AR124" s="360"/>
      <c r="AS124" s="342"/>
      <c r="AT124" s="360"/>
      <c r="AU124" s="342"/>
      <c r="AV124" s="360"/>
      <c r="AX124" s="360"/>
      <c r="AZ124" s="360"/>
      <c r="BB124" s="360"/>
      <c r="BD124" s="360"/>
      <c r="BE124" s="327"/>
      <c r="BF124" s="360"/>
      <c r="BG124" s="327"/>
      <c r="BH124" s="360"/>
      <c r="BI124" s="327"/>
      <c r="BJ124" s="360"/>
      <c r="BL124" s="360"/>
      <c r="BN124" s="360"/>
      <c r="BP124" s="360"/>
      <c r="BR124" s="360"/>
      <c r="BT124" s="360"/>
      <c r="BV124" s="160"/>
    </row>
    <row r="125" spans="5:76" s="322" customFormat="1" ht="25.05" customHeight="1" x14ac:dyDescent="0.3"/>
    <row r="126" spans="5:76" s="322" customFormat="1" ht="25.05" customHeight="1" x14ac:dyDescent="0.3"/>
    <row r="128" spans="5:76" ht="28.05" customHeight="1" thickBot="1" x14ac:dyDescent="0.35">
      <c r="AW128" s="384" t="s">
        <v>2376</v>
      </c>
    </row>
    <row r="129" spans="5:74" s="322" customFormat="1" ht="30.05" customHeight="1" thickBot="1" x14ac:dyDescent="0.35">
      <c r="E129" s="160" t="s">
        <v>373</v>
      </c>
      <c r="F129" s="273" t="s">
        <v>72</v>
      </c>
      <c r="G129" s="189" t="s">
        <v>355</v>
      </c>
      <c r="H129" s="189" t="s">
        <v>337</v>
      </c>
      <c r="I129" s="189" t="s">
        <v>340</v>
      </c>
      <c r="J129" s="189" t="s">
        <v>266</v>
      </c>
      <c r="K129" s="189" t="s">
        <v>244</v>
      </c>
      <c r="L129" s="189" t="s">
        <v>296</v>
      </c>
      <c r="M129" s="189" t="s">
        <v>298</v>
      </c>
      <c r="N129" s="189" t="s">
        <v>299</v>
      </c>
      <c r="O129" s="189" t="s">
        <v>300</v>
      </c>
      <c r="P129" s="189" t="s">
        <v>301</v>
      </c>
      <c r="Q129" s="192" t="s">
        <v>302</v>
      </c>
      <c r="R129" s="295" t="s">
        <v>287</v>
      </c>
      <c r="S129" s="322" t="s">
        <v>1912</v>
      </c>
      <c r="T129" s="160" t="s">
        <v>1922</v>
      </c>
      <c r="U129" s="322" t="str">
        <f>E129</f>
        <v>TACHES</v>
      </c>
      <c r="V129" s="160" t="s">
        <v>2088</v>
      </c>
      <c r="W129" s="189" t="s">
        <v>355</v>
      </c>
      <c r="X129" s="360" t="s">
        <v>2020</v>
      </c>
      <c r="Y129" s="189" t="s">
        <v>337</v>
      </c>
      <c r="Z129" s="360" t="s">
        <v>2020</v>
      </c>
      <c r="AA129" s="189" t="s">
        <v>340</v>
      </c>
      <c r="AB129" s="360" t="s">
        <v>2020</v>
      </c>
      <c r="AC129" s="189" t="s">
        <v>266</v>
      </c>
      <c r="AD129" s="360" t="s">
        <v>2020</v>
      </c>
      <c r="AE129" s="189" t="s">
        <v>244</v>
      </c>
      <c r="AF129" s="360" t="s">
        <v>2020</v>
      </c>
      <c r="AG129" s="189" t="s">
        <v>296</v>
      </c>
      <c r="AH129" s="360" t="s">
        <v>2020</v>
      </c>
      <c r="AI129" s="189" t="s">
        <v>298</v>
      </c>
      <c r="AJ129" s="360" t="s">
        <v>2020</v>
      </c>
      <c r="AK129" s="189" t="s">
        <v>299</v>
      </c>
      <c r="AL129" s="360" t="s">
        <v>2020</v>
      </c>
      <c r="AM129" s="189" t="s">
        <v>300</v>
      </c>
      <c r="AN129" s="360" t="s">
        <v>2020</v>
      </c>
      <c r="AO129" s="189" t="s">
        <v>301</v>
      </c>
      <c r="AP129" s="360" t="s">
        <v>2020</v>
      </c>
      <c r="AQ129" s="192" t="s">
        <v>302</v>
      </c>
      <c r="AR129" s="360" t="s">
        <v>2020</v>
      </c>
      <c r="AS129" s="295" t="s">
        <v>287</v>
      </c>
      <c r="AT129" s="360"/>
      <c r="AV129" s="360" t="s">
        <v>2089</v>
      </c>
      <c r="AW129" s="385"/>
      <c r="AX129" s="360" t="s">
        <v>2091</v>
      </c>
      <c r="AY129" s="189" t="s">
        <v>337</v>
      </c>
      <c r="AZ129" s="360" t="s">
        <v>2091</v>
      </c>
      <c r="BA129" s="189" t="s">
        <v>340</v>
      </c>
      <c r="BB129" s="360" t="s">
        <v>2091</v>
      </c>
      <c r="BC129" s="189" t="s">
        <v>266</v>
      </c>
      <c r="BD129" s="360" t="s">
        <v>2091</v>
      </c>
      <c r="BE129" s="189" t="s">
        <v>244</v>
      </c>
      <c r="BF129" s="360" t="s">
        <v>2091</v>
      </c>
      <c r="BG129" s="189" t="s">
        <v>296</v>
      </c>
      <c r="BH129" s="360" t="s">
        <v>2091</v>
      </c>
      <c r="BI129" s="189" t="s">
        <v>298</v>
      </c>
      <c r="BJ129" s="360" t="s">
        <v>2091</v>
      </c>
      <c r="BK129" s="189" t="s">
        <v>299</v>
      </c>
      <c r="BL129" s="360" t="s">
        <v>2091</v>
      </c>
      <c r="BM129" s="189" t="s">
        <v>300</v>
      </c>
      <c r="BN129" s="360" t="s">
        <v>2091</v>
      </c>
      <c r="BO129" s="189" t="s">
        <v>301</v>
      </c>
      <c r="BP129" s="360" t="s">
        <v>2091</v>
      </c>
      <c r="BQ129" s="192" t="s">
        <v>302</v>
      </c>
      <c r="BR129" s="360" t="s">
        <v>2093</v>
      </c>
      <c r="BS129" s="295" t="s">
        <v>287</v>
      </c>
      <c r="BT129" s="160" t="s">
        <v>2021</v>
      </c>
      <c r="BU129" s="322" t="str">
        <f>T129&amp;U129&amp;V129&amp;W129&amp;X129&amp;Y129&amp;Z129&amp;AA129&amp;AB129&amp;AC129&amp;AD129&amp;AE129&amp;AF129&amp;AG129&amp;AH129&amp;AI129&amp;AJ129&amp;AK129&amp;AL129&amp;AM129&amp;AN129&amp;AO129&amp;AP129&amp;AQ129&amp;AR129&amp;AS129&amp;AV129&amp;AW128&amp;AX129&amp;AY129&amp;AZ129&amp;BA129&amp;BB129&amp;BC129&amp;BD129&amp;BE129&amp;BF129&amp;BG129&amp;BH129&amp;BI129&amp;BJ129&amp;BK129&amp;BL129&amp;BM129&amp;BN129&amp;BO129&amp;BP129&amp;BQ129&amp;BR129&amp;BS129&amp;BT129</f>
        <v>INSERT INTO TACHES(numTache,nameTache,descriptionTache,prioTache,stateTache,categoryTache,dateCreateTache,dateInProgressTache,dateToTestTache,dateEndThTache,dateEndRealTache,idProjet) VALUES ('numTache 
STRING','nameTache','descriptionTache','prioTache','stateTache','categoryTache','dateCreateTache','dateInProgressTache','dateToTestTache','dateEndThTache','dateEndRealTache',idProjet);</v>
      </c>
      <c r="BV129" s="322" t="s">
        <v>2504</v>
      </c>
    </row>
    <row r="130" spans="5:74" ht="20.05" customHeight="1" outlineLevel="1" thickBot="1" x14ac:dyDescent="0.35">
      <c r="F130" s="160">
        <v>1</v>
      </c>
      <c r="G130" s="160">
        <v>1</v>
      </c>
      <c r="H130" s="160" t="s">
        <v>2118</v>
      </c>
      <c r="I130" s="160" t="str">
        <f t="shared" ref="I130:I193" si="90">H130</f>
        <v>tache1</v>
      </c>
      <c r="J130" s="160" t="s">
        <v>1867</v>
      </c>
      <c r="K130" s="160" t="s">
        <v>2375</v>
      </c>
      <c r="L130" s="160" t="s">
        <v>1876</v>
      </c>
      <c r="M130" s="329">
        <v>44905</v>
      </c>
      <c r="N130" s="329">
        <v>44928</v>
      </c>
      <c r="O130" s="329">
        <v>44928</v>
      </c>
      <c r="P130" s="329">
        <v>44928</v>
      </c>
      <c r="Q130" s="329">
        <v>44928</v>
      </c>
      <c r="R130" s="160">
        <v>1</v>
      </c>
      <c r="S130" s="160">
        <f>NETWORKDAYS(N130,Q130)+1</f>
        <v>2</v>
      </c>
      <c r="T130" s="160" t="s">
        <v>1922</v>
      </c>
      <c r="U130" s="322" t="str">
        <f>U129</f>
        <v>TACHES</v>
      </c>
      <c r="V130" s="160" t="s">
        <v>2088</v>
      </c>
      <c r="W130" s="189" t="s">
        <v>355</v>
      </c>
      <c r="X130" s="360" t="s">
        <v>2020</v>
      </c>
      <c r="Y130" s="189" t="s">
        <v>337</v>
      </c>
      <c r="Z130" s="360" t="s">
        <v>2020</v>
      </c>
      <c r="AA130" s="189" t="s">
        <v>340</v>
      </c>
      <c r="AB130" s="360" t="s">
        <v>2020</v>
      </c>
      <c r="AC130" s="189" t="s">
        <v>266</v>
      </c>
      <c r="AD130" s="360" t="s">
        <v>2020</v>
      </c>
      <c r="AE130" s="189" t="s">
        <v>244</v>
      </c>
      <c r="AF130" s="360" t="s">
        <v>2020</v>
      </c>
      <c r="AG130" s="189" t="s">
        <v>296</v>
      </c>
      <c r="AH130" s="360" t="s">
        <v>2020</v>
      </c>
      <c r="AI130" s="189" t="s">
        <v>298</v>
      </c>
      <c r="AJ130" s="360" t="s">
        <v>2020</v>
      </c>
      <c r="AK130" s="189" t="s">
        <v>299</v>
      </c>
      <c r="AL130" s="360" t="s">
        <v>2020</v>
      </c>
      <c r="AM130" s="189" t="s">
        <v>300</v>
      </c>
      <c r="AN130" s="360" t="s">
        <v>2020</v>
      </c>
      <c r="AO130" s="189" t="s">
        <v>301</v>
      </c>
      <c r="AP130" s="360" t="s">
        <v>2020</v>
      </c>
      <c r="AQ130" s="192" t="s">
        <v>302</v>
      </c>
      <c r="AR130" s="360" t="s">
        <v>2020</v>
      </c>
      <c r="AS130" s="295" t="s">
        <v>287</v>
      </c>
      <c r="AT130" s="360"/>
      <c r="AU130" s="322"/>
      <c r="AV130" s="360" t="s">
        <v>2089</v>
      </c>
      <c r="AW130" s="160">
        <f>G130</f>
        <v>1</v>
      </c>
      <c r="AX130" s="360" t="s">
        <v>2091</v>
      </c>
      <c r="AY130" s="160" t="str">
        <f>H130</f>
        <v>tache1</v>
      </c>
      <c r="AZ130" s="360" t="s">
        <v>2091</v>
      </c>
      <c r="BA130" s="160" t="str">
        <f>I130</f>
        <v>tache1</v>
      </c>
      <c r="BB130" s="360" t="s">
        <v>2091</v>
      </c>
      <c r="BC130" s="160" t="str">
        <f>J130</f>
        <v>Vitale</v>
      </c>
      <c r="BD130" s="360" t="s">
        <v>2091</v>
      </c>
      <c r="BE130" s="160" t="str">
        <f>K130</f>
        <v>Terminer</v>
      </c>
      <c r="BF130" s="360" t="s">
        <v>2091</v>
      </c>
      <c r="BG130" s="160" t="str">
        <f>L130</f>
        <v>Initialisation</v>
      </c>
      <c r="BH130" s="360" t="s">
        <v>2091</v>
      </c>
      <c r="BI130" s="371" t="str">
        <f ca="1">IF(AND(M130&lt;=TODAY(),M130&lt;&gt;""),TEXT(M130,"aaaa/mm/jj"),"")</f>
        <v>2022/12/10</v>
      </c>
      <c r="BJ130" s="360" t="s">
        <v>2091</v>
      </c>
      <c r="BK130" s="329" t="str">
        <f ca="1">IF(AND(N130&lt;=TODAY(),N130&lt;&gt;""),TEXT(N130,"aaaa/mm/jj"),"")</f>
        <v>2023/01/02</v>
      </c>
      <c r="BL130" s="360" t="s">
        <v>2091</v>
      </c>
      <c r="BM130" s="329" t="str">
        <f ca="1">IF(AND(O130&lt;=TODAY(),O130&lt;&gt;""),TEXT(O130,"aaaa/mm/jj"),"")</f>
        <v>2023/01/02</v>
      </c>
      <c r="BN130" s="360" t="s">
        <v>2091</v>
      </c>
      <c r="BO130" s="329" t="str">
        <f ca="1">IF(AND(P130&lt;=TODAY(),P130&lt;&gt;""),TEXT(P130,"aaaa/mm/jj"),"")</f>
        <v>2023/01/02</v>
      </c>
      <c r="BP130" s="360" t="s">
        <v>2091</v>
      </c>
      <c r="BQ130" s="329" t="str">
        <f ca="1">IF(AND(Q130&lt;=TODAY(),Q130&lt;&gt;""),TEXT(Q130,"aaaa/mm/jj"),"")</f>
        <v>2023/01/02</v>
      </c>
      <c r="BR130" s="360" t="s">
        <v>2093</v>
      </c>
      <c r="BS130" s="160">
        <f>R130</f>
        <v>1</v>
      </c>
      <c r="BT130" s="160" t="s">
        <v>2021</v>
      </c>
      <c r="BU130" s="322" t="str">
        <f ca="1">T130&amp;U130&amp;V130&amp;W130&amp;X130&amp;Y130&amp;Z130&amp;AA130&amp;AB130&amp;AC130&amp;AD130&amp;AE130&amp;AF130&amp;AG130&amp;AH130&amp;AI130&amp;AJ130&amp;AK130&amp;AL130&amp;AM130&amp;AN130&amp;AO130&amp;AP130&amp;AQ130&amp;AR130&amp;AS130&amp;AV130&amp;AW130&amp;AX130&amp;AY130&amp;AZ130&amp;BA130&amp;BB130&amp;BC130&amp;BD130&amp;BE130&amp;BF130&amp;BG130&amp;BH130&amp;BI130&amp;BJ130&amp;BK130&amp;BL130&amp;BM130&amp;BN130&amp;BO130&amp;BP130&amp;BQ130&amp;BR130&amp;BS130&amp;BT130</f>
        <v>INSERT INTO TACHES(numTache,nameTache,descriptionTache,prioTache,stateTache,categoryTache,dateCreateTache,dateInProgressTache,dateToTestTache,dateEndThTache,dateEndRealTache,idProjet) VALUES ('1','tache1','tache1','Vitale','Terminer','Initialisation','2022/12/10','2023/01/02','2023/01/02','2023/01/02','2023/01/02',1);</v>
      </c>
      <c r="BV130" s="322" t="s">
        <v>2377</v>
      </c>
    </row>
    <row r="131" spans="5:74" ht="20.05" customHeight="1" outlineLevel="1" thickBot="1" x14ac:dyDescent="0.35">
      <c r="F131" s="160">
        <f>F130+1</f>
        <v>2</v>
      </c>
      <c r="G131" s="160">
        <f>G130+1</f>
        <v>2</v>
      </c>
      <c r="H131" s="160" t="s">
        <v>2119</v>
      </c>
      <c r="I131" s="160" t="str">
        <f t="shared" si="90"/>
        <v>tache2</v>
      </c>
      <c r="J131" s="160" t="s">
        <v>1867</v>
      </c>
      <c r="K131" s="160" t="s">
        <v>2375</v>
      </c>
      <c r="L131" s="160" t="s">
        <v>1876</v>
      </c>
      <c r="M131" s="329">
        <v>44928</v>
      </c>
      <c r="N131" s="329">
        <v>44928</v>
      </c>
      <c r="O131" s="329">
        <v>44928</v>
      </c>
      <c r="P131" s="329">
        <v>44928</v>
      </c>
      <c r="Q131" s="329">
        <v>44928</v>
      </c>
      <c r="R131" s="160">
        <v>1</v>
      </c>
      <c r="S131" s="160">
        <f t="shared" ref="S131:S194" si="91">NETWORKDAYS(N131,Q131)+1</f>
        <v>2</v>
      </c>
      <c r="T131" s="160" t="s">
        <v>1922</v>
      </c>
      <c r="U131" s="322" t="str">
        <f t="shared" ref="U131:U194" si="92">U130</f>
        <v>TACHES</v>
      </c>
      <c r="V131" s="160" t="s">
        <v>2088</v>
      </c>
      <c r="W131" s="189" t="s">
        <v>355</v>
      </c>
      <c r="X131" s="360" t="s">
        <v>2020</v>
      </c>
      <c r="Y131" s="189" t="s">
        <v>337</v>
      </c>
      <c r="Z131" s="360" t="s">
        <v>2020</v>
      </c>
      <c r="AA131" s="189" t="s">
        <v>340</v>
      </c>
      <c r="AB131" s="360" t="s">
        <v>2020</v>
      </c>
      <c r="AC131" s="189" t="s">
        <v>266</v>
      </c>
      <c r="AD131" s="360" t="s">
        <v>2020</v>
      </c>
      <c r="AE131" s="189" t="s">
        <v>244</v>
      </c>
      <c r="AF131" s="360" t="s">
        <v>2020</v>
      </c>
      <c r="AG131" s="189" t="s">
        <v>296</v>
      </c>
      <c r="AH131" s="360" t="s">
        <v>2020</v>
      </c>
      <c r="AI131" s="189" t="s">
        <v>298</v>
      </c>
      <c r="AJ131" s="360" t="s">
        <v>2020</v>
      </c>
      <c r="AK131" s="189" t="s">
        <v>299</v>
      </c>
      <c r="AL131" s="360" t="s">
        <v>2020</v>
      </c>
      <c r="AM131" s="189" t="s">
        <v>300</v>
      </c>
      <c r="AN131" s="360" t="s">
        <v>2020</v>
      </c>
      <c r="AO131" s="189" t="s">
        <v>301</v>
      </c>
      <c r="AP131" s="360" t="s">
        <v>2020</v>
      </c>
      <c r="AQ131" s="192" t="s">
        <v>302</v>
      </c>
      <c r="AR131" s="360" t="s">
        <v>2020</v>
      </c>
      <c r="AS131" s="295" t="s">
        <v>287</v>
      </c>
      <c r="AT131" s="360"/>
      <c r="AU131" s="322"/>
      <c r="AV131" s="360" t="s">
        <v>2089</v>
      </c>
      <c r="AW131" s="160">
        <f t="shared" ref="AW131:AW194" si="93">G131</f>
        <v>2</v>
      </c>
      <c r="AX131" s="360" t="s">
        <v>2091</v>
      </c>
      <c r="AY131" s="160" t="str">
        <f t="shared" ref="AY131:AY194" si="94">H131</f>
        <v>tache2</v>
      </c>
      <c r="AZ131" s="360" t="s">
        <v>2091</v>
      </c>
      <c r="BA131" s="160" t="str">
        <f t="shared" ref="BA131:BA194" si="95">I131</f>
        <v>tache2</v>
      </c>
      <c r="BB131" s="360" t="s">
        <v>2091</v>
      </c>
      <c r="BC131" s="160" t="str">
        <f t="shared" ref="BC131:BC194" si="96">J131</f>
        <v>Vitale</v>
      </c>
      <c r="BD131" s="360" t="s">
        <v>2091</v>
      </c>
      <c r="BE131" s="160" t="str">
        <f t="shared" ref="BE131:BE194" si="97">K131</f>
        <v>Terminer</v>
      </c>
      <c r="BF131" s="360" t="s">
        <v>2091</v>
      </c>
      <c r="BG131" s="160" t="str">
        <f t="shared" ref="BG131:BG194" si="98">L131</f>
        <v>Initialisation</v>
      </c>
      <c r="BH131" s="360" t="s">
        <v>2091</v>
      </c>
      <c r="BI131" s="371" t="str">
        <f t="shared" ref="BI131:BI194" ca="1" si="99">IF(AND(M131&lt;=TODAY(),M131&lt;&gt;""),TEXT(M131,"aaaa/mm/jj"),"")</f>
        <v>2023/01/02</v>
      </c>
      <c r="BJ131" s="360" t="s">
        <v>2091</v>
      </c>
      <c r="BK131" s="329" t="str">
        <f t="shared" ref="BK131:BK194" ca="1" si="100">IF(AND(N131&lt;=TODAY(),N131&lt;&gt;""),TEXT(N131,"aaaa/mm/jj"),"")</f>
        <v>2023/01/02</v>
      </c>
      <c r="BL131" s="360" t="s">
        <v>2091</v>
      </c>
      <c r="BM131" s="329" t="str">
        <f t="shared" ref="BM131:BM194" ca="1" si="101">IF(AND(O131&lt;=TODAY(),O131&lt;&gt;""),TEXT(O131,"aaaa/mm/jj"),"")</f>
        <v>2023/01/02</v>
      </c>
      <c r="BN131" s="360" t="s">
        <v>2091</v>
      </c>
      <c r="BO131" s="329" t="str">
        <f t="shared" ref="BO131:BO194" ca="1" si="102">IF(AND(P131&lt;=TODAY(),P131&lt;&gt;""),TEXT(P131,"aaaa/mm/jj"),"")</f>
        <v>2023/01/02</v>
      </c>
      <c r="BP131" s="360" t="s">
        <v>2091</v>
      </c>
      <c r="BQ131" s="329" t="str">
        <f t="shared" ref="BQ131:BQ194" ca="1" si="103">IF(AND(Q131&lt;=TODAY(),Q131&lt;&gt;""),TEXT(Q131,"aaaa/mm/jj"),"")</f>
        <v>2023/01/02</v>
      </c>
      <c r="BR131" s="360" t="s">
        <v>2093</v>
      </c>
      <c r="BS131" s="160">
        <f t="shared" ref="BS131:BS194" si="104">R131</f>
        <v>1</v>
      </c>
      <c r="BT131" s="160" t="s">
        <v>2021</v>
      </c>
      <c r="BU131" s="322" t="str">
        <f t="shared" ref="BU131:BU194" ca="1" si="105">T131&amp;U131&amp;V131&amp;W131&amp;X131&amp;Y131&amp;Z131&amp;AA131&amp;AB131&amp;AC131&amp;AD131&amp;AE131&amp;AF131&amp;AG131&amp;AH131&amp;AI131&amp;AJ131&amp;AK131&amp;AL131&amp;AM131&amp;AN131&amp;AO131&amp;AP131&amp;AQ131&amp;AR131&amp;AS131&amp;AV131&amp;AW131&amp;AX131&amp;AY131&amp;AZ131&amp;BA131&amp;BB131&amp;BC131&amp;BD131&amp;BE131&amp;BF131&amp;BG131&amp;BH131&amp;BI131&amp;BJ131&amp;BK131&amp;BL131&amp;BM131&amp;BN131&amp;BO131&amp;BP131&amp;BQ131&amp;BR131&amp;BS131&amp;BT131</f>
        <v>INSERT INTO TACHES(numTache,nameTache,descriptionTache,prioTache,stateTache,categoryTache,dateCreateTache,dateInProgressTache,dateToTestTache,dateEndThTache,dateEndRealTache,idProjet) VALUES ('2','tache2','tache2','Vitale','Terminer','Initialisation','2023/01/02','2023/01/02','2023/01/02','2023/01/02','2023/01/02',1);</v>
      </c>
      <c r="BV131" s="322" t="s">
        <v>2378</v>
      </c>
    </row>
    <row r="132" spans="5:74" ht="20.05" customHeight="1" outlineLevel="1" thickBot="1" x14ac:dyDescent="0.35">
      <c r="F132" s="160">
        <f t="shared" ref="F132:G147" si="106">F131+1</f>
        <v>3</v>
      </c>
      <c r="G132" s="160">
        <f t="shared" si="106"/>
        <v>3</v>
      </c>
      <c r="H132" s="160" t="s">
        <v>2120</v>
      </c>
      <c r="I132" s="160" t="str">
        <f t="shared" si="90"/>
        <v>tache3</v>
      </c>
      <c r="J132" s="160" t="s">
        <v>1867</v>
      </c>
      <c r="K132" s="160" t="s">
        <v>2375</v>
      </c>
      <c r="L132" s="160" t="s">
        <v>1877</v>
      </c>
      <c r="M132" s="329">
        <v>44928</v>
      </c>
      <c r="N132" s="329">
        <v>44928</v>
      </c>
      <c r="O132" s="329">
        <v>44928</v>
      </c>
      <c r="P132" s="329">
        <v>44928</v>
      </c>
      <c r="Q132" s="329">
        <v>44928</v>
      </c>
      <c r="R132" s="160">
        <v>1</v>
      </c>
      <c r="S132" s="160">
        <f t="shared" si="91"/>
        <v>2</v>
      </c>
      <c r="T132" s="160" t="s">
        <v>1922</v>
      </c>
      <c r="U132" s="322" t="str">
        <f t="shared" si="92"/>
        <v>TACHES</v>
      </c>
      <c r="V132" s="160" t="s">
        <v>2088</v>
      </c>
      <c r="W132" s="189" t="s">
        <v>355</v>
      </c>
      <c r="X132" s="360" t="s">
        <v>2020</v>
      </c>
      <c r="Y132" s="189" t="s">
        <v>337</v>
      </c>
      <c r="Z132" s="360" t="s">
        <v>2020</v>
      </c>
      <c r="AA132" s="189" t="s">
        <v>340</v>
      </c>
      <c r="AB132" s="360" t="s">
        <v>2020</v>
      </c>
      <c r="AC132" s="189" t="s">
        <v>266</v>
      </c>
      <c r="AD132" s="360" t="s">
        <v>2020</v>
      </c>
      <c r="AE132" s="189" t="s">
        <v>244</v>
      </c>
      <c r="AF132" s="360" t="s">
        <v>2020</v>
      </c>
      <c r="AG132" s="189" t="s">
        <v>296</v>
      </c>
      <c r="AH132" s="360" t="s">
        <v>2020</v>
      </c>
      <c r="AI132" s="189" t="s">
        <v>298</v>
      </c>
      <c r="AJ132" s="360" t="s">
        <v>2020</v>
      </c>
      <c r="AK132" s="189" t="s">
        <v>299</v>
      </c>
      <c r="AL132" s="360" t="s">
        <v>2020</v>
      </c>
      <c r="AM132" s="189" t="s">
        <v>300</v>
      </c>
      <c r="AN132" s="360" t="s">
        <v>2020</v>
      </c>
      <c r="AO132" s="189" t="s">
        <v>301</v>
      </c>
      <c r="AP132" s="360" t="s">
        <v>2020</v>
      </c>
      <c r="AQ132" s="192" t="s">
        <v>302</v>
      </c>
      <c r="AR132" s="360" t="s">
        <v>2020</v>
      </c>
      <c r="AS132" s="295" t="s">
        <v>287</v>
      </c>
      <c r="AT132" s="360"/>
      <c r="AU132" s="322"/>
      <c r="AV132" s="360" t="s">
        <v>2089</v>
      </c>
      <c r="AW132" s="160">
        <f t="shared" si="93"/>
        <v>3</v>
      </c>
      <c r="AX132" s="360" t="s">
        <v>2091</v>
      </c>
      <c r="AY132" s="160" t="str">
        <f t="shared" si="94"/>
        <v>tache3</v>
      </c>
      <c r="AZ132" s="360" t="s">
        <v>2091</v>
      </c>
      <c r="BA132" s="160" t="str">
        <f t="shared" si="95"/>
        <v>tache3</v>
      </c>
      <c r="BB132" s="360" t="s">
        <v>2091</v>
      </c>
      <c r="BC132" s="160" t="str">
        <f t="shared" si="96"/>
        <v>Vitale</v>
      </c>
      <c r="BD132" s="360" t="s">
        <v>2091</v>
      </c>
      <c r="BE132" s="160" t="str">
        <f t="shared" si="97"/>
        <v>Terminer</v>
      </c>
      <c r="BF132" s="360" t="s">
        <v>2091</v>
      </c>
      <c r="BG132" s="160" t="str">
        <f t="shared" si="98"/>
        <v>Analyse</v>
      </c>
      <c r="BH132" s="360" t="s">
        <v>2091</v>
      </c>
      <c r="BI132" s="371" t="str">
        <f t="shared" ca="1" si="99"/>
        <v>2023/01/02</v>
      </c>
      <c r="BJ132" s="360" t="s">
        <v>2091</v>
      </c>
      <c r="BK132" s="329" t="str">
        <f t="shared" ca="1" si="100"/>
        <v>2023/01/02</v>
      </c>
      <c r="BL132" s="360" t="s">
        <v>2091</v>
      </c>
      <c r="BM132" s="329" t="str">
        <f t="shared" ca="1" si="101"/>
        <v>2023/01/02</v>
      </c>
      <c r="BN132" s="360" t="s">
        <v>2091</v>
      </c>
      <c r="BO132" s="329" t="str">
        <f t="shared" ca="1" si="102"/>
        <v>2023/01/02</v>
      </c>
      <c r="BP132" s="360" t="s">
        <v>2091</v>
      </c>
      <c r="BQ132" s="329" t="str">
        <f t="shared" ca="1" si="103"/>
        <v>2023/01/02</v>
      </c>
      <c r="BR132" s="360" t="s">
        <v>2093</v>
      </c>
      <c r="BS132" s="160">
        <f t="shared" si="104"/>
        <v>1</v>
      </c>
      <c r="BT132" s="160" t="s">
        <v>2021</v>
      </c>
      <c r="BU132" s="322" t="str">
        <f t="shared" ca="1" si="105"/>
        <v>INSERT INTO TACHES(numTache,nameTache,descriptionTache,prioTache,stateTache,categoryTache,dateCreateTache,dateInProgressTache,dateToTestTache,dateEndThTache,dateEndRealTache,idProjet) VALUES ('3','tache3','tache3','Vitale','Terminer','Analyse','2023/01/02','2023/01/02','2023/01/02','2023/01/02','2023/01/02',1);</v>
      </c>
      <c r="BV132" s="322" t="s">
        <v>2379</v>
      </c>
    </row>
    <row r="133" spans="5:74" ht="20.05" customHeight="1" outlineLevel="1" thickBot="1" x14ac:dyDescent="0.35">
      <c r="F133" s="160">
        <f t="shared" si="106"/>
        <v>4</v>
      </c>
      <c r="G133" s="160">
        <f t="shared" si="106"/>
        <v>4</v>
      </c>
      <c r="H133" s="160" t="s">
        <v>2121</v>
      </c>
      <c r="I133" s="160" t="str">
        <f t="shared" si="90"/>
        <v>tache4</v>
      </c>
      <c r="J133" s="160" t="s">
        <v>1867</v>
      </c>
      <c r="K133" s="160" t="s">
        <v>2375</v>
      </c>
      <c r="L133" s="160" t="s">
        <v>1877</v>
      </c>
      <c r="M133" s="329">
        <v>44929</v>
      </c>
      <c r="N133" s="329">
        <v>44929</v>
      </c>
      <c r="O133" s="329">
        <v>44929</v>
      </c>
      <c r="P133" s="329">
        <v>44929</v>
      </c>
      <c r="Q133" s="329">
        <v>44929</v>
      </c>
      <c r="R133" s="160">
        <v>1</v>
      </c>
      <c r="S133" s="160">
        <f t="shared" si="91"/>
        <v>2</v>
      </c>
      <c r="T133" s="160" t="s">
        <v>1922</v>
      </c>
      <c r="U133" s="322" t="str">
        <f t="shared" si="92"/>
        <v>TACHES</v>
      </c>
      <c r="V133" s="160" t="s">
        <v>2088</v>
      </c>
      <c r="W133" s="189" t="s">
        <v>355</v>
      </c>
      <c r="X133" s="360" t="s">
        <v>2020</v>
      </c>
      <c r="Y133" s="189" t="s">
        <v>337</v>
      </c>
      <c r="Z133" s="360" t="s">
        <v>2020</v>
      </c>
      <c r="AA133" s="189" t="s">
        <v>340</v>
      </c>
      <c r="AB133" s="360" t="s">
        <v>2020</v>
      </c>
      <c r="AC133" s="189" t="s">
        <v>266</v>
      </c>
      <c r="AD133" s="360" t="s">
        <v>2020</v>
      </c>
      <c r="AE133" s="189" t="s">
        <v>244</v>
      </c>
      <c r="AF133" s="360" t="s">
        <v>2020</v>
      </c>
      <c r="AG133" s="189" t="s">
        <v>296</v>
      </c>
      <c r="AH133" s="360" t="s">
        <v>2020</v>
      </c>
      <c r="AI133" s="189" t="s">
        <v>298</v>
      </c>
      <c r="AJ133" s="360" t="s">
        <v>2020</v>
      </c>
      <c r="AK133" s="189" t="s">
        <v>299</v>
      </c>
      <c r="AL133" s="360" t="s">
        <v>2020</v>
      </c>
      <c r="AM133" s="189" t="s">
        <v>300</v>
      </c>
      <c r="AN133" s="360" t="s">
        <v>2020</v>
      </c>
      <c r="AO133" s="189" t="s">
        <v>301</v>
      </c>
      <c r="AP133" s="360" t="s">
        <v>2020</v>
      </c>
      <c r="AQ133" s="192" t="s">
        <v>302</v>
      </c>
      <c r="AR133" s="360" t="s">
        <v>2020</v>
      </c>
      <c r="AS133" s="295" t="s">
        <v>287</v>
      </c>
      <c r="AT133" s="360"/>
      <c r="AU133" s="322"/>
      <c r="AV133" s="360" t="s">
        <v>2089</v>
      </c>
      <c r="AW133" s="160">
        <f t="shared" si="93"/>
        <v>4</v>
      </c>
      <c r="AX133" s="360" t="s">
        <v>2091</v>
      </c>
      <c r="AY133" s="160" t="str">
        <f t="shared" si="94"/>
        <v>tache4</v>
      </c>
      <c r="AZ133" s="360" t="s">
        <v>2091</v>
      </c>
      <c r="BA133" s="160" t="str">
        <f t="shared" si="95"/>
        <v>tache4</v>
      </c>
      <c r="BB133" s="360" t="s">
        <v>2091</v>
      </c>
      <c r="BC133" s="160" t="str">
        <f t="shared" si="96"/>
        <v>Vitale</v>
      </c>
      <c r="BD133" s="360" t="s">
        <v>2091</v>
      </c>
      <c r="BE133" s="160" t="str">
        <f t="shared" si="97"/>
        <v>Terminer</v>
      </c>
      <c r="BF133" s="360" t="s">
        <v>2091</v>
      </c>
      <c r="BG133" s="160" t="str">
        <f t="shared" si="98"/>
        <v>Analyse</v>
      </c>
      <c r="BH133" s="360" t="s">
        <v>2091</v>
      </c>
      <c r="BI133" s="371" t="str">
        <f t="shared" ca="1" si="99"/>
        <v>2023/01/03</v>
      </c>
      <c r="BJ133" s="360" t="s">
        <v>2091</v>
      </c>
      <c r="BK133" s="329" t="str">
        <f t="shared" ca="1" si="100"/>
        <v>2023/01/03</v>
      </c>
      <c r="BL133" s="360" t="s">
        <v>2091</v>
      </c>
      <c r="BM133" s="329" t="str">
        <f t="shared" ca="1" si="101"/>
        <v>2023/01/03</v>
      </c>
      <c r="BN133" s="360" t="s">
        <v>2091</v>
      </c>
      <c r="BO133" s="329" t="str">
        <f t="shared" ca="1" si="102"/>
        <v>2023/01/03</v>
      </c>
      <c r="BP133" s="360" t="s">
        <v>2091</v>
      </c>
      <c r="BQ133" s="329" t="str">
        <f t="shared" ca="1" si="103"/>
        <v>2023/01/03</v>
      </c>
      <c r="BR133" s="360" t="s">
        <v>2093</v>
      </c>
      <c r="BS133" s="160">
        <f t="shared" si="104"/>
        <v>1</v>
      </c>
      <c r="BT133" s="160" t="s">
        <v>2021</v>
      </c>
      <c r="BU133" s="322" t="str">
        <f t="shared" ca="1" si="105"/>
        <v>INSERT INTO TACHES(numTache,nameTache,descriptionTache,prioTache,stateTache,categoryTache,dateCreateTache,dateInProgressTache,dateToTestTache,dateEndThTache,dateEndRealTache,idProjet) VALUES ('4','tache4','tache4','Vitale','Terminer','Analyse','2023/01/03','2023/01/03','2023/01/03','2023/01/03','2023/01/03',1);</v>
      </c>
      <c r="BV133" s="322" t="s">
        <v>2380</v>
      </c>
    </row>
    <row r="134" spans="5:74" ht="78.3" customHeight="1" outlineLevel="1" thickBot="1" x14ac:dyDescent="0.35">
      <c r="F134" s="160">
        <f t="shared" si="106"/>
        <v>5</v>
      </c>
      <c r="G134" s="160">
        <f t="shared" si="106"/>
        <v>5</v>
      </c>
      <c r="H134" s="160" t="s">
        <v>2122</v>
      </c>
      <c r="I134" s="160" t="str">
        <f t="shared" si="90"/>
        <v>tache5</v>
      </c>
      <c r="J134" s="160" t="s">
        <v>1867</v>
      </c>
      <c r="K134" s="160" t="s">
        <v>2375</v>
      </c>
      <c r="L134" s="160" t="s">
        <v>1878</v>
      </c>
      <c r="M134" s="329">
        <v>44929</v>
      </c>
      <c r="N134" s="329">
        <v>44929</v>
      </c>
      <c r="O134" s="329">
        <v>44929</v>
      </c>
      <c r="P134" s="329">
        <v>44930</v>
      </c>
      <c r="Q134" s="329">
        <v>44930</v>
      </c>
      <c r="R134" s="160">
        <v>1</v>
      </c>
      <c r="S134" s="160">
        <f t="shared" si="91"/>
        <v>3</v>
      </c>
      <c r="T134" s="160" t="s">
        <v>1922</v>
      </c>
      <c r="U134" s="322" t="str">
        <f t="shared" si="92"/>
        <v>TACHES</v>
      </c>
      <c r="V134" s="160" t="s">
        <v>2088</v>
      </c>
      <c r="W134" s="189" t="s">
        <v>355</v>
      </c>
      <c r="X134" s="360" t="s">
        <v>2020</v>
      </c>
      <c r="Y134" s="189" t="s">
        <v>337</v>
      </c>
      <c r="Z134" s="360" t="s">
        <v>2020</v>
      </c>
      <c r="AA134" s="189" t="s">
        <v>340</v>
      </c>
      <c r="AB134" s="360" t="s">
        <v>2020</v>
      </c>
      <c r="AC134" s="189" t="s">
        <v>266</v>
      </c>
      <c r="AD134" s="360" t="s">
        <v>2020</v>
      </c>
      <c r="AE134" s="189" t="s">
        <v>244</v>
      </c>
      <c r="AF134" s="360" t="s">
        <v>2020</v>
      </c>
      <c r="AG134" s="189" t="s">
        <v>296</v>
      </c>
      <c r="AH134" s="360" t="s">
        <v>2020</v>
      </c>
      <c r="AI134" s="189" t="s">
        <v>298</v>
      </c>
      <c r="AJ134" s="360" t="s">
        <v>2020</v>
      </c>
      <c r="AK134" s="189" t="s">
        <v>299</v>
      </c>
      <c r="AL134" s="360" t="s">
        <v>2020</v>
      </c>
      <c r="AM134" s="189" t="s">
        <v>300</v>
      </c>
      <c r="AN134" s="360" t="s">
        <v>2020</v>
      </c>
      <c r="AO134" s="189" t="s">
        <v>301</v>
      </c>
      <c r="AP134" s="360" t="s">
        <v>2020</v>
      </c>
      <c r="AQ134" s="192" t="s">
        <v>302</v>
      </c>
      <c r="AR134" s="360" t="s">
        <v>2020</v>
      </c>
      <c r="AS134" s="295" t="s">
        <v>287</v>
      </c>
      <c r="AT134" s="360"/>
      <c r="AU134" s="322"/>
      <c r="AV134" s="360" t="s">
        <v>2089</v>
      </c>
      <c r="AW134" s="160">
        <f t="shared" si="93"/>
        <v>5</v>
      </c>
      <c r="AX134" s="360" t="s">
        <v>2091</v>
      </c>
      <c r="AY134" s="160" t="str">
        <f t="shared" si="94"/>
        <v>tache5</v>
      </c>
      <c r="AZ134" s="360" t="s">
        <v>2091</v>
      </c>
      <c r="BA134" s="160" t="str">
        <f t="shared" si="95"/>
        <v>tache5</v>
      </c>
      <c r="BB134" s="360" t="s">
        <v>2091</v>
      </c>
      <c r="BC134" s="160" t="str">
        <f t="shared" si="96"/>
        <v>Vitale</v>
      </c>
      <c r="BD134" s="360" t="s">
        <v>2091</v>
      </c>
      <c r="BE134" s="160" t="str">
        <f t="shared" si="97"/>
        <v>Terminer</v>
      </c>
      <c r="BF134" s="360" t="s">
        <v>2091</v>
      </c>
      <c r="BG134" s="160" t="str">
        <f t="shared" si="98"/>
        <v>Conception</v>
      </c>
      <c r="BH134" s="360" t="s">
        <v>2091</v>
      </c>
      <c r="BI134" s="371" t="str">
        <f t="shared" ca="1" si="99"/>
        <v>2023/01/03</v>
      </c>
      <c r="BJ134" s="360" t="s">
        <v>2091</v>
      </c>
      <c r="BK134" s="329" t="str">
        <f t="shared" ca="1" si="100"/>
        <v>2023/01/03</v>
      </c>
      <c r="BL134" s="360" t="s">
        <v>2091</v>
      </c>
      <c r="BM134" s="329" t="str">
        <f t="shared" ca="1" si="101"/>
        <v>2023/01/03</v>
      </c>
      <c r="BN134" s="360" t="s">
        <v>2091</v>
      </c>
      <c r="BO134" s="329" t="str">
        <f t="shared" ca="1" si="102"/>
        <v>2023/01/04</v>
      </c>
      <c r="BP134" s="360" t="s">
        <v>2091</v>
      </c>
      <c r="BQ134" s="329" t="str">
        <f t="shared" ca="1" si="103"/>
        <v>2023/01/04</v>
      </c>
      <c r="BR134" s="360" t="s">
        <v>2093</v>
      </c>
      <c r="BS134" s="160">
        <f t="shared" si="104"/>
        <v>1</v>
      </c>
      <c r="BT134" s="160" t="s">
        <v>2021</v>
      </c>
      <c r="BU134" s="322" t="str">
        <f t="shared" ca="1" si="105"/>
        <v>INSERT INTO TACHES(numTache,nameTache,descriptionTache,prioTache,stateTache,categoryTache,dateCreateTache,dateInProgressTache,dateToTestTache,dateEndThTache,dateEndRealTache,idProjet) VALUES ('5','tache5','tache5','Vitale','Terminer','Conception','2023/01/03','2023/01/03','2023/01/03','2023/01/04','2023/01/04',1);</v>
      </c>
      <c r="BV134" s="322" t="s">
        <v>2381</v>
      </c>
    </row>
    <row r="135" spans="5:74" ht="90.35" customHeight="1" outlineLevel="1" thickBot="1" x14ac:dyDescent="0.35">
      <c r="F135" s="160">
        <f t="shared" si="106"/>
        <v>6</v>
      </c>
      <c r="G135" s="160">
        <f t="shared" si="106"/>
        <v>6</v>
      </c>
      <c r="H135" s="160" t="s">
        <v>2123</v>
      </c>
      <c r="I135" s="160" t="str">
        <f t="shared" si="90"/>
        <v>tache6</v>
      </c>
      <c r="J135" s="160" t="s">
        <v>1867</v>
      </c>
      <c r="K135" s="160" t="s">
        <v>2375</v>
      </c>
      <c r="L135" s="160" t="s">
        <v>1879</v>
      </c>
      <c r="M135" s="329">
        <v>44931</v>
      </c>
      <c r="N135" s="329">
        <v>44931</v>
      </c>
      <c r="O135" s="329">
        <v>44931</v>
      </c>
      <c r="P135" s="329">
        <v>44931</v>
      </c>
      <c r="Q135" s="329">
        <v>44931</v>
      </c>
      <c r="R135" s="160">
        <v>1</v>
      </c>
      <c r="S135" s="160">
        <f t="shared" si="91"/>
        <v>2</v>
      </c>
      <c r="T135" s="160" t="s">
        <v>1922</v>
      </c>
      <c r="U135" s="322" t="str">
        <f t="shared" si="92"/>
        <v>TACHES</v>
      </c>
      <c r="V135" s="160" t="s">
        <v>2088</v>
      </c>
      <c r="W135" s="189" t="s">
        <v>355</v>
      </c>
      <c r="X135" s="360" t="s">
        <v>2020</v>
      </c>
      <c r="Y135" s="189" t="s">
        <v>337</v>
      </c>
      <c r="Z135" s="360" t="s">
        <v>2020</v>
      </c>
      <c r="AA135" s="189" t="s">
        <v>340</v>
      </c>
      <c r="AB135" s="360" t="s">
        <v>2020</v>
      </c>
      <c r="AC135" s="189" t="s">
        <v>266</v>
      </c>
      <c r="AD135" s="360" t="s">
        <v>2020</v>
      </c>
      <c r="AE135" s="189" t="s">
        <v>244</v>
      </c>
      <c r="AF135" s="360" t="s">
        <v>2020</v>
      </c>
      <c r="AG135" s="189" t="s">
        <v>296</v>
      </c>
      <c r="AH135" s="360" t="s">
        <v>2020</v>
      </c>
      <c r="AI135" s="189" t="s">
        <v>298</v>
      </c>
      <c r="AJ135" s="360" t="s">
        <v>2020</v>
      </c>
      <c r="AK135" s="189" t="s">
        <v>299</v>
      </c>
      <c r="AL135" s="360" t="s">
        <v>2020</v>
      </c>
      <c r="AM135" s="189" t="s">
        <v>300</v>
      </c>
      <c r="AN135" s="360" t="s">
        <v>2020</v>
      </c>
      <c r="AO135" s="189" t="s">
        <v>301</v>
      </c>
      <c r="AP135" s="360" t="s">
        <v>2020</v>
      </c>
      <c r="AQ135" s="192" t="s">
        <v>302</v>
      </c>
      <c r="AR135" s="360" t="s">
        <v>2020</v>
      </c>
      <c r="AS135" s="295" t="s">
        <v>287</v>
      </c>
      <c r="AT135" s="360"/>
      <c r="AU135" s="322"/>
      <c r="AV135" s="360" t="s">
        <v>2089</v>
      </c>
      <c r="AW135" s="160">
        <f t="shared" si="93"/>
        <v>6</v>
      </c>
      <c r="AX135" s="360" t="s">
        <v>2091</v>
      </c>
      <c r="AY135" s="160" t="str">
        <f t="shared" si="94"/>
        <v>tache6</v>
      </c>
      <c r="AZ135" s="360" t="s">
        <v>2091</v>
      </c>
      <c r="BA135" s="160" t="str">
        <f t="shared" si="95"/>
        <v>tache6</v>
      </c>
      <c r="BB135" s="360" t="s">
        <v>2091</v>
      </c>
      <c r="BC135" s="160" t="str">
        <f t="shared" si="96"/>
        <v>Vitale</v>
      </c>
      <c r="BD135" s="360" t="s">
        <v>2091</v>
      </c>
      <c r="BE135" s="160" t="str">
        <f t="shared" si="97"/>
        <v>Terminer</v>
      </c>
      <c r="BF135" s="360" t="s">
        <v>2091</v>
      </c>
      <c r="BG135" s="160" t="str">
        <f t="shared" si="98"/>
        <v>Realisation</v>
      </c>
      <c r="BH135" s="360" t="s">
        <v>2091</v>
      </c>
      <c r="BI135" s="371" t="str">
        <f t="shared" ca="1" si="99"/>
        <v>2023/01/05</v>
      </c>
      <c r="BJ135" s="360" t="s">
        <v>2091</v>
      </c>
      <c r="BK135" s="329" t="str">
        <f t="shared" ca="1" si="100"/>
        <v>2023/01/05</v>
      </c>
      <c r="BL135" s="360" t="s">
        <v>2091</v>
      </c>
      <c r="BM135" s="329" t="str">
        <f t="shared" ca="1" si="101"/>
        <v>2023/01/05</v>
      </c>
      <c r="BN135" s="360" t="s">
        <v>2091</v>
      </c>
      <c r="BO135" s="329" t="str">
        <f t="shared" ca="1" si="102"/>
        <v>2023/01/05</v>
      </c>
      <c r="BP135" s="360" t="s">
        <v>2091</v>
      </c>
      <c r="BQ135" s="329" t="str">
        <f t="shared" ca="1" si="103"/>
        <v>2023/01/05</v>
      </c>
      <c r="BR135" s="360" t="s">
        <v>2093</v>
      </c>
      <c r="BS135" s="160">
        <f t="shared" si="104"/>
        <v>1</v>
      </c>
      <c r="BT135" s="160" t="s">
        <v>2021</v>
      </c>
      <c r="BU135" s="322" t="str">
        <f t="shared" ca="1" si="105"/>
        <v>INSERT INTO TACHES(numTache,nameTache,descriptionTache,prioTache,stateTache,categoryTache,dateCreateTache,dateInProgressTache,dateToTestTache,dateEndThTache,dateEndRealTache,idProjet) VALUES ('6','tache6','tache6','Vitale','Terminer','Realisation','2023/01/05','2023/01/05','2023/01/05','2023/01/05','2023/01/05',1);</v>
      </c>
      <c r="BV135" s="322" t="s">
        <v>2382</v>
      </c>
    </row>
    <row r="136" spans="5:74" ht="90.35" customHeight="1" outlineLevel="1" thickBot="1" x14ac:dyDescent="0.35">
      <c r="F136" s="160">
        <f t="shared" si="106"/>
        <v>7</v>
      </c>
      <c r="G136" s="160">
        <f t="shared" si="106"/>
        <v>7</v>
      </c>
      <c r="H136" s="160" t="s">
        <v>2124</v>
      </c>
      <c r="I136" s="160" t="str">
        <f t="shared" si="90"/>
        <v>tache7</v>
      </c>
      <c r="J136" s="160" t="s">
        <v>1867</v>
      </c>
      <c r="K136" s="160" t="s">
        <v>2375</v>
      </c>
      <c r="L136" s="160" t="s">
        <v>1879</v>
      </c>
      <c r="M136" s="329">
        <v>44932</v>
      </c>
      <c r="N136" s="329">
        <v>44932</v>
      </c>
      <c r="O136" s="329">
        <v>44932</v>
      </c>
      <c r="P136" s="329">
        <v>44932</v>
      </c>
      <c r="Q136" s="329">
        <v>44932</v>
      </c>
      <c r="R136" s="160">
        <v>1</v>
      </c>
      <c r="S136" s="160">
        <f t="shared" si="91"/>
        <v>2</v>
      </c>
      <c r="T136" s="160" t="s">
        <v>1922</v>
      </c>
      <c r="U136" s="322" t="str">
        <f t="shared" si="92"/>
        <v>TACHES</v>
      </c>
      <c r="V136" s="160" t="s">
        <v>2088</v>
      </c>
      <c r="W136" s="189" t="s">
        <v>355</v>
      </c>
      <c r="X136" s="360" t="s">
        <v>2020</v>
      </c>
      <c r="Y136" s="189" t="s">
        <v>337</v>
      </c>
      <c r="Z136" s="360" t="s">
        <v>2020</v>
      </c>
      <c r="AA136" s="189" t="s">
        <v>340</v>
      </c>
      <c r="AB136" s="360" t="s">
        <v>2020</v>
      </c>
      <c r="AC136" s="189" t="s">
        <v>266</v>
      </c>
      <c r="AD136" s="360" t="s">
        <v>2020</v>
      </c>
      <c r="AE136" s="189" t="s">
        <v>244</v>
      </c>
      <c r="AF136" s="360" t="s">
        <v>2020</v>
      </c>
      <c r="AG136" s="189" t="s">
        <v>296</v>
      </c>
      <c r="AH136" s="360" t="s">
        <v>2020</v>
      </c>
      <c r="AI136" s="189" t="s">
        <v>298</v>
      </c>
      <c r="AJ136" s="360" t="s">
        <v>2020</v>
      </c>
      <c r="AK136" s="189" t="s">
        <v>299</v>
      </c>
      <c r="AL136" s="360" t="s">
        <v>2020</v>
      </c>
      <c r="AM136" s="189" t="s">
        <v>300</v>
      </c>
      <c r="AN136" s="360" t="s">
        <v>2020</v>
      </c>
      <c r="AO136" s="189" t="s">
        <v>301</v>
      </c>
      <c r="AP136" s="360" t="s">
        <v>2020</v>
      </c>
      <c r="AQ136" s="192" t="s">
        <v>302</v>
      </c>
      <c r="AR136" s="360" t="s">
        <v>2020</v>
      </c>
      <c r="AS136" s="295" t="s">
        <v>287</v>
      </c>
      <c r="AT136" s="360"/>
      <c r="AU136" s="322"/>
      <c r="AV136" s="360" t="s">
        <v>2089</v>
      </c>
      <c r="AW136" s="160">
        <f t="shared" si="93"/>
        <v>7</v>
      </c>
      <c r="AX136" s="360" t="s">
        <v>2091</v>
      </c>
      <c r="AY136" s="160" t="str">
        <f t="shared" si="94"/>
        <v>tache7</v>
      </c>
      <c r="AZ136" s="360" t="s">
        <v>2091</v>
      </c>
      <c r="BA136" s="160" t="str">
        <f t="shared" si="95"/>
        <v>tache7</v>
      </c>
      <c r="BB136" s="360" t="s">
        <v>2091</v>
      </c>
      <c r="BC136" s="160" t="str">
        <f t="shared" si="96"/>
        <v>Vitale</v>
      </c>
      <c r="BD136" s="360" t="s">
        <v>2091</v>
      </c>
      <c r="BE136" s="160" t="str">
        <f t="shared" si="97"/>
        <v>Terminer</v>
      </c>
      <c r="BF136" s="360" t="s">
        <v>2091</v>
      </c>
      <c r="BG136" s="160" t="str">
        <f t="shared" si="98"/>
        <v>Realisation</v>
      </c>
      <c r="BH136" s="360" t="s">
        <v>2091</v>
      </c>
      <c r="BI136" s="371" t="str">
        <f t="shared" ca="1" si="99"/>
        <v>2023/01/06</v>
      </c>
      <c r="BJ136" s="360" t="s">
        <v>2091</v>
      </c>
      <c r="BK136" s="329" t="str">
        <f t="shared" ca="1" si="100"/>
        <v>2023/01/06</v>
      </c>
      <c r="BL136" s="360" t="s">
        <v>2091</v>
      </c>
      <c r="BM136" s="329" t="str">
        <f t="shared" ca="1" si="101"/>
        <v>2023/01/06</v>
      </c>
      <c r="BN136" s="360" t="s">
        <v>2091</v>
      </c>
      <c r="BO136" s="329" t="str">
        <f t="shared" ca="1" si="102"/>
        <v>2023/01/06</v>
      </c>
      <c r="BP136" s="360" t="s">
        <v>2091</v>
      </c>
      <c r="BQ136" s="329" t="str">
        <f t="shared" ca="1" si="103"/>
        <v>2023/01/06</v>
      </c>
      <c r="BR136" s="360" t="s">
        <v>2093</v>
      </c>
      <c r="BS136" s="160">
        <f t="shared" si="104"/>
        <v>1</v>
      </c>
      <c r="BT136" s="160" t="s">
        <v>2021</v>
      </c>
      <c r="BU136" s="322" t="str">
        <f t="shared" ca="1" si="105"/>
        <v>INSERT INTO TACHES(numTache,nameTache,descriptionTache,prioTache,stateTache,categoryTache,dateCreateTache,dateInProgressTache,dateToTestTache,dateEndThTache,dateEndRealTache,idProjet) VALUES ('7','tache7','tache7','Vitale','Terminer','Realisation','2023/01/06','2023/01/06','2023/01/06','2023/01/06','2023/01/06',1);</v>
      </c>
      <c r="BV136" s="322" t="s">
        <v>2383</v>
      </c>
    </row>
    <row r="137" spans="5:74" ht="20.05" customHeight="1" outlineLevel="1" thickBot="1" x14ac:dyDescent="0.35">
      <c r="F137" s="160">
        <f t="shared" si="106"/>
        <v>8</v>
      </c>
      <c r="G137" s="160">
        <f t="shared" si="106"/>
        <v>8</v>
      </c>
      <c r="H137" s="160" t="s">
        <v>2125</v>
      </c>
      <c r="I137" s="160" t="str">
        <f t="shared" si="90"/>
        <v>tache8</v>
      </c>
      <c r="J137" s="160" t="s">
        <v>1869</v>
      </c>
      <c r="K137" s="160" t="s">
        <v>2375</v>
      </c>
      <c r="L137" s="160" t="s">
        <v>1879</v>
      </c>
      <c r="M137" s="329">
        <v>44939</v>
      </c>
      <c r="N137" s="329">
        <v>44939</v>
      </c>
      <c r="O137" s="329">
        <v>44939</v>
      </c>
      <c r="P137" s="329">
        <v>44939</v>
      </c>
      <c r="Q137" s="329">
        <v>44939</v>
      </c>
      <c r="R137" s="160">
        <v>1</v>
      </c>
      <c r="S137" s="160">
        <f t="shared" si="91"/>
        <v>2</v>
      </c>
      <c r="T137" s="160" t="s">
        <v>1922</v>
      </c>
      <c r="U137" s="322" t="str">
        <f t="shared" si="92"/>
        <v>TACHES</v>
      </c>
      <c r="V137" s="160" t="s">
        <v>2088</v>
      </c>
      <c r="W137" s="189" t="s">
        <v>355</v>
      </c>
      <c r="X137" s="360" t="s">
        <v>2020</v>
      </c>
      <c r="Y137" s="189" t="s">
        <v>337</v>
      </c>
      <c r="Z137" s="360" t="s">
        <v>2020</v>
      </c>
      <c r="AA137" s="189" t="s">
        <v>340</v>
      </c>
      <c r="AB137" s="360" t="s">
        <v>2020</v>
      </c>
      <c r="AC137" s="189" t="s">
        <v>266</v>
      </c>
      <c r="AD137" s="360" t="s">
        <v>2020</v>
      </c>
      <c r="AE137" s="189" t="s">
        <v>244</v>
      </c>
      <c r="AF137" s="360" t="s">
        <v>2020</v>
      </c>
      <c r="AG137" s="189" t="s">
        <v>296</v>
      </c>
      <c r="AH137" s="360" t="s">
        <v>2020</v>
      </c>
      <c r="AI137" s="189" t="s">
        <v>298</v>
      </c>
      <c r="AJ137" s="360" t="s">
        <v>2020</v>
      </c>
      <c r="AK137" s="189" t="s">
        <v>299</v>
      </c>
      <c r="AL137" s="360" t="s">
        <v>2020</v>
      </c>
      <c r="AM137" s="189" t="s">
        <v>300</v>
      </c>
      <c r="AN137" s="360" t="s">
        <v>2020</v>
      </c>
      <c r="AO137" s="189" t="s">
        <v>301</v>
      </c>
      <c r="AP137" s="360" t="s">
        <v>2020</v>
      </c>
      <c r="AQ137" s="192" t="s">
        <v>302</v>
      </c>
      <c r="AR137" s="360" t="s">
        <v>2020</v>
      </c>
      <c r="AS137" s="295" t="s">
        <v>287</v>
      </c>
      <c r="AT137" s="360"/>
      <c r="AU137" s="322"/>
      <c r="AV137" s="360" t="s">
        <v>2089</v>
      </c>
      <c r="AW137" s="160">
        <f t="shared" si="93"/>
        <v>8</v>
      </c>
      <c r="AX137" s="360" t="s">
        <v>2091</v>
      </c>
      <c r="AY137" s="160" t="str">
        <f t="shared" si="94"/>
        <v>tache8</v>
      </c>
      <c r="AZ137" s="360" t="s">
        <v>2091</v>
      </c>
      <c r="BA137" s="160" t="str">
        <f t="shared" si="95"/>
        <v>tache8</v>
      </c>
      <c r="BB137" s="360" t="s">
        <v>2091</v>
      </c>
      <c r="BC137" s="160" t="str">
        <f t="shared" si="96"/>
        <v>Utile</v>
      </c>
      <c r="BD137" s="360" t="s">
        <v>2091</v>
      </c>
      <c r="BE137" s="160" t="str">
        <f t="shared" si="97"/>
        <v>Terminer</v>
      </c>
      <c r="BF137" s="360" t="s">
        <v>2091</v>
      </c>
      <c r="BG137" s="160" t="str">
        <f t="shared" si="98"/>
        <v>Realisation</v>
      </c>
      <c r="BH137" s="360" t="s">
        <v>2091</v>
      </c>
      <c r="BI137" s="371" t="str">
        <f t="shared" ca="1" si="99"/>
        <v>2023/01/13</v>
      </c>
      <c r="BJ137" s="360" t="s">
        <v>2091</v>
      </c>
      <c r="BK137" s="329" t="str">
        <f t="shared" ca="1" si="100"/>
        <v>2023/01/13</v>
      </c>
      <c r="BL137" s="360" t="s">
        <v>2091</v>
      </c>
      <c r="BM137" s="329" t="str">
        <f t="shared" ca="1" si="101"/>
        <v>2023/01/13</v>
      </c>
      <c r="BN137" s="360" t="s">
        <v>2091</v>
      </c>
      <c r="BO137" s="329" t="str">
        <f t="shared" ca="1" si="102"/>
        <v>2023/01/13</v>
      </c>
      <c r="BP137" s="360" t="s">
        <v>2091</v>
      </c>
      <c r="BQ137" s="329" t="str">
        <f t="shared" ca="1" si="103"/>
        <v>2023/01/13</v>
      </c>
      <c r="BR137" s="360" t="s">
        <v>2093</v>
      </c>
      <c r="BS137" s="160">
        <f t="shared" si="104"/>
        <v>1</v>
      </c>
      <c r="BT137" s="160" t="s">
        <v>2021</v>
      </c>
      <c r="BU137" s="322" t="str">
        <f t="shared" ca="1" si="105"/>
        <v>INSERT INTO TACHES(numTache,nameTache,descriptionTache,prioTache,stateTache,categoryTache,dateCreateTache,dateInProgressTache,dateToTestTache,dateEndThTache,dateEndRealTache,idProjet) VALUES ('8','tache8','tache8','Utile','Terminer','Realisation','2023/01/13','2023/01/13','2023/01/13','2023/01/13','2023/01/13',1);</v>
      </c>
      <c r="BV137" s="322" t="s">
        <v>2384</v>
      </c>
    </row>
    <row r="138" spans="5:74" ht="20.05" customHeight="1" outlineLevel="1" thickBot="1" x14ac:dyDescent="0.35">
      <c r="F138" s="160">
        <f t="shared" si="106"/>
        <v>9</v>
      </c>
      <c r="G138" s="160">
        <f t="shared" si="106"/>
        <v>9</v>
      </c>
      <c r="H138" s="160" t="s">
        <v>2126</v>
      </c>
      <c r="I138" s="160" t="str">
        <f t="shared" si="90"/>
        <v>tache9</v>
      </c>
      <c r="J138" s="160" t="s">
        <v>1868</v>
      </c>
      <c r="K138" s="160" t="s">
        <v>2375</v>
      </c>
      <c r="L138" s="160" t="s">
        <v>1879</v>
      </c>
      <c r="M138" s="329">
        <v>44937</v>
      </c>
      <c r="N138" s="329">
        <v>44937</v>
      </c>
      <c r="O138" s="329">
        <v>44937</v>
      </c>
      <c r="P138" s="329">
        <v>44937</v>
      </c>
      <c r="Q138" s="329">
        <v>44937</v>
      </c>
      <c r="R138" s="160">
        <v>1</v>
      </c>
      <c r="S138" s="160">
        <f t="shared" si="91"/>
        <v>2</v>
      </c>
      <c r="T138" s="160" t="s">
        <v>1922</v>
      </c>
      <c r="U138" s="322" t="str">
        <f t="shared" si="92"/>
        <v>TACHES</v>
      </c>
      <c r="V138" s="160" t="s">
        <v>2088</v>
      </c>
      <c r="W138" s="189" t="s">
        <v>355</v>
      </c>
      <c r="X138" s="360" t="s">
        <v>2020</v>
      </c>
      <c r="Y138" s="189" t="s">
        <v>337</v>
      </c>
      <c r="Z138" s="360" t="s">
        <v>2020</v>
      </c>
      <c r="AA138" s="189" t="s">
        <v>340</v>
      </c>
      <c r="AB138" s="360" t="s">
        <v>2020</v>
      </c>
      <c r="AC138" s="189" t="s">
        <v>266</v>
      </c>
      <c r="AD138" s="360" t="s">
        <v>2020</v>
      </c>
      <c r="AE138" s="189" t="s">
        <v>244</v>
      </c>
      <c r="AF138" s="360" t="s">
        <v>2020</v>
      </c>
      <c r="AG138" s="189" t="s">
        <v>296</v>
      </c>
      <c r="AH138" s="360" t="s">
        <v>2020</v>
      </c>
      <c r="AI138" s="189" t="s">
        <v>298</v>
      </c>
      <c r="AJ138" s="360" t="s">
        <v>2020</v>
      </c>
      <c r="AK138" s="189" t="s">
        <v>299</v>
      </c>
      <c r="AL138" s="360" t="s">
        <v>2020</v>
      </c>
      <c r="AM138" s="189" t="s">
        <v>300</v>
      </c>
      <c r="AN138" s="360" t="s">
        <v>2020</v>
      </c>
      <c r="AO138" s="189" t="s">
        <v>301</v>
      </c>
      <c r="AP138" s="360" t="s">
        <v>2020</v>
      </c>
      <c r="AQ138" s="192" t="s">
        <v>302</v>
      </c>
      <c r="AR138" s="360" t="s">
        <v>2020</v>
      </c>
      <c r="AS138" s="295" t="s">
        <v>287</v>
      </c>
      <c r="AT138" s="360"/>
      <c r="AU138" s="322"/>
      <c r="AV138" s="360" t="s">
        <v>2089</v>
      </c>
      <c r="AW138" s="160">
        <f t="shared" si="93"/>
        <v>9</v>
      </c>
      <c r="AX138" s="360" t="s">
        <v>2091</v>
      </c>
      <c r="AY138" s="160" t="str">
        <f t="shared" si="94"/>
        <v>tache9</v>
      </c>
      <c r="AZ138" s="360" t="s">
        <v>2091</v>
      </c>
      <c r="BA138" s="160" t="str">
        <f t="shared" si="95"/>
        <v>tache9</v>
      </c>
      <c r="BB138" s="360" t="s">
        <v>2091</v>
      </c>
      <c r="BC138" s="160" t="str">
        <f t="shared" si="96"/>
        <v>Importante</v>
      </c>
      <c r="BD138" s="360" t="s">
        <v>2091</v>
      </c>
      <c r="BE138" s="160" t="str">
        <f t="shared" si="97"/>
        <v>Terminer</v>
      </c>
      <c r="BF138" s="360" t="s">
        <v>2091</v>
      </c>
      <c r="BG138" s="160" t="str">
        <f t="shared" si="98"/>
        <v>Realisation</v>
      </c>
      <c r="BH138" s="360" t="s">
        <v>2091</v>
      </c>
      <c r="BI138" s="371" t="str">
        <f t="shared" ca="1" si="99"/>
        <v>2023/01/11</v>
      </c>
      <c r="BJ138" s="360" t="s">
        <v>2091</v>
      </c>
      <c r="BK138" s="329" t="str">
        <f t="shared" ca="1" si="100"/>
        <v>2023/01/11</v>
      </c>
      <c r="BL138" s="360" t="s">
        <v>2091</v>
      </c>
      <c r="BM138" s="329" t="str">
        <f t="shared" ca="1" si="101"/>
        <v>2023/01/11</v>
      </c>
      <c r="BN138" s="360" t="s">
        <v>2091</v>
      </c>
      <c r="BO138" s="329" t="str">
        <f t="shared" ca="1" si="102"/>
        <v>2023/01/11</v>
      </c>
      <c r="BP138" s="360" t="s">
        <v>2091</v>
      </c>
      <c r="BQ138" s="329" t="str">
        <f t="shared" ca="1" si="103"/>
        <v>2023/01/11</v>
      </c>
      <c r="BR138" s="360" t="s">
        <v>2093</v>
      </c>
      <c r="BS138" s="160">
        <f t="shared" si="104"/>
        <v>1</v>
      </c>
      <c r="BT138" s="160" t="s">
        <v>2021</v>
      </c>
      <c r="BU138" s="322" t="str">
        <f t="shared" ca="1" si="105"/>
        <v>INSERT INTO TACHES(numTache,nameTache,descriptionTache,prioTache,stateTache,categoryTache,dateCreateTache,dateInProgressTache,dateToTestTache,dateEndThTache,dateEndRealTache,idProjet) VALUES ('9','tache9','tache9','Importante','Terminer','Realisation','2023/01/11','2023/01/11','2023/01/11','2023/01/11','2023/01/11',1);</v>
      </c>
      <c r="BV138" s="322" t="s">
        <v>2385</v>
      </c>
    </row>
    <row r="139" spans="5:74" ht="20.05" customHeight="1" outlineLevel="1" thickBot="1" x14ac:dyDescent="0.35">
      <c r="F139" s="160">
        <f t="shared" si="106"/>
        <v>10</v>
      </c>
      <c r="G139" s="160">
        <f t="shared" si="106"/>
        <v>10</v>
      </c>
      <c r="H139" s="160" t="s">
        <v>2127</v>
      </c>
      <c r="I139" s="160" t="str">
        <f t="shared" si="90"/>
        <v>tache10</v>
      </c>
      <c r="J139" s="160" t="s">
        <v>1867</v>
      </c>
      <c r="K139" s="160" t="s">
        <v>2375</v>
      </c>
      <c r="L139" s="160" t="s">
        <v>1879</v>
      </c>
      <c r="M139" s="329">
        <v>44933</v>
      </c>
      <c r="N139" s="329">
        <v>44933</v>
      </c>
      <c r="O139" s="329">
        <v>44933</v>
      </c>
      <c r="P139" s="329">
        <v>44933</v>
      </c>
      <c r="Q139" s="329">
        <v>44933</v>
      </c>
      <c r="R139" s="160">
        <v>1</v>
      </c>
      <c r="S139" s="160">
        <f t="shared" si="91"/>
        <v>1</v>
      </c>
      <c r="T139" s="160" t="s">
        <v>1922</v>
      </c>
      <c r="U139" s="322" t="str">
        <f t="shared" si="92"/>
        <v>TACHES</v>
      </c>
      <c r="V139" s="160" t="s">
        <v>2088</v>
      </c>
      <c r="W139" s="189" t="s">
        <v>355</v>
      </c>
      <c r="X139" s="360" t="s">
        <v>2020</v>
      </c>
      <c r="Y139" s="189" t="s">
        <v>337</v>
      </c>
      <c r="Z139" s="360" t="s">
        <v>2020</v>
      </c>
      <c r="AA139" s="189" t="s">
        <v>340</v>
      </c>
      <c r="AB139" s="360" t="s">
        <v>2020</v>
      </c>
      <c r="AC139" s="189" t="s">
        <v>266</v>
      </c>
      <c r="AD139" s="360" t="s">
        <v>2020</v>
      </c>
      <c r="AE139" s="189" t="s">
        <v>244</v>
      </c>
      <c r="AF139" s="360" t="s">
        <v>2020</v>
      </c>
      <c r="AG139" s="189" t="s">
        <v>296</v>
      </c>
      <c r="AH139" s="360" t="s">
        <v>2020</v>
      </c>
      <c r="AI139" s="189" t="s">
        <v>298</v>
      </c>
      <c r="AJ139" s="360" t="s">
        <v>2020</v>
      </c>
      <c r="AK139" s="189" t="s">
        <v>299</v>
      </c>
      <c r="AL139" s="360" t="s">
        <v>2020</v>
      </c>
      <c r="AM139" s="189" t="s">
        <v>300</v>
      </c>
      <c r="AN139" s="360" t="s">
        <v>2020</v>
      </c>
      <c r="AO139" s="189" t="s">
        <v>301</v>
      </c>
      <c r="AP139" s="360" t="s">
        <v>2020</v>
      </c>
      <c r="AQ139" s="192" t="s">
        <v>302</v>
      </c>
      <c r="AR139" s="360" t="s">
        <v>2020</v>
      </c>
      <c r="AS139" s="295" t="s">
        <v>287</v>
      </c>
      <c r="AT139" s="360"/>
      <c r="AU139" s="322"/>
      <c r="AV139" s="360" t="s">
        <v>2089</v>
      </c>
      <c r="AW139" s="160">
        <f t="shared" si="93"/>
        <v>10</v>
      </c>
      <c r="AX139" s="360" t="s">
        <v>2091</v>
      </c>
      <c r="AY139" s="160" t="str">
        <f t="shared" si="94"/>
        <v>tache10</v>
      </c>
      <c r="AZ139" s="360" t="s">
        <v>2091</v>
      </c>
      <c r="BA139" s="160" t="str">
        <f t="shared" si="95"/>
        <v>tache10</v>
      </c>
      <c r="BB139" s="360" t="s">
        <v>2091</v>
      </c>
      <c r="BC139" s="160" t="str">
        <f t="shared" si="96"/>
        <v>Vitale</v>
      </c>
      <c r="BD139" s="360" t="s">
        <v>2091</v>
      </c>
      <c r="BE139" s="160" t="str">
        <f t="shared" si="97"/>
        <v>Terminer</v>
      </c>
      <c r="BF139" s="360" t="s">
        <v>2091</v>
      </c>
      <c r="BG139" s="160" t="str">
        <f t="shared" si="98"/>
        <v>Realisation</v>
      </c>
      <c r="BH139" s="360" t="s">
        <v>2091</v>
      </c>
      <c r="BI139" s="371" t="str">
        <f t="shared" ca="1" si="99"/>
        <v>2023/01/07</v>
      </c>
      <c r="BJ139" s="360" t="s">
        <v>2091</v>
      </c>
      <c r="BK139" s="329" t="str">
        <f t="shared" ca="1" si="100"/>
        <v>2023/01/07</v>
      </c>
      <c r="BL139" s="360" t="s">
        <v>2091</v>
      </c>
      <c r="BM139" s="329" t="str">
        <f t="shared" ca="1" si="101"/>
        <v>2023/01/07</v>
      </c>
      <c r="BN139" s="360" t="s">
        <v>2091</v>
      </c>
      <c r="BO139" s="329" t="str">
        <f t="shared" ca="1" si="102"/>
        <v>2023/01/07</v>
      </c>
      <c r="BP139" s="360" t="s">
        <v>2091</v>
      </c>
      <c r="BQ139" s="329" t="str">
        <f t="shared" ca="1" si="103"/>
        <v>2023/01/07</v>
      </c>
      <c r="BR139" s="360" t="s">
        <v>2093</v>
      </c>
      <c r="BS139" s="160">
        <f t="shared" si="104"/>
        <v>1</v>
      </c>
      <c r="BT139" s="160" t="s">
        <v>2021</v>
      </c>
      <c r="BU139" s="322" t="str">
        <f t="shared" ca="1" si="105"/>
        <v>INSERT INTO TACHES(numTache,nameTache,descriptionTache,prioTache,stateTache,categoryTache,dateCreateTache,dateInProgressTache,dateToTestTache,dateEndThTache,dateEndRealTache,idProjet) VALUES ('10','tache10','tache10','Vitale','Terminer','Realisation','2023/01/07','2023/01/07','2023/01/07','2023/01/07','2023/01/07',1);</v>
      </c>
      <c r="BV139" s="322" t="s">
        <v>2386</v>
      </c>
    </row>
    <row r="140" spans="5:74" ht="20.05" customHeight="1" outlineLevel="1" thickBot="1" x14ac:dyDescent="0.35">
      <c r="F140" s="160">
        <f t="shared" si="106"/>
        <v>11</v>
      </c>
      <c r="G140" s="160">
        <f t="shared" si="106"/>
        <v>11</v>
      </c>
      <c r="H140" s="160" t="s">
        <v>2128</v>
      </c>
      <c r="I140" s="160" t="str">
        <f t="shared" si="90"/>
        <v>tache11</v>
      </c>
      <c r="J140" s="160" t="s">
        <v>1867</v>
      </c>
      <c r="K140" s="160" t="s">
        <v>2375</v>
      </c>
      <c r="L140" s="160" t="s">
        <v>1879</v>
      </c>
      <c r="M140" s="329">
        <v>44933</v>
      </c>
      <c r="N140" s="329">
        <v>44933</v>
      </c>
      <c r="O140" s="329">
        <v>44933</v>
      </c>
      <c r="P140" s="329">
        <v>44933</v>
      </c>
      <c r="Q140" s="329">
        <v>44933</v>
      </c>
      <c r="R140" s="160">
        <v>1</v>
      </c>
      <c r="S140" s="160">
        <f t="shared" si="91"/>
        <v>1</v>
      </c>
      <c r="T140" s="160" t="s">
        <v>1922</v>
      </c>
      <c r="U140" s="322" t="str">
        <f t="shared" si="92"/>
        <v>TACHES</v>
      </c>
      <c r="V140" s="160" t="s">
        <v>2088</v>
      </c>
      <c r="W140" s="189" t="s">
        <v>355</v>
      </c>
      <c r="X140" s="360" t="s">
        <v>2020</v>
      </c>
      <c r="Y140" s="189" t="s">
        <v>337</v>
      </c>
      <c r="Z140" s="360" t="s">
        <v>2020</v>
      </c>
      <c r="AA140" s="189" t="s">
        <v>340</v>
      </c>
      <c r="AB140" s="360" t="s">
        <v>2020</v>
      </c>
      <c r="AC140" s="189" t="s">
        <v>266</v>
      </c>
      <c r="AD140" s="360" t="s">
        <v>2020</v>
      </c>
      <c r="AE140" s="189" t="s">
        <v>244</v>
      </c>
      <c r="AF140" s="360" t="s">
        <v>2020</v>
      </c>
      <c r="AG140" s="189" t="s">
        <v>296</v>
      </c>
      <c r="AH140" s="360" t="s">
        <v>2020</v>
      </c>
      <c r="AI140" s="189" t="s">
        <v>298</v>
      </c>
      <c r="AJ140" s="360" t="s">
        <v>2020</v>
      </c>
      <c r="AK140" s="189" t="s">
        <v>299</v>
      </c>
      <c r="AL140" s="360" t="s">
        <v>2020</v>
      </c>
      <c r="AM140" s="189" t="s">
        <v>300</v>
      </c>
      <c r="AN140" s="360" t="s">
        <v>2020</v>
      </c>
      <c r="AO140" s="189" t="s">
        <v>301</v>
      </c>
      <c r="AP140" s="360" t="s">
        <v>2020</v>
      </c>
      <c r="AQ140" s="192" t="s">
        <v>302</v>
      </c>
      <c r="AR140" s="360" t="s">
        <v>2020</v>
      </c>
      <c r="AS140" s="295" t="s">
        <v>287</v>
      </c>
      <c r="AT140" s="360"/>
      <c r="AU140" s="322"/>
      <c r="AV140" s="360" t="s">
        <v>2089</v>
      </c>
      <c r="AW140" s="160">
        <f t="shared" si="93"/>
        <v>11</v>
      </c>
      <c r="AX140" s="360" t="s">
        <v>2091</v>
      </c>
      <c r="AY140" s="160" t="str">
        <f t="shared" si="94"/>
        <v>tache11</v>
      </c>
      <c r="AZ140" s="360" t="s">
        <v>2091</v>
      </c>
      <c r="BA140" s="160" t="str">
        <f t="shared" si="95"/>
        <v>tache11</v>
      </c>
      <c r="BB140" s="360" t="s">
        <v>2091</v>
      </c>
      <c r="BC140" s="160" t="str">
        <f t="shared" si="96"/>
        <v>Vitale</v>
      </c>
      <c r="BD140" s="360" t="s">
        <v>2091</v>
      </c>
      <c r="BE140" s="160" t="str">
        <f t="shared" si="97"/>
        <v>Terminer</v>
      </c>
      <c r="BF140" s="360" t="s">
        <v>2091</v>
      </c>
      <c r="BG140" s="160" t="str">
        <f t="shared" si="98"/>
        <v>Realisation</v>
      </c>
      <c r="BH140" s="360" t="s">
        <v>2091</v>
      </c>
      <c r="BI140" s="371" t="str">
        <f t="shared" ca="1" si="99"/>
        <v>2023/01/07</v>
      </c>
      <c r="BJ140" s="360" t="s">
        <v>2091</v>
      </c>
      <c r="BK140" s="329" t="str">
        <f t="shared" ca="1" si="100"/>
        <v>2023/01/07</v>
      </c>
      <c r="BL140" s="360" t="s">
        <v>2091</v>
      </c>
      <c r="BM140" s="329" t="str">
        <f t="shared" ca="1" si="101"/>
        <v>2023/01/07</v>
      </c>
      <c r="BN140" s="360" t="s">
        <v>2091</v>
      </c>
      <c r="BO140" s="329" t="str">
        <f t="shared" ca="1" si="102"/>
        <v>2023/01/07</v>
      </c>
      <c r="BP140" s="360" t="s">
        <v>2091</v>
      </c>
      <c r="BQ140" s="329" t="str">
        <f t="shared" ca="1" si="103"/>
        <v>2023/01/07</v>
      </c>
      <c r="BR140" s="360" t="s">
        <v>2093</v>
      </c>
      <c r="BS140" s="160">
        <f t="shared" si="104"/>
        <v>1</v>
      </c>
      <c r="BT140" s="160" t="s">
        <v>2021</v>
      </c>
      <c r="BU140" s="322" t="str">
        <f t="shared" ca="1" si="105"/>
        <v>INSERT INTO TACHES(numTache,nameTache,descriptionTache,prioTache,stateTache,categoryTache,dateCreateTache,dateInProgressTache,dateToTestTache,dateEndThTache,dateEndRealTache,idProjet) VALUES ('11','tache11','tache11','Vitale','Terminer','Realisation','2023/01/07','2023/01/07','2023/01/07','2023/01/07','2023/01/07',1);</v>
      </c>
      <c r="BV140" s="322" t="s">
        <v>2387</v>
      </c>
    </row>
    <row r="141" spans="5:74" ht="20.05" customHeight="1" outlineLevel="1" thickBot="1" x14ac:dyDescent="0.35">
      <c r="F141" s="160">
        <f t="shared" si="106"/>
        <v>12</v>
      </c>
      <c r="G141" s="160">
        <f t="shared" si="106"/>
        <v>12</v>
      </c>
      <c r="H141" s="160" t="s">
        <v>2129</v>
      </c>
      <c r="I141" s="160" t="str">
        <f t="shared" si="90"/>
        <v>tache12</v>
      </c>
      <c r="J141" s="160" t="s">
        <v>1867</v>
      </c>
      <c r="K141" s="160" t="s">
        <v>2375</v>
      </c>
      <c r="L141" s="160" t="s">
        <v>1879</v>
      </c>
      <c r="M141" s="329">
        <v>44933</v>
      </c>
      <c r="N141" s="329">
        <v>44933</v>
      </c>
      <c r="O141" s="329">
        <v>44933</v>
      </c>
      <c r="P141" s="329">
        <v>44933</v>
      </c>
      <c r="Q141" s="329">
        <v>44933</v>
      </c>
      <c r="R141" s="160">
        <v>1</v>
      </c>
      <c r="S141" s="160">
        <f t="shared" si="91"/>
        <v>1</v>
      </c>
      <c r="T141" s="160" t="s">
        <v>1922</v>
      </c>
      <c r="U141" s="322" t="str">
        <f t="shared" si="92"/>
        <v>TACHES</v>
      </c>
      <c r="V141" s="160" t="s">
        <v>2088</v>
      </c>
      <c r="W141" s="189" t="s">
        <v>355</v>
      </c>
      <c r="X141" s="360" t="s">
        <v>2020</v>
      </c>
      <c r="Y141" s="189" t="s">
        <v>337</v>
      </c>
      <c r="Z141" s="360" t="s">
        <v>2020</v>
      </c>
      <c r="AA141" s="189" t="s">
        <v>340</v>
      </c>
      <c r="AB141" s="360" t="s">
        <v>2020</v>
      </c>
      <c r="AC141" s="189" t="s">
        <v>266</v>
      </c>
      <c r="AD141" s="360" t="s">
        <v>2020</v>
      </c>
      <c r="AE141" s="189" t="s">
        <v>244</v>
      </c>
      <c r="AF141" s="360" t="s">
        <v>2020</v>
      </c>
      <c r="AG141" s="189" t="s">
        <v>296</v>
      </c>
      <c r="AH141" s="360" t="s">
        <v>2020</v>
      </c>
      <c r="AI141" s="189" t="s">
        <v>298</v>
      </c>
      <c r="AJ141" s="360" t="s">
        <v>2020</v>
      </c>
      <c r="AK141" s="189" t="s">
        <v>299</v>
      </c>
      <c r="AL141" s="360" t="s">
        <v>2020</v>
      </c>
      <c r="AM141" s="189" t="s">
        <v>300</v>
      </c>
      <c r="AN141" s="360" t="s">
        <v>2020</v>
      </c>
      <c r="AO141" s="189" t="s">
        <v>301</v>
      </c>
      <c r="AP141" s="360" t="s">
        <v>2020</v>
      </c>
      <c r="AQ141" s="192" t="s">
        <v>302</v>
      </c>
      <c r="AR141" s="360" t="s">
        <v>2020</v>
      </c>
      <c r="AS141" s="295" t="s">
        <v>287</v>
      </c>
      <c r="AT141" s="360"/>
      <c r="AU141" s="322"/>
      <c r="AV141" s="360" t="s">
        <v>2089</v>
      </c>
      <c r="AW141" s="160">
        <f t="shared" si="93"/>
        <v>12</v>
      </c>
      <c r="AX141" s="360" t="s">
        <v>2091</v>
      </c>
      <c r="AY141" s="160" t="str">
        <f t="shared" si="94"/>
        <v>tache12</v>
      </c>
      <c r="AZ141" s="360" t="s">
        <v>2091</v>
      </c>
      <c r="BA141" s="160" t="str">
        <f t="shared" si="95"/>
        <v>tache12</v>
      </c>
      <c r="BB141" s="360" t="s">
        <v>2091</v>
      </c>
      <c r="BC141" s="160" t="str">
        <f t="shared" si="96"/>
        <v>Vitale</v>
      </c>
      <c r="BD141" s="360" t="s">
        <v>2091</v>
      </c>
      <c r="BE141" s="160" t="str">
        <f t="shared" si="97"/>
        <v>Terminer</v>
      </c>
      <c r="BF141" s="360" t="s">
        <v>2091</v>
      </c>
      <c r="BG141" s="160" t="str">
        <f t="shared" si="98"/>
        <v>Realisation</v>
      </c>
      <c r="BH141" s="360" t="s">
        <v>2091</v>
      </c>
      <c r="BI141" s="371" t="str">
        <f t="shared" ca="1" si="99"/>
        <v>2023/01/07</v>
      </c>
      <c r="BJ141" s="360" t="s">
        <v>2091</v>
      </c>
      <c r="BK141" s="329" t="str">
        <f t="shared" ca="1" si="100"/>
        <v>2023/01/07</v>
      </c>
      <c r="BL141" s="360" t="s">
        <v>2091</v>
      </c>
      <c r="BM141" s="329" t="str">
        <f t="shared" ca="1" si="101"/>
        <v>2023/01/07</v>
      </c>
      <c r="BN141" s="360" t="s">
        <v>2091</v>
      </c>
      <c r="BO141" s="329" t="str">
        <f t="shared" ca="1" si="102"/>
        <v>2023/01/07</v>
      </c>
      <c r="BP141" s="360" t="s">
        <v>2091</v>
      </c>
      <c r="BQ141" s="329" t="str">
        <f t="shared" ca="1" si="103"/>
        <v>2023/01/07</v>
      </c>
      <c r="BR141" s="360" t="s">
        <v>2093</v>
      </c>
      <c r="BS141" s="160">
        <f t="shared" si="104"/>
        <v>1</v>
      </c>
      <c r="BT141" s="160" t="s">
        <v>2021</v>
      </c>
      <c r="BU141" s="322" t="str">
        <f t="shared" ca="1" si="105"/>
        <v>INSERT INTO TACHES(numTache,nameTache,descriptionTache,prioTache,stateTache,categoryTache,dateCreateTache,dateInProgressTache,dateToTestTache,dateEndThTache,dateEndRealTache,idProjet) VALUES ('12','tache12','tache12','Vitale','Terminer','Realisation','2023/01/07','2023/01/07','2023/01/07','2023/01/07','2023/01/07',1);</v>
      </c>
      <c r="BV141" s="322" t="s">
        <v>2388</v>
      </c>
    </row>
    <row r="142" spans="5:74" ht="15.65" outlineLevel="1" thickBot="1" x14ac:dyDescent="0.35">
      <c r="F142" s="160">
        <f t="shared" si="106"/>
        <v>13</v>
      </c>
      <c r="G142" s="160">
        <f t="shared" si="106"/>
        <v>13</v>
      </c>
      <c r="H142" s="160" t="s">
        <v>2130</v>
      </c>
      <c r="I142" s="160" t="str">
        <f t="shared" si="90"/>
        <v>tache13</v>
      </c>
      <c r="J142" s="160" t="s">
        <v>1867</v>
      </c>
      <c r="K142" s="160" t="s">
        <v>2375</v>
      </c>
      <c r="L142" s="160" t="s">
        <v>1879</v>
      </c>
      <c r="M142" s="329">
        <v>44934</v>
      </c>
      <c r="N142" s="329">
        <v>44934</v>
      </c>
      <c r="O142" s="329">
        <v>44934</v>
      </c>
      <c r="P142" s="329">
        <v>44934</v>
      </c>
      <c r="Q142" s="329">
        <v>44934</v>
      </c>
      <c r="R142" s="160">
        <v>1</v>
      </c>
      <c r="S142" s="160">
        <f t="shared" si="91"/>
        <v>1</v>
      </c>
      <c r="T142" s="160" t="s">
        <v>1922</v>
      </c>
      <c r="U142" s="322" t="str">
        <f t="shared" si="92"/>
        <v>TACHES</v>
      </c>
      <c r="V142" s="160" t="s">
        <v>2088</v>
      </c>
      <c r="W142" s="189" t="s">
        <v>355</v>
      </c>
      <c r="X142" s="360" t="s">
        <v>2020</v>
      </c>
      <c r="Y142" s="189" t="s">
        <v>337</v>
      </c>
      <c r="Z142" s="360" t="s">
        <v>2020</v>
      </c>
      <c r="AA142" s="189" t="s">
        <v>340</v>
      </c>
      <c r="AB142" s="360" t="s">
        <v>2020</v>
      </c>
      <c r="AC142" s="189" t="s">
        <v>266</v>
      </c>
      <c r="AD142" s="360" t="s">
        <v>2020</v>
      </c>
      <c r="AE142" s="189" t="s">
        <v>244</v>
      </c>
      <c r="AF142" s="360" t="s">
        <v>2020</v>
      </c>
      <c r="AG142" s="189" t="s">
        <v>296</v>
      </c>
      <c r="AH142" s="360" t="s">
        <v>2020</v>
      </c>
      <c r="AI142" s="189" t="s">
        <v>298</v>
      </c>
      <c r="AJ142" s="360" t="s">
        <v>2020</v>
      </c>
      <c r="AK142" s="189" t="s">
        <v>299</v>
      </c>
      <c r="AL142" s="360" t="s">
        <v>2020</v>
      </c>
      <c r="AM142" s="189" t="s">
        <v>300</v>
      </c>
      <c r="AN142" s="360" t="s">
        <v>2020</v>
      </c>
      <c r="AO142" s="189" t="s">
        <v>301</v>
      </c>
      <c r="AP142" s="360" t="s">
        <v>2020</v>
      </c>
      <c r="AQ142" s="192" t="s">
        <v>302</v>
      </c>
      <c r="AR142" s="360" t="s">
        <v>2020</v>
      </c>
      <c r="AS142" s="295" t="s">
        <v>287</v>
      </c>
      <c r="AT142" s="360"/>
      <c r="AU142" s="322"/>
      <c r="AV142" s="360" t="s">
        <v>2089</v>
      </c>
      <c r="AW142" s="160">
        <f t="shared" si="93"/>
        <v>13</v>
      </c>
      <c r="AX142" s="360" t="s">
        <v>2091</v>
      </c>
      <c r="AY142" s="160" t="str">
        <f t="shared" si="94"/>
        <v>tache13</v>
      </c>
      <c r="AZ142" s="360" t="s">
        <v>2091</v>
      </c>
      <c r="BA142" s="160" t="str">
        <f t="shared" si="95"/>
        <v>tache13</v>
      </c>
      <c r="BB142" s="360" t="s">
        <v>2091</v>
      </c>
      <c r="BC142" s="160" t="str">
        <f t="shared" si="96"/>
        <v>Vitale</v>
      </c>
      <c r="BD142" s="360" t="s">
        <v>2091</v>
      </c>
      <c r="BE142" s="160" t="str">
        <f t="shared" si="97"/>
        <v>Terminer</v>
      </c>
      <c r="BF142" s="360" t="s">
        <v>2091</v>
      </c>
      <c r="BG142" s="160" t="str">
        <f t="shared" si="98"/>
        <v>Realisation</v>
      </c>
      <c r="BH142" s="360" t="s">
        <v>2091</v>
      </c>
      <c r="BI142" s="371" t="str">
        <f t="shared" ca="1" si="99"/>
        <v>2023/01/08</v>
      </c>
      <c r="BJ142" s="360" t="s">
        <v>2091</v>
      </c>
      <c r="BK142" s="329" t="str">
        <f t="shared" ca="1" si="100"/>
        <v>2023/01/08</v>
      </c>
      <c r="BL142" s="360" t="s">
        <v>2091</v>
      </c>
      <c r="BM142" s="329" t="str">
        <f t="shared" ca="1" si="101"/>
        <v>2023/01/08</v>
      </c>
      <c r="BN142" s="360" t="s">
        <v>2091</v>
      </c>
      <c r="BO142" s="329" t="str">
        <f t="shared" ca="1" si="102"/>
        <v>2023/01/08</v>
      </c>
      <c r="BP142" s="360" t="s">
        <v>2091</v>
      </c>
      <c r="BQ142" s="329" t="str">
        <f t="shared" ca="1" si="103"/>
        <v>2023/01/08</v>
      </c>
      <c r="BR142" s="360" t="s">
        <v>2093</v>
      </c>
      <c r="BS142" s="160">
        <f t="shared" si="104"/>
        <v>1</v>
      </c>
      <c r="BT142" s="160" t="s">
        <v>2021</v>
      </c>
      <c r="BU142" s="322" t="str">
        <f t="shared" ca="1" si="105"/>
        <v>INSERT INTO TACHES(numTache,nameTache,descriptionTache,prioTache,stateTache,categoryTache,dateCreateTache,dateInProgressTache,dateToTestTache,dateEndThTache,dateEndRealTache,idProjet) VALUES ('13','tache13','tache13','Vitale','Terminer','Realisation','2023/01/08','2023/01/08','2023/01/08','2023/01/08','2023/01/08',1);</v>
      </c>
      <c r="BV142" s="322" t="s">
        <v>2389</v>
      </c>
    </row>
    <row r="143" spans="5:74" ht="28.05" customHeight="1" outlineLevel="1" thickBot="1" x14ac:dyDescent="0.35">
      <c r="F143" s="160">
        <f t="shared" si="106"/>
        <v>14</v>
      </c>
      <c r="G143" s="160">
        <f t="shared" si="106"/>
        <v>14</v>
      </c>
      <c r="H143" s="160" t="s">
        <v>2131</v>
      </c>
      <c r="I143" s="160" t="str">
        <f t="shared" si="90"/>
        <v>tache14</v>
      </c>
      <c r="J143" s="160" t="s">
        <v>1867</v>
      </c>
      <c r="K143" s="160" t="s">
        <v>2375</v>
      </c>
      <c r="L143" s="160" t="s">
        <v>1879</v>
      </c>
      <c r="M143" s="329">
        <v>44935</v>
      </c>
      <c r="N143" s="329">
        <v>44935</v>
      </c>
      <c r="O143" s="329">
        <v>44935</v>
      </c>
      <c r="P143" s="329">
        <v>44935</v>
      </c>
      <c r="Q143" s="329">
        <v>44935</v>
      </c>
      <c r="R143" s="160">
        <v>1</v>
      </c>
      <c r="S143" s="160">
        <f t="shared" si="91"/>
        <v>2</v>
      </c>
      <c r="T143" s="160" t="s">
        <v>1922</v>
      </c>
      <c r="U143" s="322" t="str">
        <f t="shared" si="92"/>
        <v>TACHES</v>
      </c>
      <c r="V143" s="160" t="s">
        <v>2088</v>
      </c>
      <c r="W143" s="189" t="s">
        <v>355</v>
      </c>
      <c r="X143" s="360" t="s">
        <v>2020</v>
      </c>
      <c r="Y143" s="189" t="s">
        <v>337</v>
      </c>
      <c r="Z143" s="360" t="s">
        <v>2020</v>
      </c>
      <c r="AA143" s="189" t="s">
        <v>340</v>
      </c>
      <c r="AB143" s="360" t="s">
        <v>2020</v>
      </c>
      <c r="AC143" s="189" t="s">
        <v>266</v>
      </c>
      <c r="AD143" s="360" t="s">
        <v>2020</v>
      </c>
      <c r="AE143" s="189" t="s">
        <v>244</v>
      </c>
      <c r="AF143" s="360" t="s">
        <v>2020</v>
      </c>
      <c r="AG143" s="189" t="s">
        <v>296</v>
      </c>
      <c r="AH143" s="360" t="s">
        <v>2020</v>
      </c>
      <c r="AI143" s="189" t="s">
        <v>298</v>
      </c>
      <c r="AJ143" s="360" t="s">
        <v>2020</v>
      </c>
      <c r="AK143" s="189" t="s">
        <v>299</v>
      </c>
      <c r="AL143" s="360" t="s">
        <v>2020</v>
      </c>
      <c r="AM143" s="189" t="s">
        <v>300</v>
      </c>
      <c r="AN143" s="360" t="s">
        <v>2020</v>
      </c>
      <c r="AO143" s="189" t="s">
        <v>301</v>
      </c>
      <c r="AP143" s="360" t="s">
        <v>2020</v>
      </c>
      <c r="AQ143" s="192" t="s">
        <v>302</v>
      </c>
      <c r="AR143" s="360" t="s">
        <v>2020</v>
      </c>
      <c r="AS143" s="295" t="s">
        <v>287</v>
      </c>
      <c r="AT143" s="360"/>
      <c r="AU143" s="322"/>
      <c r="AV143" s="360" t="s">
        <v>2089</v>
      </c>
      <c r="AW143" s="160">
        <f t="shared" si="93"/>
        <v>14</v>
      </c>
      <c r="AX143" s="360" t="s">
        <v>2091</v>
      </c>
      <c r="AY143" s="160" t="str">
        <f t="shared" si="94"/>
        <v>tache14</v>
      </c>
      <c r="AZ143" s="360" t="s">
        <v>2091</v>
      </c>
      <c r="BA143" s="160" t="str">
        <f t="shared" si="95"/>
        <v>tache14</v>
      </c>
      <c r="BB143" s="360" t="s">
        <v>2091</v>
      </c>
      <c r="BC143" s="160" t="str">
        <f t="shared" si="96"/>
        <v>Vitale</v>
      </c>
      <c r="BD143" s="360" t="s">
        <v>2091</v>
      </c>
      <c r="BE143" s="160" t="str">
        <f t="shared" si="97"/>
        <v>Terminer</v>
      </c>
      <c r="BF143" s="360" t="s">
        <v>2091</v>
      </c>
      <c r="BG143" s="160" t="str">
        <f t="shared" si="98"/>
        <v>Realisation</v>
      </c>
      <c r="BH143" s="360" t="s">
        <v>2091</v>
      </c>
      <c r="BI143" s="371" t="str">
        <f t="shared" ca="1" si="99"/>
        <v>2023/01/09</v>
      </c>
      <c r="BJ143" s="360" t="s">
        <v>2091</v>
      </c>
      <c r="BK143" s="329" t="str">
        <f t="shared" ca="1" si="100"/>
        <v>2023/01/09</v>
      </c>
      <c r="BL143" s="360" t="s">
        <v>2091</v>
      </c>
      <c r="BM143" s="329" t="str">
        <f t="shared" ca="1" si="101"/>
        <v>2023/01/09</v>
      </c>
      <c r="BN143" s="360" t="s">
        <v>2091</v>
      </c>
      <c r="BO143" s="329" t="str">
        <f t="shared" ca="1" si="102"/>
        <v>2023/01/09</v>
      </c>
      <c r="BP143" s="360" t="s">
        <v>2091</v>
      </c>
      <c r="BQ143" s="329" t="str">
        <f t="shared" ca="1" si="103"/>
        <v>2023/01/09</v>
      </c>
      <c r="BR143" s="360" t="s">
        <v>2093</v>
      </c>
      <c r="BS143" s="160">
        <f t="shared" si="104"/>
        <v>1</v>
      </c>
      <c r="BT143" s="160" t="s">
        <v>2021</v>
      </c>
      <c r="BU143" s="322" t="str">
        <f t="shared" ca="1" si="105"/>
        <v>INSERT INTO TACHES(numTache,nameTache,descriptionTache,prioTache,stateTache,categoryTache,dateCreateTache,dateInProgressTache,dateToTestTache,dateEndThTache,dateEndRealTache,idProjet) VALUES ('14','tache14','tache14','Vitale','Terminer','Realisation','2023/01/09','2023/01/09','2023/01/09','2023/01/09','2023/01/09',1);</v>
      </c>
      <c r="BV143" s="322" t="s">
        <v>2390</v>
      </c>
    </row>
    <row r="144" spans="5:74" ht="30.05" customHeight="1" outlineLevel="1" thickBot="1" x14ac:dyDescent="0.35">
      <c r="F144" s="160">
        <f t="shared" si="106"/>
        <v>15</v>
      </c>
      <c r="G144" s="160">
        <f t="shared" si="106"/>
        <v>15</v>
      </c>
      <c r="H144" s="160" t="s">
        <v>2132</v>
      </c>
      <c r="I144" s="160" t="str">
        <f t="shared" si="90"/>
        <v>tache15</v>
      </c>
      <c r="J144" s="160" t="s">
        <v>1868</v>
      </c>
      <c r="K144" s="160" t="s">
        <v>2375</v>
      </c>
      <c r="L144" s="160" t="s">
        <v>1879</v>
      </c>
      <c r="M144" s="329">
        <v>44938</v>
      </c>
      <c r="N144" s="329">
        <v>44938</v>
      </c>
      <c r="O144" s="329">
        <v>44938</v>
      </c>
      <c r="P144" s="329">
        <v>44938</v>
      </c>
      <c r="Q144" s="329">
        <v>44938</v>
      </c>
      <c r="R144" s="160">
        <v>1</v>
      </c>
      <c r="S144" s="160">
        <f t="shared" si="91"/>
        <v>2</v>
      </c>
      <c r="T144" s="160" t="s">
        <v>1922</v>
      </c>
      <c r="U144" s="322" t="str">
        <f t="shared" si="92"/>
        <v>TACHES</v>
      </c>
      <c r="V144" s="160" t="s">
        <v>2088</v>
      </c>
      <c r="W144" s="189" t="s">
        <v>355</v>
      </c>
      <c r="X144" s="360" t="s">
        <v>2020</v>
      </c>
      <c r="Y144" s="189" t="s">
        <v>337</v>
      </c>
      <c r="Z144" s="360" t="s">
        <v>2020</v>
      </c>
      <c r="AA144" s="189" t="s">
        <v>340</v>
      </c>
      <c r="AB144" s="360" t="s">
        <v>2020</v>
      </c>
      <c r="AC144" s="189" t="s">
        <v>266</v>
      </c>
      <c r="AD144" s="360" t="s">
        <v>2020</v>
      </c>
      <c r="AE144" s="189" t="s">
        <v>244</v>
      </c>
      <c r="AF144" s="360" t="s">
        <v>2020</v>
      </c>
      <c r="AG144" s="189" t="s">
        <v>296</v>
      </c>
      <c r="AH144" s="360" t="s">
        <v>2020</v>
      </c>
      <c r="AI144" s="189" t="s">
        <v>298</v>
      </c>
      <c r="AJ144" s="360" t="s">
        <v>2020</v>
      </c>
      <c r="AK144" s="189" t="s">
        <v>299</v>
      </c>
      <c r="AL144" s="360" t="s">
        <v>2020</v>
      </c>
      <c r="AM144" s="189" t="s">
        <v>300</v>
      </c>
      <c r="AN144" s="360" t="s">
        <v>2020</v>
      </c>
      <c r="AO144" s="189" t="s">
        <v>301</v>
      </c>
      <c r="AP144" s="360" t="s">
        <v>2020</v>
      </c>
      <c r="AQ144" s="192" t="s">
        <v>302</v>
      </c>
      <c r="AR144" s="360" t="s">
        <v>2020</v>
      </c>
      <c r="AS144" s="295" t="s">
        <v>287</v>
      </c>
      <c r="AT144" s="360"/>
      <c r="AU144" s="322"/>
      <c r="AV144" s="360" t="s">
        <v>2089</v>
      </c>
      <c r="AW144" s="160">
        <f t="shared" si="93"/>
        <v>15</v>
      </c>
      <c r="AX144" s="360" t="s">
        <v>2091</v>
      </c>
      <c r="AY144" s="160" t="str">
        <f t="shared" si="94"/>
        <v>tache15</v>
      </c>
      <c r="AZ144" s="360" t="s">
        <v>2091</v>
      </c>
      <c r="BA144" s="160" t="str">
        <f t="shared" si="95"/>
        <v>tache15</v>
      </c>
      <c r="BB144" s="360" t="s">
        <v>2091</v>
      </c>
      <c r="BC144" s="160" t="str">
        <f t="shared" si="96"/>
        <v>Importante</v>
      </c>
      <c r="BD144" s="360" t="s">
        <v>2091</v>
      </c>
      <c r="BE144" s="160" t="str">
        <f t="shared" si="97"/>
        <v>Terminer</v>
      </c>
      <c r="BF144" s="360" t="s">
        <v>2091</v>
      </c>
      <c r="BG144" s="160" t="str">
        <f t="shared" si="98"/>
        <v>Realisation</v>
      </c>
      <c r="BH144" s="360" t="s">
        <v>2091</v>
      </c>
      <c r="BI144" s="371" t="str">
        <f t="shared" ca="1" si="99"/>
        <v>2023/01/12</v>
      </c>
      <c r="BJ144" s="360" t="s">
        <v>2091</v>
      </c>
      <c r="BK144" s="329" t="str">
        <f t="shared" ca="1" si="100"/>
        <v>2023/01/12</v>
      </c>
      <c r="BL144" s="360" t="s">
        <v>2091</v>
      </c>
      <c r="BM144" s="329" t="str">
        <f t="shared" ca="1" si="101"/>
        <v>2023/01/12</v>
      </c>
      <c r="BN144" s="360" t="s">
        <v>2091</v>
      </c>
      <c r="BO144" s="329" t="str">
        <f t="shared" ca="1" si="102"/>
        <v>2023/01/12</v>
      </c>
      <c r="BP144" s="360" t="s">
        <v>2091</v>
      </c>
      <c r="BQ144" s="329" t="str">
        <f t="shared" ca="1" si="103"/>
        <v>2023/01/12</v>
      </c>
      <c r="BR144" s="360" t="s">
        <v>2093</v>
      </c>
      <c r="BS144" s="160">
        <f t="shared" si="104"/>
        <v>1</v>
      </c>
      <c r="BT144" s="160" t="s">
        <v>2021</v>
      </c>
      <c r="BU144" s="322" t="str">
        <f t="shared" ca="1" si="105"/>
        <v>INSERT INTO TACHES(numTache,nameTache,descriptionTache,prioTache,stateTache,categoryTache,dateCreateTache,dateInProgressTache,dateToTestTache,dateEndThTache,dateEndRealTache,idProjet) VALUES ('15','tache15','tache15','Importante','Terminer','Realisation','2023/01/12','2023/01/12','2023/01/12','2023/01/12','2023/01/12',1);</v>
      </c>
      <c r="BV144" s="322" t="s">
        <v>2391</v>
      </c>
    </row>
    <row r="145" spans="6:74" ht="20.05" customHeight="1" outlineLevel="1" thickBot="1" x14ac:dyDescent="0.35">
      <c r="F145" s="160">
        <f t="shared" si="106"/>
        <v>16</v>
      </c>
      <c r="G145" s="160">
        <f t="shared" si="106"/>
        <v>16</v>
      </c>
      <c r="H145" s="160" t="s">
        <v>2133</v>
      </c>
      <c r="I145" s="160" t="str">
        <f t="shared" si="90"/>
        <v>tache16</v>
      </c>
      <c r="J145" s="160" t="s">
        <v>1870</v>
      </c>
      <c r="K145" s="160" t="s">
        <v>2375</v>
      </c>
      <c r="L145" s="160" t="s">
        <v>1879</v>
      </c>
      <c r="M145" s="329">
        <v>44940</v>
      </c>
      <c r="N145" s="329">
        <v>44940</v>
      </c>
      <c r="O145" s="329">
        <v>44941</v>
      </c>
      <c r="P145" s="329">
        <v>44941</v>
      </c>
      <c r="Q145" s="329">
        <v>44941</v>
      </c>
      <c r="R145" s="160">
        <v>1</v>
      </c>
      <c r="S145" s="160">
        <f t="shared" si="91"/>
        <v>1</v>
      </c>
      <c r="T145" s="160" t="s">
        <v>1922</v>
      </c>
      <c r="U145" s="322" t="str">
        <f t="shared" si="92"/>
        <v>TACHES</v>
      </c>
      <c r="V145" s="160" t="s">
        <v>2088</v>
      </c>
      <c r="W145" s="189" t="s">
        <v>355</v>
      </c>
      <c r="X145" s="360" t="s">
        <v>2020</v>
      </c>
      <c r="Y145" s="189" t="s">
        <v>337</v>
      </c>
      <c r="Z145" s="360" t="s">
        <v>2020</v>
      </c>
      <c r="AA145" s="189" t="s">
        <v>340</v>
      </c>
      <c r="AB145" s="360" t="s">
        <v>2020</v>
      </c>
      <c r="AC145" s="189" t="s">
        <v>266</v>
      </c>
      <c r="AD145" s="360" t="s">
        <v>2020</v>
      </c>
      <c r="AE145" s="189" t="s">
        <v>244</v>
      </c>
      <c r="AF145" s="360" t="s">
        <v>2020</v>
      </c>
      <c r="AG145" s="189" t="s">
        <v>296</v>
      </c>
      <c r="AH145" s="360" t="s">
        <v>2020</v>
      </c>
      <c r="AI145" s="189" t="s">
        <v>298</v>
      </c>
      <c r="AJ145" s="360" t="s">
        <v>2020</v>
      </c>
      <c r="AK145" s="189" t="s">
        <v>299</v>
      </c>
      <c r="AL145" s="360" t="s">
        <v>2020</v>
      </c>
      <c r="AM145" s="189" t="s">
        <v>300</v>
      </c>
      <c r="AN145" s="360" t="s">
        <v>2020</v>
      </c>
      <c r="AO145" s="189" t="s">
        <v>301</v>
      </c>
      <c r="AP145" s="360" t="s">
        <v>2020</v>
      </c>
      <c r="AQ145" s="192" t="s">
        <v>302</v>
      </c>
      <c r="AR145" s="360" t="s">
        <v>2020</v>
      </c>
      <c r="AS145" s="295" t="s">
        <v>287</v>
      </c>
      <c r="AT145" s="360"/>
      <c r="AU145" s="322"/>
      <c r="AV145" s="360" t="s">
        <v>2089</v>
      </c>
      <c r="AW145" s="160">
        <f t="shared" si="93"/>
        <v>16</v>
      </c>
      <c r="AX145" s="360" t="s">
        <v>2091</v>
      </c>
      <c r="AY145" s="160" t="str">
        <f t="shared" si="94"/>
        <v>tache16</v>
      </c>
      <c r="AZ145" s="360" t="s">
        <v>2091</v>
      </c>
      <c r="BA145" s="160" t="str">
        <f t="shared" si="95"/>
        <v>tache16</v>
      </c>
      <c r="BB145" s="360" t="s">
        <v>2091</v>
      </c>
      <c r="BC145" s="160" t="str">
        <f t="shared" si="96"/>
        <v>Confort</v>
      </c>
      <c r="BD145" s="360" t="s">
        <v>2091</v>
      </c>
      <c r="BE145" s="160" t="str">
        <f t="shared" si="97"/>
        <v>Terminer</v>
      </c>
      <c r="BF145" s="360" t="s">
        <v>2091</v>
      </c>
      <c r="BG145" s="160" t="str">
        <f t="shared" si="98"/>
        <v>Realisation</v>
      </c>
      <c r="BH145" s="360" t="s">
        <v>2091</v>
      </c>
      <c r="BI145" s="371" t="str">
        <f t="shared" ca="1" si="99"/>
        <v>2023/01/14</v>
      </c>
      <c r="BJ145" s="360" t="s">
        <v>2091</v>
      </c>
      <c r="BK145" s="329" t="str">
        <f t="shared" ca="1" si="100"/>
        <v>2023/01/14</v>
      </c>
      <c r="BL145" s="360" t="s">
        <v>2091</v>
      </c>
      <c r="BM145" s="329" t="str">
        <f t="shared" ca="1" si="101"/>
        <v>2023/01/15</v>
      </c>
      <c r="BN145" s="360" t="s">
        <v>2091</v>
      </c>
      <c r="BO145" s="329" t="str">
        <f t="shared" ca="1" si="102"/>
        <v>2023/01/15</v>
      </c>
      <c r="BP145" s="360" t="s">
        <v>2091</v>
      </c>
      <c r="BQ145" s="329" t="str">
        <f t="shared" ca="1" si="103"/>
        <v>2023/01/15</v>
      </c>
      <c r="BR145" s="360" t="s">
        <v>2093</v>
      </c>
      <c r="BS145" s="160">
        <f t="shared" si="104"/>
        <v>1</v>
      </c>
      <c r="BT145" s="160" t="s">
        <v>2021</v>
      </c>
      <c r="BU145" s="322" t="str">
        <f t="shared" ca="1" si="105"/>
        <v>INSERT INTO TACHES(numTache,nameTache,descriptionTache,prioTache,stateTache,categoryTache,dateCreateTache,dateInProgressTache,dateToTestTache,dateEndThTache,dateEndRealTache,idProjet) VALUES ('16','tache16','tache16','Confort','Terminer','Realisation','2023/01/14','2023/01/14','2023/01/15','2023/01/15','2023/01/15',1);</v>
      </c>
      <c r="BV145" s="322" t="s">
        <v>2392</v>
      </c>
    </row>
    <row r="146" spans="6:74" ht="20.05" customHeight="1" outlineLevel="1" thickBot="1" x14ac:dyDescent="0.35">
      <c r="F146" s="160">
        <f t="shared" si="106"/>
        <v>17</v>
      </c>
      <c r="G146" s="160">
        <f t="shared" si="106"/>
        <v>17</v>
      </c>
      <c r="H146" s="160" t="s">
        <v>2134</v>
      </c>
      <c r="I146" s="160" t="str">
        <f t="shared" si="90"/>
        <v>tache17</v>
      </c>
      <c r="J146" s="160" t="s">
        <v>1867</v>
      </c>
      <c r="K146" s="160" t="s">
        <v>2375</v>
      </c>
      <c r="L146" s="160" t="s">
        <v>1879</v>
      </c>
      <c r="M146" s="329">
        <v>44936</v>
      </c>
      <c r="N146" s="329">
        <v>44936</v>
      </c>
      <c r="O146" s="329">
        <v>44936</v>
      </c>
      <c r="P146" s="329">
        <v>44936</v>
      </c>
      <c r="Q146" s="329">
        <v>44937</v>
      </c>
      <c r="R146" s="160">
        <v>1</v>
      </c>
      <c r="S146" s="160">
        <f t="shared" si="91"/>
        <v>3</v>
      </c>
      <c r="T146" s="160" t="s">
        <v>1922</v>
      </c>
      <c r="U146" s="322" t="str">
        <f t="shared" si="92"/>
        <v>TACHES</v>
      </c>
      <c r="V146" s="160" t="s">
        <v>2088</v>
      </c>
      <c r="W146" s="189" t="s">
        <v>355</v>
      </c>
      <c r="X146" s="360" t="s">
        <v>2020</v>
      </c>
      <c r="Y146" s="189" t="s">
        <v>337</v>
      </c>
      <c r="Z146" s="360" t="s">
        <v>2020</v>
      </c>
      <c r="AA146" s="189" t="s">
        <v>340</v>
      </c>
      <c r="AB146" s="360" t="s">
        <v>2020</v>
      </c>
      <c r="AC146" s="189" t="s">
        <v>266</v>
      </c>
      <c r="AD146" s="360" t="s">
        <v>2020</v>
      </c>
      <c r="AE146" s="189" t="s">
        <v>244</v>
      </c>
      <c r="AF146" s="360" t="s">
        <v>2020</v>
      </c>
      <c r="AG146" s="189" t="s">
        <v>296</v>
      </c>
      <c r="AH146" s="360" t="s">
        <v>2020</v>
      </c>
      <c r="AI146" s="189" t="s">
        <v>298</v>
      </c>
      <c r="AJ146" s="360" t="s">
        <v>2020</v>
      </c>
      <c r="AK146" s="189" t="s">
        <v>299</v>
      </c>
      <c r="AL146" s="360" t="s">
        <v>2020</v>
      </c>
      <c r="AM146" s="189" t="s">
        <v>300</v>
      </c>
      <c r="AN146" s="360" t="s">
        <v>2020</v>
      </c>
      <c r="AO146" s="189" t="s">
        <v>301</v>
      </c>
      <c r="AP146" s="360" t="s">
        <v>2020</v>
      </c>
      <c r="AQ146" s="192" t="s">
        <v>302</v>
      </c>
      <c r="AR146" s="360" t="s">
        <v>2020</v>
      </c>
      <c r="AS146" s="295" t="s">
        <v>287</v>
      </c>
      <c r="AT146" s="360"/>
      <c r="AU146" s="322"/>
      <c r="AV146" s="360" t="s">
        <v>2089</v>
      </c>
      <c r="AW146" s="160">
        <f t="shared" si="93"/>
        <v>17</v>
      </c>
      <c r="AX146" s="360" t="s">
        <v>2091</v>
      </c>
      <c r="AY146" s="160" t="str">
        <f t="shared" si="94"/>
        <v>tache17</v>
      </c>
      <c r="AZ146" s="360" t="s">
        <v>2091</v>
      </c>
      <c r="BA146" s="160" t="str">
        <f t="shared" si="95"/>
        <v>tache17</v>
      </c>
      <c r="BB146" s="360" t="s">
        <v>2091</v>
      </c>
      <c r="BC146" s="160" t="str">
        <f t="shared" si="96"/>
        <v>Vitale</v>
      </c>
      <c r="BD146" s="360" t="s">
        <v>2091</v>
      </c>
      <c r="BE146" s="160" t="str">
        <f t="shared" si="97"/>
        <v>Terminer</v>
      </c>
      <c r="BF146" s="360" t="s">
        <v>2091</v>
      </c>
      <c r="BG146" s="160" t="str">
        <f t="shared" si="98"/>
        <v>Realisation</v>
      </c>
      <c r="BH146" s="360" t="s">
        <v>2091</v>
      </c>
      <c r="BI146" s="371" t="str">
        <f t="shared" ca="1" si="99"/>
        <v>2023/01/10</v>
      </c>
      <c r="BJ146" s="360" t="s">
        <v>2091</v>
      </c>
      <c r="BK146" s="329" t="str">
        <f t="shared" ca="1" si="100"/>
        <v>2023/01/10</v>
      </c>
      <c r="BL146" s="360" t="s">
        <v>2091</v>
      </c>
      <c r="BM146" s="329" t="str">
        <f t="shared" ca="1" si="101"/>
        <v>2023/01/10</v>
      </c>
      <c r="BN146" s="360" t="s">
        <v>2091</v>
      </c>
      <c r="BO146" s="329" t="str">
        <f t="shared" ca="1" si="102"/>
        <v>2023/01/10</v>
      </c>
      <c r="BP146" s="360" t="s">
        <v>2091</v>
      </c>
      <c r="BQ146" s="329" t="str">
        <f t="shared" ca="1" si="103"/>
        <v>2023/01/11</v>
      </c>
      <c r="BR146" s="360" t="s">
        <v>2093</v>
      </c>
      <c r="BS146" s="160">
        <f t="shared" si="104"/>
        <v>1</v>
      </c>
      <c r="BT146" s="160" t="s">
        <v>2021</v>
      </c>
      <c r="BU146" s="322" t="str">
        <f t="shared" ca="1" si="105"/>
        <v>INSERT INTO TACHES(numTache,nameTache,descriptionTache,prioTache,stateTache,categoryTache,dateCreateTache,dateInProgressTache,dateToTestTache,dateEndThTache,dateEndRealTache,idProjet) VALUES ('17','tache17','tache17','Vitale','Terminer','Realisation','2023/01/10','2023/01/10','2023/01/10','2023/01/10','2023/01/11',1);</v>
      </c>
      <c r="BV146" s="322" t="s">
        <v>2393</v>
      </c>
    </row>
    <row r="147" spans="6:74" ht="28.2" customHeight="1" thickBot="1" x14ac:dyDescent="0.35">
      <c r="F147" s="160">
        <f t="shared" si="106"/>
        <v>18</v>
      </c>
      <c r="G147" s="160">
        <f t="shared" si="106"/>
        <v>18</v>
      </c>
      <c r="H147" s="160" t="s">
        <v>2135</v>
      </c>
      <c r="I147" s="160" t="str">
        <f t="shared" si="90"/>
        <v>tache18</v>
      </c>
      <c r="J147" s="160" t="s">
        <v>1867</v>
      </c>
      <c r="K147" s="160" t="s">
        <v>2375</v>
      </c>
      <c r="L147" s="160" t="s">
        <v>1880</v>
      </c>
      <c r="M147" s="329">
        <v>44942</v>
      </c>
      <c r="N147" s="329">
        <v>44942</v>
      </c>
      <c r="O147" s="329">
        <v>44942</v>
      </c>
      <c r="P147" s="329">
        <v>44943</v>
      </c>
      <c r="Q147" s="329">
        <v>44943</v>
      </c>
      <c r="R147" s="160">
        <v>1</v>
      </c>
      <c r="S147" s="160">
        <f t="shared" si="91"/>
        <v>3</v>
      </c>
      <c r="T147" s="160" t="s">
        <v>1922</v>
      </c>
      <c r="U147" s="322" t="str">
        <f t="shared" si="92"/>
        <v>TACHES</v>
      </c>
      <c r="V147" s="160" t="s">
        <v>2088</v>
      </c>
      <c r="W147" s="189" t="s">
        <v>355</v>
      </c>
      <c r="X147" s="360" t="s">
        <v>2020</v>
      </c>
      <c r="Y147" s="189" t="s">
        <v>337</v>
      </c>
      <c r="Z147" s="360" t="s">
        <v>2020</v>
      </c>
      <c r="AA147" s="189" t="s">
        <v>340</v>
      </c>
      <c r="AB147" s="360" t="s">
        <v>2020</v>
      </c>
      <c r="AC147" s="189" t="s">
        <v>266</v>
      </c>
      <c r="AD147" s="360" t="s">
        <v>2020</v>
      </c>
      <c r="AE147" s="189" t="s">
        <v>244</v>
      </c>
      <c r="AF147" s="360" t="s">
        <v>2020</v>
      </c>
      <c r="AG147" s="189" t="s">
        <v>296</v>
      </c>
      <c r="AH147" s="360" t="s">
        <v>2020</v>
      </c>
      <c r="AI147" s="189" t="s">
        <v>298</v>
      </c>
      <c r="AJ147" s="360" t="s">
        <v>2020</v>
      </c>
      <c r="AK147" s="189" t="s">
        <v>299</v>
      </c>
      <c r="AL147" s="360" t="s">
        <v>2020</v>
      </c>
      <c r="AM147" s="189" t="s">
        <v>300</v>
      </c>
      <c r="AN147" s="360" t="s">
        <v>2020</v>
      </c>
      <c r="AO147" s="189" t="s">
        <v>301</v>
      </c>
      <c r="AP147" s="360" t="s">
        <v>2020</v>
      </c>
      <c r="AQ147" s="192" t="s">
        <v>302</v>
      </c>
      <c r="AR147" s="360" t="s">
        <v>2020</v>
      </c>
      <c r="AS147" s="295" t="s">
        <v>287</v>
      </c>
      <c r="AT147" s="360"/>
      <c r="AU147" s="322"/>
      <c r="AV147" s="360" t="s">
        <v>2089</v>
      </c>
      <c r="AW147" s="160">
        <f t="shared" si="93"/>
        <v>18</v>
      </c>
      <c r="AX147" s="360" t="s">
        <v>2091</v>
      </c>
      <c r="AY147" s="160" t="str">
        <f t="shared" si="94"/>
        <v>tache18</v>
      </c>
      <c r="AZ147" s="360" t="s">
        <v>2091</v>
      </c>
      <c r="BA147" s="160" t="str">
        <f t="shared" si="95"/>
        <v>tache18</v>
      </c>
      <c r="BB147" s="360" t="s">
        <v>2091</v>
      </c>
      <c r="BC147" s="160" t="str">
        <f t="shared" si="96"/>
        <v>Vitale</v>
      </c>
      <c r="BD147" s="360" t="s">
        <v>2091</v>
      </c>
      <c r="BE147" s="160" t="str">
        <f t="shared" si="97"/>
        <v>Terminer</v>
      </c>
      <c r="BF147" s="360" t="s">
        <v>2091</v>
      </c>
      <c r="BG147" s="160" t="str">
        <f t="shared" si="98"/>
        <v>Exploitation</v>
      </c>
      <c r="BH147" s="360" t="s">
        <v>2091</v>
      </c>
      <c r="BI147" s="371" t="str">
        <f t="shared" ca="1" si="99"/>
        <v>2023/01/16</v>
      </c>
      <c r="BJ147" s="360" t="s">
        <v>2091</v>
      </c>
      <c r="BK147" s="329" t="str">
        <f t="shared" ca="1" si="100"/>
        <v>2023/01/16</v>
      </c>
      <c r="BL147" s="360" t="s">
        <v>2091</v>
      </c>
      <c r="BM147" s="329" t="str">
        <f t="shared" ca="1" si="101"/>
        <v>2023/01/16</v>
      </c>
      <c r="BN147" s="360" t="s">
        <v>2091</v>
      </c>
      <c r="BO147" s="329" t="str">
        <f t="shared" ca="1" si="102"/>
        <v>2023/01/17</v>
      </c>
      <c r="BP147" s="360" t="s">
        <v>2091</v>
      </c>
      <c r="BQ147" s="329" t="str">
        <f t="shared" ca="1" si="103"/>
        <v>2023/01/17</v>
      </c>
      <c r="BR147" s="360" t="s">
        <v>2093</v>
      </c>
      <c r="BS147" s="160">
        <f t="shared" si="104"/>
        <v>1</v>
      </c>
      <c r="BT147" s="160" t="s">
        <v>2021</v>
      </c>
      <c r="BU147" s="322" t="str">
        <f t="shared" ca="1" si="105"/>
        <v>INSERT INTO TACHES(numTache,nameTache,descriptionTache,prioTache,stateTache,categoryTache,dateCreateTache,dateInProgressTache,dateToTestTache,dateEndThTache,dateEndRealTache,idProjet) VALUES ('18','tache18','tache18','Vitale','Terminer','Exploitation','2023/01/16','2023/01/16','2023/01/16','2023/01/17','2023/01/17',1);</v>
      </c>
      <c r="BV147" s="322" t="s">
        <v>2394</v>
      </c>
    </row>
    <row r="148" spans="6:74" ht="20.05" customHeight="1" outlineLevel="1" thickBot="1" x14ac:dyDescent="0.35">
      <c r="F148" s="160">
        <f t="shared" ref="F148:G163" si="107">F147+1</f>
        <v>19</v>
      </c>
      <c r="G148" s="160">
        <v>1</v>
      </c>
      <c r="H148" s="160" t="s">
        <v>2118</v>
      </c>
      <c r="I148" s="160" t="str">
        <f t="shared" si="90"/>
        <v>tache1</v>
      </c>
      <c r="J148" s="160" t="s">
        <v>1867</v>
      </c>
      <c r="K148" s="160" t="s">
        <v>2375</v>
      </c>
      <c r="L148" s="160" t="s">
        <v>1876</v>
      </c>
      <c r="M148" s="329">
        <v>44928</v>
      </c>
      <c r="N148" s="329">
        <f>M148</f>
        <v>44928</v>
      </c>
      <c r="O148" s="329">
        <f>M148</f>
        <v>44928</v>
      </c>
      <c r="P148" s="329">
        <f>M148</f>
        <v>44928</v>
      </c>
      <c r="Q148" s="329">
        <f>M148</f>
        <v>44928</v>
      </c>
      <c r="R148" s="160">
        <v>2</v>
      </c>
      <c r="S148" s="160">
        <f t="shared" si="91"/>
        <v>2</v>
      </c>
      <c r="T148" s="160" t="s">
        <v>1922</v>
      </c>
      <c r="U148" s="322" t="str">
        <f t="shared" si="92"/>
        <v>TACHES</v>
      </c>
      <c r="V148" s="160" t="s">
        <v>2088</v>
      </c>
      <c r="W148" s="189" t="s">
        <v>355</v>
      </c>
      <c r="X148" s="360" t="s">
        <v>2020</v>
      </c>
      <c r="Y148" s="189" t="s">
        <v>337</v>
      </c>
      <c r="Z148" s="360" t="s">
        <v>2020</v>
      </c>
      <c r="AA148" s="189" t="s">
        <v>340</v>
      </c>
      <c r="AB148" s="360" t="s">
        <v>2020</v>
      </c>
      <c r="AC148" s="189" t="s">
        <v>266</v>
      </c>
      <c r="AD148" s="360" t="s">
        <v>2020</v>
      </c>
      <c r="AE148" s="189" t="s">
        <v>244</v>
      </c>
      <c r="AF148" s="360" t="s">
        <v>2020</v>
      </c>
      <c r="AG148" s="189" t="s">
        <v>296</v>
      </c>
      <c r="AH148" s="360" t="s">
        <v>2020</v>
      </c>
      <c r="AI148" s="189" t="s">
        <v>298</v>
      </c>
      <c r="AJ148" s="360" t="s">
        <v>2020</v>
      </c>
      <c r="AK148" s="189" t="s">
        <v>299</v>
      </c>
      <c r="AL148" s="360" t="s">
        <v>2020</v>
      </c>
      <c r="AM148" s="189" t="s">
        <v>300</v>
      </c>
      <c r="AN148" s="360" t="s">
        <v>2020</v>
      </c>
      <c r="AO148" s="189" t="s">
        <v>301</v>
      </c>
      <c r="AP148" s="360" t="s">
        <v>2020</v>
      </c>
      <c r="AQ148" s="192" t="s">
        <v>302</v>
      </c>
      <c r="AR148" s="360" t="s">
        <v>2020</v>
      </c>
      <c r="AS148" s="295" t="s">
        <v>287</v>
      </c>
      <c r="AT148" s="360"/>
      <c r="AU148" s="322"/>
      <c r="AV148" s="360" t="s">
        <v>2089</v>
      </c>
      <c r="AW148" s="160">
        <f t="shared" si="93"/>
        <v>1</v>
      </c>
      <c r="AX148" s="360" t="s">
        <v>2091</v>
      </c>
      <c r="AY148" s="160" t="str">
        <f t="shared" si="94"/>
        <v>tache1</v>
      </c>
      <c r="AZ148" s="360" t="s">
        <v>2091</v>
      </c>
      <c r="BA148" s="160" t="str">
        <f t="shared" si="95"/>
        <v>tache1</v>
      </c>
      <c r="BB148" s="360" t="s">
        <v>2091</v>
      </c>
      <c r="BC148" s="160" t="str">
        <f t="shared" si="96"/>
        <v>Vitale</v>
      </c>
      <c r="BD148" s="360" t="s">
        <v>2091</v>
      </c>
      <c r="BE148" s="160" t="str">
        <f t="shared" si="97"/>
        <v>Terminer</v>
      </c>
      <c r="BF148" s="360" t="s">
        <v>2091</v>
      </c>
      <c r="BG148" s="160" t="str">
        <f t="shared" si="98"/>
        <v>Initialisation</v>
      </c>
      <c r="BH148" s="360" t="s">
        <v>2091</v>
      </c>
      <c r="BI148" s="371" t="str">
        <f t="shared" ca="1" si="99"/>
        <v>2023/01/02</v>
      </c>
      <c r="BJ148" s="360" t="s">
        <v>2091</v>
      </c>
      <c r="BK148" s="329" t="str">
        <f t="shared" ca="1" si="100"/>
        <v>2023/01/02</v>
      </c>
      <c r="BL148" s="360" t="s">
        <v>2091</v>
      </c>
      <c r="BM148" s="329" t="str">
        <f t="shared" ca="1" si="101"/>
        <v>2023/01/02</v>
      </c>
      <c r="BN148" s="360" t="s">
        <v>2091</v>
      </c>
      <c r="BO148" s="329" t="str">
        <f t="shared" ca="1" si="102"/>
        <v>2023/01/02</v>
      </c>
      <c r="BP148" s="360" t="s">
        <v>2091</v>
      </c>
      <c r="BQ148" s="329" t="str">
        <f t="shared" ca="1" si="103"/>
        <v>2023/01/02</v>
      </c>
      <c r="BR148" s="360" t="s">
        <v>2093</v>
      </c>
      <c r="BS148" s="160">
        <f t="shared" si="104"/>
        <v>2</v>
      </c>
      <c r="BT148" s="160" t="s">
        <v>2021</v>
      </c>
      <c r="BU148" s="322" t="str">
        <f t="shared" ca="1" si="105"/>
        <v>INSERT INTO TACHES(numTache,nameTache,descriptionTache,prioTache,stateTache,categoryTache,dateCreateTache,dateInProgressTache,dateToTestTache,dateEndThTache,dateEndRealTache,idProjet) VALUES ('1','tache1','tache1','Vitale','Terminer','Initialisation','2023/01/02','2023/01/02','2023/01/02','2023/01/02','2023/01/02',2);</v>
      </c>
      <c r="BV148" s="322" t="s">
        <v>2395</v>
      </c>
    </row>
    <row r="149" spans="6:74" ht="20.05" customHeight="1" outlineLevel="1" thickBot="1" x14ac:dyDescent="0.35">
      <c r="F149" s="160">
        <f t="shared" si="107"/>
        <v>20</v>
      </c>
      <c r="G149" s="160">
        <f>G148+1</f>
        <v>2</v>
      </c>
      <c r="H149" s="160" t="s">
        <v>2119</v>
      </c>
      <c r="I149" s="160" t="str">
        <f t="shared" si="90"/>
        <v>tache2</v>
      </c>
      <c r="J149" s="160" t="s">
        <v>1867</v>
      </c>
      <c r="K149" s="160" t="s">
        <v>2375</v>
      </c>
      <c r="L149" s="160" t="s">
        <v>1876</v>
      </c>
      <c r="M149" s="329">
        <f>Q148</f>
        <v>44928</v>
      </c>
      <c r="N149" s="329">
        <f t="shared" ref="N149:N212" si="108">M149</f>
        <v>44928</v>
      </c>
      <c r="O149" s="329">
        <f>M149</f>
        <v>44928</v>
      </c>
      <c r="P149" s="329">
        <f>M149</f>
        <v>44928</v>
      </c>
      <c r="Q149" s="329">
        <f>M149</f>
        <v>44928</v>
      </c>
      <c r="R149" s="160">
        <v>2</v>
      </c>
      <c r="S149" s="160">
        <f t="shared" si="91"/>
        <v>2</v>
      </c>
      <c r="T149" s="160" t="s">
        <v>1922</v>
      </c>
      <c r="U149" s="322" t="str">
        <f t="shared" si="92"/>
        <v>TACHES</v>
      </c>
      <c r="V149" s="160" t="s">
        <v>2088</v>
      </c>
      <c r="W149" s="189" t="s">
        <v>355</v>
      </c>
      <c r="X149" s="360" t="s">
        <v>2020</v>
      </c>
      <c r="Y149" s="189" t="s">
        <v>337</v>
      </c>
      <c r="Z149" s="360" t="s">
        <v>2020</v>
      </c>
      <c r="AA149" s="189" t="s">
        <v>340</v>
      </c>
      <c r="AB149" s="360" t="s">
        <v>2020</v>
      </c>
      <c r="AC149" s="189" t="s">
        <v>266</v>
      </c>
      <c r="AD149" s="360" t="s">
        <v>2020</v>
      </c>
      <c r="AE149" s="189" t="s">
        <v>244</v>
      </c>
      <c r="AF149" s="360" t="s">
        <v>2020</v>
      </c>
      <c r="AG149" s="189" t="s">
        <v>296</v>
      </c>
      <c r="AH149" s="360" t="s">
        <v>2020</v>
      </c>
      <c r="AI149" s="189" t="s">
        <v>298</v>
      </c>
      <c r="AJ149" s="360" t="s">
        <v>2020</v>
      </c>
      <c r="AK149" s="189" t="s">
        <v>299</v>
      </c>
      <c r="AL149" s="360" t="s">
        <v>2020</v>
      </c>
      <c r="AM149" s="189" t="s">
        <v>300</v>
      </c>
      <c r="AN149" s="360" t="s">
        <v>2020</v>
      </c>
      <c r="AO149" s="189" t="s">
        <v>301</v>
      </c>
      <c r="AP149" s="360" t="s">
        <v>2020</v>
      </c>
      <c r="AQ149" s="192" t="s">
        <v>302</v>
      </c>
      <c r="AR149" s="360" t="s">
        <v>2020</v>
      </c>
      <c r="AS149" s="295" t="s">
        <v>287</v>
      </c>
      <c r="AT149" s="360"/>
      <c r="AU149" s="322"/>
      <c r="AV149" s="360" t="s">
        <v>2089</v>
      </c>
      <c r="AW149" s="160">
        <f t="shared" si="93"/>
        <v>2</v>
      </c>
      <c r="AX149" s="360" t="s">
        <v>2091</v>
      </c>
      <c r="AY149" s="160" t="str">
        <f t="shared" si="94"/>
        <v>tache2</v>
      </c>
      <c r="AZ149" s="360" t="s">
        <v>2091</v>
      </c>
      <c r="BA149" s="160" t="str">
        <f t="shared" si="95"/>
        <v>tache2</v>
      </c>
      <c r="BB149" s="360" t="s">
        <v>2091</v>
      </c>
      <c r="BC149" s="160" t="str">
        <f t="shared" si="96"/>
        <v>Vitale</v>
      </c>
      <c r="BD149" s="360" t="s">
        <v>2091</v>
      </c>
      <c r="BE149" s="160" t="str">
        <f t="shared" si="97"/>
        <v>Terminer</v>
      </c>
      <c r="BF149" s="360" t="s">
        <v>2091</v>
      </c>
      <c r="BG149" s="160" t="str">
        <f t="shared" si="98"/>
        <v>Initialisation</v>
      </c>
      <c r="BH149" s="360" t="s">
        <v>2091</v>
      </c>
      <c r="BI149" s="371" t="str">
        <f t="shared" ca="1" si="99"/>
        <v>2023/01/02</v>
      </c>
      <c r="BJ149" s="360" t="s">
        <v>2091</v>
      </c>
      <c r="BK149" s="329" t="str">
        <f t="shared" ca="1" si="100"/>
        <v>2023/01/02</v>
      </c>
      <c r="BL149" s="360" t="s">
        <v>2091</v>
      </c>
      <c r="BM149" s="329" t="str">
        <f t="shared" ca="1" si="101"/>
        <v>2023/01/02</v>
      </c>
      <c r="BN149" s="360" t="s">
        <v>2091</v>
      </c>
      <c r="BO149" s="329" t="str">
        <f t="shared" ca="1" si="102"/>
        <v>2023/01/02</v>
      </c>
      <c r="BP149" s="360" t="s">
        <v>2091</v>
      </c>
      <c r="BQ149" s="329" t="str">
        <f t="shared" ca="1" si="103"/>
        <v>2023/01/02</v>
      </c>
      <c r="BR149" s="360" t="s">
        <v>2093</v>
      </c>
      <c r="BS149" s="160">
        <f t="shared" si="104"/>
        <v>2</v>
      </c>
      <c r="BT149" s="160" t="s">
        <v>2021</v>
      </c>
      <c r="BU149" s="322" t="str">
        <f t="shared" ca="1" si="105"/>
        <v>INSERT INTO TACHES(numTache,nameTache,descriptionTache,prioTache,stateTache,categoryTache,dateCreateTache,dateInProgressTache,dateToTestTache,dateEndThTache,dateEndRealTache,idProjet) VALUES ('2','tache2','tache2','Vitale','Terminer','Initialisation','2023/01/02','2023/01/02','2023/01/02','2023/01/02','2023/01/02',2);</v>
      </c>
      <c r="BV149" s="322" t="s">
        <v>2396</v>
      </c>
    </row>
    <row r="150" spans="6:74" ht="20.05" customHeight="1" outlineLevel="1" thickBot="1" x14ac:dyDescent="0.35">
      <c r="F150" s="160">
        <f t="shared" si="107"/>
        <v>21</v>
      </c>
      <c r="G150" s="160">
        <f t="shared" si="107"/>
        <v>3</v>
      </c>
      <c r="H150" s="160" t="s">
        <v>2120</v>
      </c>
      <c r="I150" s="160" t="str">
        <f t="shared" si="90"/>
        <v>tache3</v>
      </c>
      <c r="J150" s="160" t="s">
        <v>1867</v>
      </c>
      <c r="K150" s="160" t="s">
        <v>2375</v>
      </c>
      <c r="L150" s="160" t="s">
        <v>1877</v>
      </c>
      <c r="M150" s="329">
        <f>Q149</f>
        <v>44928</v>
      </c>
      <c r="N150" s="329">
        <f t="shared" si="108"/>
        <v>44928</v>
      </c>
      <c r="O150" s="329">
        <f>M150</f>
        <v>44928</v>
      </c>
      <c r="P150" s="329">
        <f>M150</f>
        <v>44928</v>
      </c>
      <c r="Q150" s="329">
        <f>M150</f>
        <v>44928</v>
      </c>
      <c r="R150" s="160">
        <v>2</v>
      </c>
      <c r="S150" s="160">
        <f t="shared" si="91"/>
        <v>2</v>
      </c>
      <c r="T150" s="160" t="s">
        <v>1922</v>
      </c>
      <c r="U150" s="322" t="str">
        <f t="shared" si="92"/>
        <v>TACHES</v>
      </c>
      <c r="V150" s="160" t="s">
        <v>2088</v>
      </c>
      <c r="W150" s="189" t="s">
        <v>355</v>
      </c>
      <c r="X150" s="360" t="s">
        <v>2020</v>
      </c>
      <c r="Y150" s="189" t="s">
        <v>337</v>
      </c>
      <c r="Z150" s="360" t="s">
        <v>2020</v>
      </c>
      <c r="AA150" s="189" t="s">
        <v>340</v>
      </c>
      <c r="AB150" s="360" t="s">
        <v>2020</v>
      </c>
      <c r="AC150" s="189" t="s">
        <v>266</v>
      </c>
      <c r="AD150" s="360" t="s">
        <v>2020</v>
      </c>
      <c r="AE150" s="189" t="s">
        <v>244</v>
      </c>
      <c r="AF150" s="360" t="s">
        <v>2020</v>
      </c>
      <c r="AG150" s="189" t="s">
        <v>296</v>
      </c>
      <c r="AH150" s="360" t="s">
        <v>2020</v>
      </c>
      <c r="AI150" s="189" t="s">
        <v>298</v>
      </c>
      <c r="AJ150" s="360" t="s">
        <v>2020</v>
      </c>
      <c r="AK150" s="189" t="s">
        <v>299</v>
      </c>
      <c r="AL150" s="360" t="s">
        <v>2020</v>
      </c>
      <c r="AM150" s="189" t="s">
        <v>300</v>
      </c>
      <c r="AN150" s="360" t="s">
        <v>2020</v>
      </c>
      <c r="AO150" s="189" t="s">
        <v>301</v>
      </c>
      <c r="AP150" s="360" t="s">
        <v>2020</v>
      </c>
      <c r="AQ150" s="192" t="s">
        <v>302</v>
      </c>
      <c r="AR150" s="360" t="s">
        <v>2020</v>
      </c>
      <c r="AS150" s="295" t="s">
        <v>287</v>
      </c>
      <c r="AT150" s="360"/>
      <c r="AU150" s="322"/>
      <c r="AV150" s="360" t="s">
        <v>2089</v>
      </c>
      <c r="AW150" s="160">
        <f t="shared" si="93"/>
        <v>3</v>
      </c>
      <c r="AX150" s="360" t="s">
        <v>2091</v>
      </c>
      <c r="AY150" s="160" t="str">
        <f t="shared" si="94"/>
        <v>tache3</v>
      </c>
      <c r="AZ150" s="360" t="s">
        <v>2091</v>
      </c>
      <c r="BA150" s="160" t="str">
        <f t="shared" si="95"/>
        <v>tache3</v>
      </c>
      <c r="BB150" s="360" t="s">
        <v>2091</v>
      </c>
      <c r="BC150" s="160" t="str">
        <f t="shared" si="96"/>
        <v>Vitale</v>
      </c>
      <c r="BD150" s="360" t="s">
        <v>2091</v>
      </c>
      <c r="BE150" s="160" t="str">
        <f t="shared" si="97"/>
        <v>Terminer</v>
      </c>
      <c r="BF150" s="360" t="s">
        <v>2091</v>
      </c>
      <c r="BG150" s="160" t="str">
        <f t="shared" si="98"/>
        <v>Analyse</v>
      </c>
      <c r="BH150" s="360" t="s">
        <v>2091</v>
      </c>
      <c r="BI150" s="371" t="str">
        <f t="shared" ca="1" si="99"/>
        <v>2023/01/02</v>
      </c>
      <c r="BJ150" s="360" t="s">
        <v>2091</v>
      </c>
      <c r="BK150" s="329" t="str">
        <f t="shared" ca="1" si="100"/>
        <v>2023/01/02</v>
      </c>
      <c r="BL150" s="360" t="s">
        <v>2091</v>
      </c>
      <c r="BM150" s="329" t="str">
        <f t="shared" ca="1" si="101"/>
        <v>2023/01/02</v>
      </c>
      <c r="BN150" s="360" t="s">
        <v>2091</v>
      </c>
      <c r="BO150" s="329" t="str">
        <f t="shared" ca="1" si="102"/>
        <v>2023/01/02</v>
      </c>
      <c r="BP150" s="360" t="s">
        <v>2091</v>
      </c>
      <c r="BQ150" s="329" t="str">
        <f t="shared" ca="1" si="103"/>
        <v>2023/01/02</v>
      </c>
      <c r="BR150" s="360" t="s">
        <v>2093</v>
      </c>
      <c r="BS150" s="160">
        <f t="shared" si="104"/>
        <v>2</v>
      </c>
      <c r="BT150" s="160" t="s">
        <v>2021</v>
      </c>
      <c r="BU150" s="322" t="str">
        <f t="shared" ca="1" si="105"/>
        <v>INSERT INTO TACHES(numTache,nameTache,descriptionTache,prioTache,stateTache,categoryTache,dateCreateTache,dateInProgressTache,dateToTestTache,dateEndThTache,dateEndRealTache,idProjet) VALUES ('3','tache3','tache3','Vitale','Terminer','Analyse','2023/01/02','2023/01/02','2023/01/02','2023/01/02','2023/01/02',2);</v>
      </c>
      <c r="BV150" s="322" t="s">
        <v>2397</v>
      </c>
    </row>
    <row r="151" spans="6:74" ht="20.05" customHeight="1" outlineLevel="1" thickBot="1" x14ac:dyDescent="0.35">
      <c r="F151" s="160">
        <f t="shared" si="107"/>
        <v>22</v>
      </c>
      <c r="G151" s="160">
        <f t="shared" si="107"/>
        <v>4</v>
      </c>
      <c r="H151" s="160" t="s">
        <v>2121</v>
      </c>
      <c r="I151" s="160" t="str">
        <f t="shared" si="90"/>
        <v>tache4</v>
      </c>
      <c r="J151" s="160" t="s">
        <v>1867</v>
      </c>
      <c r="K151" s="160" t="s">
        <v>2375</v>
      </c>
      <c r="L151" s="160" t="s">
        <v>1877</v>
      </c>
      <c r="M151" s="329">
        <f>Q150+1</f>
        <v>44929</v>
      </c>
      <c r="N151" s="329">
        <f t="shared" si="108"/>
        <v>44929</v>
      </c>
      <c r="O151" s="329">
        <f>M151</f>
        <v>44929</v>
      </c>
      <c r="P151" s="329">
        <f>M151</f>
        <v>44929</v>
      </c>
      <c r="Q151" s="329">
        <f>M151</f>
        <v>44929</v>
      </c>
      <c r="R151" s="160">
        <v>2</v>
      </c>
      <c r="S151" s="160">
        <f t="shared" si="91"/>
        <v>2</v>
      </c>
      <c r="T151" s="160" t="s">
        <v>1922</v>
      </c>
      <c r="U151" s="322" t="str">
        <f t="shared" si="92"/>
        <v>TACHES</v>
      </c>
      <c r="V151" s="160" t="s">
        <v>2088</v>
      </c>
      <c r="W151" s="189" t="s">
        <v>355</v>
      </c>
      <c r="X151" s="360" t="s">
        <v>2020</v>
      </c>
      <c r="Y151" s="189" t="s">
        <v>337</v>
      </c>
      <c r="Z151" s="360" t="s">
        <v>2020</v>
      </c>
      <c r="AA151" s="189" t="s">
        <v>340</v>
      </c>
      <c r="AB151" s="360" t="s">
        <v>2020</v>
      </c>
      <c r="AC151" s="189" t="s">
        <v>266</v>
      </c>
      <c r="AD151" s="360" t="s">
        <v>2020</v>
      </c>
      <c r="AE151" s="189" t="s">
        <v>244</v>
      </c>
      <c r="AF151" s="360" t="s">
        <v>2020</v>
      </c>
      <c r="AG151" s="189" t="s">
        <v>296</v>
      </c>
      <c r="AH151" s="360" t="s">
        <v>2020</v>
      </c>
      <c r="AI151" s="189" t="s">
        <v>298</v>
      </c>
      <c r="AJ151" s="360" t="s">
        <v>2020</v>
      </c>
      <c r="AK151" s="189" t="s">
        <v>299</v>
      </c>
      <c r="AL151" s="360" t="s">
        <v>2020</v>
      </c>
      <c r="AM151" s="189" t="s">
        <v>300</v>
      </c>
      <c r="AN151" s="360" t="s">
        <v>2020</v>
      </c>
      <c r="AO151" s="189" t="s">
        <v>301</v>
      </c>
      <c r="AP151" s="360" t="s">
        <v>2020</v>
      </c>
      <c r="AQ151" s="192" t="s">
        <v>302</v>
      </c>
      <c r="AR151" s="360" t="s">
        <v>2020</v>
      </c>
      <c r="AS151" s="295" t="s">
        <v>287</v>
      </c>
      <c r="AT151" s="360"/>
      <c r="AU151" s="322"/>
      <c r="AV151" s="360" t="s">
        <v>2089</v>
      </c>
      <c r="AW151" s="160">
        <f t="shared" si="93"/>
        <v>4</v>
      </c>
      <c r="AX151" s="360" t="s">
        <v>2091</v>
      </c>
      <c r="AY151" s="160" t="str">
        <f t="shared" si="94"/>
        <v>tache4</v>
      </c>
      <c r="AZ151" s="360" t="s">
        <v>2091</v>
      </c>
      <c r="BA151" s="160" t="str">
        <f t="shared" si="95"/>
        <v>tache4</v>
      </c>
      <c r="BB151" s="360" t="s">
        <v>2091</v>
      </c>
      <c r="BC151" s="160" t="str">
        <f t="shared" si="96"/>
        <v>Vitale</v>
      </c>
      <c r="BD151" s="360" t="s">
        <v>2091</v>
      </c>
      <c r="BE151" s="160" t="str">
        <f t="shared" si="97"/>
        <v>Terminer</v>
      </c>
      <c r="BF151" s="360" t="s">
        <v>2091</v>
      </c>
      <c r="BG151" s="160" t="str">
        <f t="shared" si="98"/>
        <v>Analyse</v>
      </c>
      <c r="BH151" s="360" t="s">
        <v>2091</v>
      </c>
      <c r="BI151" s="371" t="str">
        <f t="shared" ca="1" si="99"/>
        <v>2023/01/03</v>
      </c>
      <c r="BJ151" s="360" t="s">
        <v>2091</v>
      </c>
      <c r="BK151" s="329" t="str">
        <f t="shared" ca="1" si="100"/>
        <v>2023/01/03</v>
      </c>
      <c r="BL151" s="360" t="s">
        <v>2091</v>
      </c>
      <c r="BM151" s="329" t="str">
        <f t="shared" ca="1" si="101"/>
        <v>2023/01/03</v>
      </c>
      <c r="BN151" s="360" t="s">
        <v>2091</v>
      </c>
      <c r="BO151" s="329" t="str">
        <f t="shared" ca="1" si="102"/>
        <v>2023/01/03</v>
      </c>
      <c r="BP151" s="360" t="s">
        <v>2091</v>
      </c>
      <c r="BQ151" s="329" t="str">
        <f t="shared" ca="1" si="103"/>
        <v>2023/01/03</v>
      </c>
      <c r="BR151" s="360" t="s">
        <v>2093</v>
      </c>
      <c r="BS151" s="160">
        <f t="shared" si="104"/>
        <v>2</v>
      </c>
      <c r="BT151" s="160" t="s">
        <v>2021</v>
      </c>
      <c r="BU151" s="322" t="str">
        <f t="shared" ca="1" si="105"/>
        <v>INSERT INTO TACHES(numTache,nameTache,descriptionTache,prioTache,stateTache,categoryTache,dateCreateTache,dateInProgressTache,dateToTestTache,dateEndThTache,dateEndRealTache,idProjet) VALUES ('4','tache4','tache4','Vitale','Terminer','Analyse','2023/01/03','2023/01/03','2023/01/03','2023/01/03','2023/01/03',2);</v>
      </c>
      <c r="BV151" s="322" t="s">
        <v>2398</v>
      </c>
    </row>
    <row r="152" spans="6:74" ht="78.3" customHeight="1" outlineLevel="1" thickBot="1" x14ac:dyDescent="0.35">
      <c r="F152" s="160">
        <f t="shared" si="107"/>
        <v>23</v>
      </c>
      <c r="G152" s="160">
        <f t="shared" si="107"/>
        <v>5</v>
      </c>
      <c r="H152" s="160" t="s">
        <v>2122</v>
      </c>
      <c r="I152" s="160" t="str">
        <f t="shared" si="90"/>
        <v>tache5</v>
      </c>
      <c r="J152" s="160" t="s">
        <v>1867</v>
      </c>
      <c r="K152" s="160" t="s">
        <v>2375</v>
      </c>
      <c r="L152" s="160" t="s">
        <v>1878</v>
      </c>
      <c r="M152" s="329">
        <f>Q151</f>
        <v>44929</v>
      </c>
      <c r="N152" s="329">
        <f t="shared" si="108"/>
        <v>44929</v>
      </c>
      <c r="O152" s="329">
        <f>M152</f>
        <v>44929</v>
      </c>
      <c r="P152" s="329">
        <f>O152+1</f>
        <v>44930</v>
      </c>
      <c r="Q152" s="329">
        <f>P152</f>
        <v>44930</v>
      </c>
      <c r="R152" s="160">
        <v>2</v>
      </c>
      <c r="S152" s="160">
        <f t="shared" si="91"/>
        <v>3</v>
      </c>
      <c r="T152" s="160" t="s">
        <v>1922</v>
      </c>
      <c r="U152" s="322" t="str">
        <f t="shared" si="92"/>
        <v>TACHES</v>
      </c>
      <c r="V152" s="160" t="s">
        <v>2088</v>
      </c>
      <c r="W152" s="189" t="s">
        <v>355</v>
      </c>
      <c r="X152" s="360" t="s">
        <v>2020</v>
      </c>
      <c r="Y152" s="189" t="s">
        <v>337</v>
      </c>
      <c r="Z152" s="360" t="s">
        <v>2020</v>
      </c>
      <c r="AA152" s="189" t="s">
        <v>340</v>
      </c>
      <c r="AB152" s="360" t="s">
        <v>2020</v>
      </c>
      <c r="AC152" s="189" t="s">
        <v>266</v>
      </c>
      <c r="AD152" s="360" t="s">
        <v>2020</v>
      </c>
      <c r="AE152" s="189" t="s">
        <v>244</v>
      </c>
      <c r="AF152" s="360" t="s">
        <v>2020</v>
      </c>
      <c r="AG152" s="189" t="s">
        <v>296</v>
      </c>
      <c r="AH152" s="360" t="s">
        <v>2020</v>
      </c>
      <c r="AI152" s="189" t="s">
        <v>298</v>
      </c>
      <c r="AJ152" s="360" t="s">
        <v>2020</v>
      </c>
      <c r="AK152" s="189" t="s">
        <v>299</v>
      </c>
      <c r="AL152" s="360" t="s">
        <v>2020</v>
      </c>
      <c r="AM152" s="189" t="s">
        <v>300</v>
      </c>
      <c r="AN152" s="360" t="s">
        <v>2020</v>
      </c>
      <c r="AO152" s="189" t="s">
        <v>301</v>
      </c>
      <c r="AP152" s="360" t="s">
        <v>2020</v>
      </c>
      <c r="AQ152" s="192" t="s">
        <v>302</v>
      </c>
      <c r="AR152" s="360" t="s">
        <v>2020</v>
      </c>
      <c r="AS152" s="295" t="s">
        <v>287</v>
      </c>
      <c r="AT152" s="360"/>
      <c r="AU152" s="322"/>
      <c r="AV152" s="360" t="s">
        <v>2089</v>
      </c>
      <c r="AW152" s="160">
        <f t="shared" si="93"/>
        <v>5</v>
      </c>
      <c r="AX152" s="360" t="s">
        <v>2091</v>
      </c>
      <c r="AY152" s="160" t="str">
        <f t="shared" si="94"/>
        <v>tache5</v>
      </c>
      <c r="AZ152" s="360" t="s">
        <v>2091</v>
      </c>
      <c r="BA152" s="160" t="str">
        <f t="shared" si="95"/>
        <v>tache5</v>
      </c>
      <c r="BB152" s="360" t="s">
        <v>2091</v>
      </c>
      <c r="BC152" s="160" t="str">
        <f t="shared" si="96"/>
        <v>Vitale</v>
      </c>
      <c r="BD152" s="360" t="s">
        <v>2091</v>
      </c>
      <c r="BE152" s="160" t="str">
        <f t="shared" si="97"/>
        <v>Terminer</v>
      </c>
      <c r="BF152" s="360" t="s">
        <v>2091</v>
      </c>
      <c r="BG152" s="160" t="str">
        <f t="shared" si="98"/>
        <v>Conception</v>
      </c>
      <c r="BH152" s="360" t="s">
        <v>2091</v>
      </c>
      <c r="BI152" s="371" t="str">
        <f t="shared" ca="1" si="99"/>
        <v>2023/01/03</v>
      </c>
      <c r="BJ152" s="360" t="s">
        <v>2091</v>
      </c>
      <c r="BK152" s="329" t="str">
        <f t="shared" ca="1" si="100"/>
        <v>2023/01/03</v>
      </c>
      <c r="BL152" s="360" t="s">
        <v>2091</v>
      </c>
      <c r="BM152" s="329" t="str">
        <f t="shared" ca="1" si="101"/>
        <v>2023/01/03</v>
      </c>
      <c r="BN152" s="360" t="s">
        <v>2091</v>
      </c>
      <c r="BO152" s="329" t="str">
        <f t="shared" ca="1" si="102"/>
        <v>2023/01/04</v>
      </c>
      <c r="BP152" s="360" t="s">
        <v>2091</v>
      </c>
      <c r="BQ152" s="329" t="str">
        <f t="shared" ca="1" si="103"/>
        <v>2023/01/04</v>
      </c>
      <c r="BR152" s="360" t="s">
        <v>2093</v>
      </c>
      <c r="BS152" s="160">
        <f t="shared" si="104"/>
        <v>2</v>
      </c>
      <c r="BT152" s="160" t="s">
        <v>2021</v>
      </c>
      <c r="BU152" s="322" t="str">
        <f t="shared" ca="1" si="105"/>
        <v>INSERT INTO TACHES(numTache,nameTache,descriptionTache,prioTache,stateTache,categoryTache,dateCreateTache,dateInProgressTache,dateToTestTache,dateEndThTache,dateEndRealTache,idProjet) VALUES ('5','tache5','tache5','Vitale','Terminer','Conception','2023/01/03','2023/01/03','2023/01/03','2023/01/04','2023/01/04',2);</v>
      </c>
      <c r="BV152" s="322" t="s">
        <v>2399</v>
      </c>
    </row>
    <row r="153" spans="6:74" ht="90.35" customHeight="1" outlineLevel="1" thickBot="1" x14ac:dyDescent="0.35">
      <c r="F153" s="160">
        <f t="shared" si="107"/>
        <v>24</v>
      </c>
      <c r="G153" s="160">
        <f t="shared" si="107"/>
        <v>6</v>
      </c>
      <c r="H153" s="160" t="s">
        <v>2123</v>
      </c>
      <c r="I153" s="160" t="str">
        <f t="shared" si="90"/>
        <v>tache6</v>
      </c>
      <c r="J153" s="160" t="s">
        <v>1867</v>
      </c>
      <c r="K153" s="160" t="s">
        <v>2375</v>
      </c>
      <c r="L153" s="160" t="s">
        <v>1879</v>
      </c>
      <c r="M153" s="329">
        <f>Q152+1</f>
        <v>44931</v>
      </c>
      <c r="N153" s="329">
        <f t="shared" si="108"/>
        <v>44931</v>
      </c>
      <c r="O153" s="329">
        <f>N153+5</f>
        <v>44936</v>
      </c>
      <c r="P153" s="329">
        <f>O153+1</f>
        <v>44937</v>
      </c>
      <c r="Q153" s="329">
        <f>P153</f>
        <v>44937</v>
      </c>
      <c r="R153" s="160">
        <v>2</v>
      </c>
      <c r="S153" s="160">
        <f t="shared" si="91"/>
        <v>6</v>
      </c>
      <c r="T153" s="160" t="s">
        <v>1922</v>
      </c>
      <c r="U153" s="322" t="str">
        <f t="shared" si="92"/>
        <v>TACHES</v>
      </c>
      <c r="V153" s="160" t="s">
        <v>2088</v>
      </c>
      <c r="W153" s="189" t="s">
        <v>355</v>
      </c>
      <c r="X153" s="360" t="s">
        <v>2020</v>
      </c>
      <c r="Y153" s="189" t="s">
        <v>337</v>
      </c>
      <c r="Z153" s="360" t="s">
        <v>2020</v>
      </c>
      <c r="AA153" s="189" t="s">
        <v>340</v>
      </c>
      <c r="AB153" s="360" t="s">
        <v>2020</v>
      </c>
      <c r="AC153" s="189" t="s">
        <v>266</v>
      </c>
      <c r="AD153" s="360" t="s">
        <v>2020</v>
      </c>
      <c r="AE153" s="189" t="s">
        <v>244</v>
      </c>
      <c r="AF153" s="360" t="s">
        <v>2020</v>
      </c>
      <c r="AG153" s="189" t="s">
        <v>296</v>
      </c>
      <c r="AH153" s="360" t="s">
        <v>2020</v>
      </c>
      <c r="AI153" s="189" t="s">
        <v>298</v>
      </c>
      <c r="AJ153" s="360" t="s">
        <v>2020</v>
      </c>
      <c r="AK153" s="189" t="s">
        <v>299</v>
      </c>
      <c r="AL153" s="360" t="s">
        <v>2020</v>
      </c>
      <c r="AM153" s="189" t="s">
        <v>300</v>
      </c>
      <c r="AN153" s="360" t="s">
        <v>2020</v>
      </c>
      <c r="AO153" s="189" t="s">
        <v>301</v>
      </c>
      <c r="AP153" s="360" t="s">
        <v>2020</v>
      </c>
      <c r="AQ153" s="192" t="s">
        <v>302</v>
      </c>
      <c r="AR153" s="360" t="s">
        <v>2020</v>
      </c>
      <c r="AS153" s="295" t="s">
        <v>287</v>
      </c>
      <c r="AT153" s="360"/>
      <c r="AU153" s="322"/>
      <c r="AV153" s="360" t="s">
        <v>2089</v>
      </c>
      <c r="AW153" s="160">
        <f t="shared" si="93"/>
        <v>6</v>
      </c>
      <c r="AX153" s="360" t="s">
        <v>2091</v>
      </c>
      <c r="AY153" s="160" t="str">
        <f t="shared" si="94"/>
        <v>tache6</v>
      </c>
      <c r="AZ153" s="360" t="s">
        <v>2091</v>
      </c>
      <c r="BA153" s="160" t="str">
        <f t="shared" si="95"/>
        <v>tache6</v>
      </c>
      <c r="BB153" s="360" t="s">
        <v>2091</v>
      </c>
      <c r="BC153" s="160" t="str">
        <f t="shared" si="96"/>
        <v>Vitale</v>
      </c>
      <c r="BD153" s="360" t="s">
        <v>2091</v>
      </c>
      <c r="BE153" s="160" t="str">
        <f t="shared" si="97"/>
        <v>Terminer</v>
      </c>
      <c r="BF153" s="360" t="s">
        <v>2091</v>
      </c>
      <c r="BG153" s="160" t="str">
        <f t="shared" si="98"/>
        <v>Realisation</v>
      </c>
      <c r="BH153" s="360" t="s">
        <v>2091</v>
      </c>
      <c r="BI153" s="371" t="str">
        <f t="shared" ca="1" si="99"/>
        <v>2023/01/05</v>
      </c>
      <c r="BJ153" s="360" t="s">
        <v>2091</v>
      </c>
      <c r="BK153" s="329" t="str">
        <f t="shared" ca="1" si="100"/>
        <v>2023/01/05</v>
      </c>
      <c r="BL153" s="360" t="s">
        <v>2091</v>
      </c>
      <c r="BM153" s="329" t="str">
        <f t="shared" ca="1" si="101"/>
        <v>2023/01/10</v>
      </c>
      <c r="BN153" s="360" t="s">
        <v>2091</v>
      </c>
      <c r="BO153" s="329" t="str">
        <f t="shared" ca="1" si="102"/>
        <v>2023/01/11</v>
      </c>
      <c r="BP153" s="360" t="s">
        <v>2091</v>
      </c>
      <c r="BQ153" s="329" t="str">
        <f t="shared" ca="1" si="103"/>
        <v>2023/01/11</v>
      </c>
      <c r="BR153" s="360" t="s">
        <v>2093</v>
      </c>
      <c r="BS153" s="160">
        <f t="shared" si="104"/>
        <v>2</v>
      </c>
      <c r="BT153" s="160" t="s">
        <v>2021</v>
      </c>
      <c r="BU153" s="322" t="str">
        <f t="shared" ca="1" si="105"/>
        <v>INSERT INTO TACHES(numTache,nameTache,descriptionTache,prioTache,stateTache,categoryTache,dateCreateTache,dateInProgressTache,dateToTestTache,dateEndThTache,dateEndRealTache,idProjet) VALUES ('6','tache6','tache6','Vitale','Terminer','Realisation','2023/01/05','2023/01/05','2023/01/10','2023/01/11','2023/01/11',2);</v>
      </c>
      <c r="BV153" s="322" t="s">
        <v>2400</v>
      </c>
    </row>
    <row r="154" spans="6:74" ht="90.35" customHeight="1" outlineLevel="1" thickBot="1" x14ac:dyDescent="0.35">
      <c r="F154" s="160">
        <f t="shared" si="107"/>
        <v>25</v>
      </c>
      <c r="G154" s="160">
        <f t="shared" si="107"/>
        <v>7</v>
      </c>
      <c r="H154" s="160" t="s">
        <v>2124</v>
      </c>
      <c r="I154" s="160" t="str">
        <f t="shared" si="90"/>
        <v>tache7</v>
      </c>
      <c r="J154" s="160" t="s">
        <v>1867</v>
      </c>
      <c r="K154" s="160" t="s">
        <v>2375</v>
      </c>
      <c r="L154" s="160" t="s">
        <v>1879</v>
      </c>
      <c r="M154" s="329">
        <f>Q153+1</f>
        <v>44938</v>
      </c>
      <c r="N154" s="329">
        <f t="shared" si="108"/>
        <v>44938</v>
      </c>
      <c r="O154" s="329">
        <f>N154+5</f>
        <v>44943</v>
      </c>
      <c r="P154" s="329">
        <f>O154+1</f>
        <v>44944</v>
      </c>
      <c r="Q154" s="329">
        <f>P154</f>
        <v>44944</v>
      </c>
      <c r="R154" s="160">
        <v>2</v>
      </c>
      <c r="S154" s="160">
        <f t="shared" si="91"/>
        <v>6</v>
      </c>
      <c r="T154" s="160" t="s">
        <v>1922</v>
      </c>
      <c r="U154" s="322" t="str">
        <f t="shared" si="92"/>
        <v>TACHES</v>
      </c>
      <c r="V154" s="160" t="s">
        <v>2088</v>
      </c>
      <c r="W154" s="189" t="s">
        <v>355</v>
      </c>
      <c r="X154" s="360" t="s">
        <v>2020</v>
      </c>
      <c r="Y154" s="189" t="s">
        <v>337</v>
      </c>
      <c r="Z154" s="360" t="s">
        <v>2020</v>
      </c>
      <c r="AA154" s="189" t="s">
        <v>340</v>
      </c>
      <c r="AB154" s="360" t="s">
        <v>2020</v>
      </c>
      <c r="AC154" s="189" t="s">
        <v>266</v>
      </c>
      <c r="AD154" s="360" t="s">
        <v>2020</v>
      </c>
      <c r="AE154" s="189" t="s">
        <v>244</v>
      </c>
      <c r="AF154" s="360" t="s">
        <v>2020</v>
      </c>
      <c r="AG154" s="189" t="s">
        <v>296</v>
      </c>
      <c r="AH154" s="360" t="s">
        <v>2020</v>
      </c>
      <c r="AI154" s="189" t="s">
        <v>298</v>
      </c>
      <c r="AJ154" s="360" t="s">
        <v>2020</v>
      </c>
      <c r="AK154" s="189" t="s">
        <v>299</v>
      </c>
      <c r="AL154" s="360" t="s">
        <v>2020</v>
      </c>
      <c r="AM154" s="189" t="s">
        <v>300</v>
      </c>
      <c r="AN154" s="360" t="s">
        <v>2020</v>
      </c>
      <c r="AO154" s="189" t="s">
        <v>301</v>
      </c>
      <c r="AP154" s="360" t="s">
        <v>2020</v>
      </c>
      <c r="AQ154" s="192" t="s">
        <v>302</v>
      </c>
      <c r="AR154" s="360" t="s">
        <v>2020</v>
      </c>
      <c r="AS154" s="295" t="s">
        <v>287</v>
      </c>
      <c r="AT154" s="360"/>
      <c r="AU154" s="322"/>
      <c r="AV154" s="360" t="s">
        <v>2089</v>
      </c>
      <c r="AW154" s="160">
        <f t="shared" si="93"/>
        <v>7</v>
      </c>
      <c r="AX154" s="360" t="s">
        <v>2091</v>
      </c>
      <c r="AY154" s="160" t="str">
        <f t="shared" si="94"/>
        <v>tache7</v>
      </c>
      <c r="AZ154" s="360" t="s">
        <v>2091</v>
      </c>
      <c r="BA154" s="160" t="str">
        <f t="shared" si="95"/>
        <v>tache7</v>
      </c>
      <c r="BB154" s="360" t="s">
        <v>2091</v>
      </c>
      <c r="BC154" s="160" t="str">
        <f t="shared" si="96"/>
        <v>Vitale</v>
      </c>
      <c r="BD154" s="360" t="s">
        <v>2091</v>
      </c>
      <c r="BE154" s="160" t="str">
        <f t="shared" si="97"/>
        <v>Terminer</v>
      </c>
      <c r="BF154" s="360" t="s">
        <v>2091</v>
      </c>
      <c r="BG154" s="160" t="str">
        <f t="shared" si="98"/>
        <v>Realisation</v>
      </c>
      <c r="BH154" s="360" t="s">
        <v>2091</v>
      </c>
      <c r="BI154" s="371" t="str">
        <f t="shared" ca="1" si="99"/>
        <v>2023/01/12</v>
      </c>
      <c r="BJ154" s="360" t="s">
        <v>2091</v>
      </c>
      <c r="BK154" s="329" t="str">
        <f t="shared" ca="1" si="100"/>
        <v>2023/01/12</v>
      </c>
      <c r="BL154" s="360" t="s">
        <v>2091</v>
      </c>
      <c r="BM154" s="329" t="str">
        <f t="shared" ca="1" si="101"/>
        <v>2023/01/17</v>
      </c>
      <c r="BN154" s="360" t="s">
        <v>2091</v>
      </c>
      <c r="BO154" s="329" t="str">
        <f t="shared" ca="1" si="102"/>
        <v>2023/01/18</v>
      </c>
      <c r="BP154" s="360" t="s">
        <v>2091</v>
      </c>
      <c r="BQ154" s="329" t="str">
        <f t="shared" ca="1" si="103"/>
        <v>2023/01/18</v>
      </c>
      <c r="BR154" s="360" t="s">
        <v>2093</v>
      </c>
      <c r="BS154" s="160">
        <f t="shared" si="104"/>
        <v>2</v>
      </c>
      <c r="BT154" s="160" t="s">
        <v>2021</v>
      </c>
      <c r="BU154" s="322" t="str">
        <f t="shared" ca="1" si="105"/>
        <v>INSERT INTO TACHES(numTache,nameTache,descriptionTache,prioTache,stateTache,categoryTache,dateCreateTache,dateInProgressTache,dateToTestTache,dateEndThTache,dateEndRealTache,idProjet) VALUES ('7','tache7','tache7','Vitale','Terminer','Realisation','2023/01/12','2023/01/12','2023/01/17','2023/01/18','2023/01/18',2);</v>
      </c>
      <c r="BV154" s="322" t="s">
        <v>2401</v>
      </c>
    </row>
    <row r="155" spans="6:74" ht="20.05" customHeight="1" outlineLevel="1" thickBot="1" x14ac:dyDescent="0.35">
      <c r="F155" s="160">
        <f t="shared" si="107"/>
        <v>26</v>
      </c>
      <c r="G155" s="160">
        <f t="shared" si="107"/>
        <v>8</v>
      </c>
      <c r="H155" s="160" t="s">
        <v>2125</v>
      </c>
      <c r="I155" s="160" t="str">
        <f t="shared" si="90"/>
        <v>tache8</v>
      </c>
      <c r="J155" s="160" t="s">
        <v>1869</v>
      </c>
      <c r="K155" s="160" t="s">
        <v>2375</v>
      </c>
      <c r="L155" s="160" t="s">
        <v>1879</v>
      </c>
      <c r="M155" s="329">
        <f>Q162+1</f>
        <v>44956</v>
      </c>
      <c r="N155" s="329">
        <f t="shared" si="108"/>
        <v>44956</v>
      </c>
      <c r="O155" s="329">
        <f t="shared" ref="O155:O162" si="109">M155</f>
        <v>44956</v>
      </c>
      <c r="P155" s="329">
        <f t="shared" ref="P155:P162" si="110">M155</f>
        <v>44956</v>
      </c>
      <c r="Q155" s="329">
        <f t="shared" ref="Q155:Q162" si="111">M155</f>
        <v>44956</v>
      </c>
      <c r="R155" s="160">
        <v>2</v>
      </c>
      <c r="S155" s="160">
        <f t="shared" si="91"/>
        <v>2</v>
      </c>
      <c r="T155" s="160" t="s">
        <v>1922</v>
      </c>
      <c r="U155" s="322" t="str">
        <f t="shared" si="92"/>
        <v>TACHES</v>
      </c>
      <c r="V155" s="160" t="s">
        <v>2088</v>
      </c>
      <c r="W155" s="189" t="s">
        <v>355</v>
      </c>
      <c r="X155" s="360" t="s">
        <v>2020</v>
      </c>
      <c r="Y155" s="189" t="s">
        <v>337</v>
      </c>
      <c r="Z155" s="360" t="s">
        <v>2020</v>
      </c>
      <c r="AA155" s="189" t="s">
        <v>340</v>
      </c>
      <c r="AB155" s="360" t="s">
        <v>2020</v>
      </c>
      <c r="AC155" s="189" t="s">
        <v>266</v>
      </c>
      <c r="AD155" s="360" t="s">
        <v>2020</v>
      </c>
      <c r="AE155" s="189" t="s">
        <v>244</v>
      </c>
      <c r="AF155" s="360" t="s">
        <v>2020</v>
      </c>
      <c r="AG155" s="189" t="s">
        <v>296</v>
      </c>
      <c r="AH155" s="360" t="s">
        <v>2020</v>
      </c>
      <c r="AI155" s="189" t="s">
        <v>298</v>
      </c>
      <c r="AJ155" s="360" t="s">
        <v>2020</v>
      </c>
      <c r="AK155" s="189" t="s">
        <v>299</v>
      </c>
      <c r="AL155" s="360" t="s">
        <v>2020</v>
      </c>
      <c r="AM155" s="189" t="s">
        <v>300</v>
      </c>
      <c r="AN155" s="360" t="s">
        <v>2020</v>
      </c>
      <c r="AO155" s="189" t="s">
        <v>301</v>
      </c>
      <c r="AP155" s="360" t="s">
        <v>2020</v>
      </c>
      <c r="AQ155" s="192" t="s">
        <v>302</v>
      </c>
      <c r="AR155" s="360" t="s">
        <v>2020</v>
      </c>
      <c r="AS155" s="295" t="s">
        <v>287</v>
      </c>
      <c r="AT155" s="360"/>
      <c r="AU155" s="322"/>
      <c r="AV155" s="360" t="s">
        <v>2089</v>
      </c>
      <c r="AW155" s="160">
        <f t="shared" si="93"/>
        <v>8</v>
      </c>
      <c r="AX155" s="360" t="s">
        <v>2091</v>
      </c>
      <c r="AY155" s="160" t="str">
        <f t="shared" si="94"/>
        <v>tache8</v>
      </c>
      <c r="AZ155" s="360" t="s">
        <v>2091</v>
      </c>
      <c r="BA155" s="160" t="str">
        <f t="shared" si="95"/>
        <v>tache8</v>
      </c>
      <c r="BB155" s="360" t="s">
        <v>2091</v>
      </c>
      <c r="BC155" s="160" t="str">
        <f t="shared" si="96"/>
        <v>Utile</v>
      </c>
      <c r="BD155" s="360" t="s">
        <v>2091</v>
      </c>
      <c r="BE155" s="160" t="str">
        <f t="shared" si="97"/>
        <v>Terminer</v>
      </c>
      <c r="BF155" s="360" t="s">
        <v>2091</v>
      </c>
      <c r="BG155" s="160" t="str">
        <f t="shared" si="98"/>
        <v>Realisation</v>
      </c>
      <c r="BH155" s="360" t="s">
        <v>2091</v>
      </c>
      <c r="BI155" s="371" t="str">
        <f t="shared" ca="1" si="99"/>
        <v>2023/01/30</v>
      </c>
      <c r="BJ155" s="360" t="s">
        <v>2091</v>
      </c>
      <c r="BK155" s="329" t="str">
        <f t="shared" ca="1" si="100"/>
        <v>2023/01/30</v>
      </c>
      <c r="BL155" s="360" t="s">
        <v>2091</v>
      </c>
      <c r="BM155" s="329" t="str">
        <f t="shared" ca="1" si="101"/>
        <v>2023/01/30</v>
      </c>
      <c r="BN155" s="360" t="s">
        <v>2091</v>
      </c>
      <c r="BO155" s="329" t="str">
        <f t="shared" ca="1" si="102"/>
        <v>2023/01/30</v>
      </c>
      <c r="BP155" s="360" t="s">
        <v>2091</v>
      </c>
      <c r="BQ155" s="329" t="str">
        <f t="shared" ca="1" si="103"/>
        <v>2023/01/30</v>
      </c>
      <c r="BR155" s="360" t="s">
        <v>2093</v>
      </c>
      <c r="BS155" s="160">
        <f t="shared" si="104"/>
        <v>2</v>
      </c>
      <c r="BT155" s="160" t="s">
        <v>2021</v>
      </c>
      <c r="BU155" s="322" t="str">
        <f t="shared" ca="1" si="105"/>
        <v>INSERT INTO TACHES(numTache,nameTache,descriptionTache,prioTache,stateTache,categoryTache,dateCreateTache,dateInProgressTache,dateToTestTache,dateEndThTache,dateEndRealTache,idProjet) VALUES ('8','tache8','tache8','Utile','Terminer','Realisation','2023/01/30','2023/01/30','2023/01/30','2023/01/30','2023/01/30',2);</v>
      </c>
      <c r="BV155" s="322" t="s">
        <v>2402</v>
      </c>
    </row>
    <row r="156" spans="6:74" ht="20.05" customHeight="1" outlineLevel="1" thickBot="1" x14ac:dyDescent="0.35">
      <c r="F156" s="160">
        <f t="shared" si="107"/>
        <v>27</v>
      </c>
      <c r="G156" s="160">
        <f t="shared" si="107"/>
        <v>9</v>
      </c>
      <c r="H156" s="160" t="s">
        <v>2126</v>
      </c>
      <c r="I156" s="160" t="str">
        <f t="shared" si="90"/>
        <v>tache9</v>
      </c>
      <c r="J156" s="160" t="s">
        <v>1868</v>
      </c>
      <c r="K156" s="160" t="s">
        <v>2375</v>
      </c>
      <c r="L156" s="160" t="s">
        <v>1879</v>
      </c>
      <c r="M156" s="329">
        <f>Q164</f>
        <v>44954</v>
      </c>
      <c r="N156" s="329">
        <f t="shared" si="108"/>
        <v>44954</v>
      </c>
      <c r="O156" s="329">
        <f t="shared" si="109"/>
        <v>44954</v>
      </c>
      <c r="P156" s="329">
        <f t="shared" si="110"/>
        <v>44954</v>
      </c>
      <c r="Q156" s="329">
        <f t="shared" si="111"/>
        <v>44954</v>
      </c>
      <c r="R156" s="160">
        <v>2</v>
      </c>
      <c r="S156" s="160">
        <f t="shared" si="91"/>
        <v>1</v>
      </c>
      <c r="T156" s="160" t="s">
        <v>1922</v>
      </c>
      <c r="U156" s="322" t="str">
        <f t="shared" si="92"/>
        <v>TACHES</v>
      </c>
      <c r="V156" s="160" t="s">
        <v>2088</v>
      </c>
      <c r="W156" s="189" t="s">
        <v>355</v>
      </c>
      <c r="X156" s="360" t="s">
        <v>2020</v>
      </c>
      <c r="Y156" s="189" t="s">
        <v>337</v>
      </c>
      <c r="Z156" s="360" t="s">
        <v>2020</v>
      </c>
      <c r="AA156" s="189" t="s">
        <v>340</v>
      </c>
      <c r="AB156" s="360" t="s">
        <v>2020</v>
      </c>
      <c r="AC156" s="189" t="s">
        <v>266</v>
      </c>
      <c r="AD156" s="360" t="s">
        <v>2020</v>
      </c>
      <c r="AE156" s="189" t="s">
        <v>244</v>
      </c>
      <c r="AF156" s="360" t="s">
        <v>2020</v>
      </c>
      <c r="AG156" s="189" t="s">
        <v>296</v>
      </c>
      <c r="AH156" s="360" t="s">
        <v>2020</v>
      </c>
      <c r="AI156" s="189" t="s">
        <v>298</v>
      </c>
      <c r="AJ156" s="360" t="s">
        <v>2020</v>
      </c>
      <c r="AK156" s="189" t="s">
        <v>299</v>
      </c>
      <c r="AL156" s="360" t="s">
        <v>2020</v>
      </c>
      <c r="AM156" s="189" t="s">
        <v>300</v>
      </c>
      <c r="AN156" s="360" t="s">
        <v>2020</v>
      </c>
      <c r="AO156" s="189" t="s">
        <v>301</v>
      </c>
      <c r="AP156" s="360" t="s">
        <v>2020</v>
      </c>
      <c r="AQ156" s="192" t="s">
        <v>302</v>
      </c>
      <c r="AR156" s="360" t="s">
        <v>2020</v>
      </c>
      <c r="AS156" s="295" t="s">
        <v>287</v>
      </c>
      <c r="AT156" s="360"/>
      <c r="AU156" s="322"/>
      <c r="AV156" s="360" t="s">
        <v>2089</v>
      </c>
      <c r="AW156" s="160">
        <f t="shared" si="93"/>
        <v>9</v>
      </c>
      <c r="AX156" s="360" t="s">
        <v>2091</v>
      </c>
      <c r="AY156" s="160" t="str">
        <f t="shared" si="94"/>
        <v>tache9</v>
      </c>
      <c r="AZ156" s="360" t="s">
        <v>2091</v>
      </c>
      <c r="BA156" s="160" t="str">
        <f t="shared" si="95"/>
        <v>tache9</v>
      </c>
      <c r="BB156" s="360" t="s">
        <v>2091</v>
      </c>
      <c r="BC156" s="160" t="str">
        <f t="shared" si="96"/>
        <v>Importante</v>
      </c>
      <c r="BD156" s="360" t="s">
        <v>2091</v>
      </c>
      <c r="BE156" s="160" t="str">
        <f t="shared" si="97"/>
        <v>Terminer</v>
      </c>
      <c r="BF156" s="360" t="s">
        <v>2091</v>
      </c>
      <c r="BG156" s="160" t="str">
        <f t="shared" si="98"/>
        <v>Realisation</v>
      </c>
      <c r="BH156" s="360" t="s">
        <v>2091</v>
      </c>
      <c r="BI156" s="371" t="str">
        <f t="shared" ca="1" si="99"/>
        <v>2023/01/28</v>
      </c>
      <c r="BJ156" s="360" t="s">
        <v>2091</v>
      </c>
      <c r="BK156" s="329" t="str">
        <f t="shared" ca="1" si="100"/>
        <v>2023/01/28</v>
      </c>
      <c r="BL156" s="360" t="s">
        <v>2091</v>
      </c>
      <c r="BM156" s="329" t="str">
        <f t="shared" ca="1" si="101"/>
        <v>2023/01/28</v>
      </c>
      <c r="BN156" s="360" t="s">
        <v>2091</v>
      </c>
      <c r="BO156" s="329" t="str">
        <f t="shared" ca="1" si="102"/>
        <v>2023/01/28</v>
      </c>
      <c r="BP156" s="360" t="s">
        <v>2091</v>
      </c>
      <c r="BQ156" s="329" t="str">
        <f t="shared" ca="1" si="103"/>
        <v>2023/01/28</v>
      </c>
      <c r="BR156" s="360" t="s">
        <v>2093</v>
      </c>
      <c r="BS156" s="160">
        <f t="shared" si="104"/>
        <v>2</v>
      </c>
      <c r="BT156" s="160" t="s">
        <v>2021</v>
      </c>
      <c r="BU156" s="322" t="str">
        <f t="shared" ca="1" si="105"/>
        <v>INSERT INTO TACHES(numTache,nameTache,descriptionTache,prioTache,stateTache,categoryTache,dateCreateTache,dateInProgressTache,dateToTestTache,dateEndThTache,dateEndRealTache,idProjet) VALUES ('9','tache9','tache9','Importante','Terminer','Realisation','2023/01/28','2023/01/28','2023/01/28','2023/01/28','2023/01/28',2);</v>
      </c>
      <c r="BV156" s="322" t="s">
        <v>2403</v>
      </c>
    </row>
    <row r="157" spans="6:74" ht="20.05" customHeight="1" outlineLevel="1" thickBot="1" x14ac:dyDescent="0.35">
      <c r="F157" s="160">
        <f t="shared" si="107"/>
        <v>28</v>
      </c>
      <c r="G157" s="160">
        <f t="shared" si="107"/>
        <v>10</v>
      </c>
      <c r="H157" s="160" t="s">
        <v>2127</v>
      </c>
      <c r="I157" s="160" t="str">
        <f t="shared" si="90"/>
        <v>tache10</v>
      </c>
      <c r="J157" s="160" t="s">
        <v>1867</v>
      </c>
      <c r="K157" s="160" t="s">
        <v>2375</v>
      </c>
      <c r="L157" s="160" t="s">
        <v>1879</v>
      </c>
      <c r="M157" s="329">
        <f>Q154+1</f>
        <v>44945</v>
      </c>
      <c r="N157" s="329">
        <f t="shared" si="108"/>
        <v>44945</v>
      </c>
      <c r="O157" s="329">
        <f t="shared" si="109"/>
        <v>44945</v>
      </c>
      <c r="P157" s="329">
        <f t="shared" si="110"/>
        <v>44945</v>
      </c>
      <c r="Q157" s="329">
        <f>P157+1</f>
        <v>44946</v>
      </c>
      <c r="R157" s="160">
        <v>2</v>
      </c>
      <c r="S157" s="160">
        <f t="shared" si="91"/>
        <v>3</v>
      </c>
      <c r="T157" s="160" t="s">
        <v>1922</v>
      </c>
      <c r="U157" s="322" t="str">
        <f t="shared" si="92"/>
        <v>TACHES</v>
      </c>
      <c r="V157" s="160" t="s">
        <v>2088</v>
      </c>
      <c r="W157" s="189" t="s">
        <v>355</v>
      </c>
      <c r="X157" s="360" t="s">
        <v>2020</v>
      </c>
      <c r="Y157" s="189" t="s">
        <v>337</v>
      </c>
      <c r="Z157" s="360" t="s">
        <v>2020</v>
      </c>
      <c r="AA157" s="189" t="s">
        <v>340</v>
      </c>
      <c r="AB157" s="360" t="s">
        <v>2020</v>
      </c>
      <c r="AC157" s="189" t="s">
        <v>266</v>
      </c>
      <c r="AD157" s="360" t="s">
        <v>2020</v>
      </c>
      <c r="AE157" s="189" t="s">
        <v>244</v>
      </c>
      <c r="AF157" s="360" t="s">
        <v>2020</v>
      </c>
      <c r="AG157" s="189" t="s">
        <v>296</v>
      </c>
      <c r="AH157" s="360" t="s">
        <v>2020</v>
      </c>
      <c r="AI157" s="189" t="s">
        <v>298</v>
      </c>
      <c r="AJ157" s="360" t="s">
        <v>2020</v>
      </c>
      <c r="AK157" s="189" t="s">
        <v>299</v>
      </c>
      <c r="AL157" s="360" t="s">
        <v>2020</v>
      </c>
      <c r="AM157" s="189" t="s">
        <v>300</v>
      </c>
      <c r="AN157" s="360" t="s">
        <v>2020</v>
      </c>
      <c r="AO157" s="189" t="s">
        <v>301</v>
      </c>
      <c r="AP157" s="360" t="s">
        <v>2020</v>
      </c>
      <c r="AQ157" s="192" t="s">
        <v>302</v>
      </c>
      <c r="AR157" s="360" t="s">
        <v>2020</v>
      </c>
      <c r="AS157" s="295" t="s">
        <v>287</v>
      </c>
      <c r="AT157" s="360"/>
      <c r="AU157" s="322"/>
      <c r="AV157" s="360" t="s">
        <v>2089</v>
      </c>
      <c r="AW157" s="160">
        <f t="shared" si="93"/>
        <v>10</v>
      </c>
      <c r="AX157" s="360" t="s">
        <v>2091</v>
      </c>
      <c r="AY157" s="160" t="str">
        <f t="shared" si="94"/>
        <v>tache10</v>
      </c>
      <c r="AZ157" s="360" t="s">
        <v>2091</v>
      </c>
      <c r="BA157" s="160" t="str">
        <f t="shared" si="95"/>
        <v>tache10</v>
      </c>
      <c r="BB157" s="360" t="s">
        <v>2091</v>
      </c>
      <c r="BC157" s="160" t="str">
        <f t="shared" si="96"/>
        <v>Vitale</v>
      </c>
      <c r="BD157" s="360" t="s">
        <v>2091</v>
      </c>
      <c r="BE157" s="160" t="str">
        <f t="shared" si="97"/>
        <v>Terminer</v>
      </c>
      <c r="BF157" s="360" t="s">
        <v>2091</v>
      </c>
      <c r="BG157" s="160" t="str">
        <f t="shared" si="98"/>
        <v>Realisation</v>
      </c>
      <c r="BH157" s="360" t="s">
        <v>2091</v>
      </c>
      <c r="BI157" s="371" t="str">
        <f t="shared" ca="1" si="99"/>
        <v>2023/01/19</v>
      </c>
      <c r="BJ157" s="360" t="s">
        <v>2091</v>
      </c>
      <c r="BK157" s="329" t="str">
        <f t="shared" ca="1" si="100"/>
        <v>2023/01/19</v>
      </c>
      <c r="BL157" s="360" t="s">
        <v>2091</v>
      </c>
      <c r="BM157" s="329" t="str">
        <f t="shared" ca="1" si="101"/>
        <v>2023/01/19</v>
      </c>
      <c r="BN157" s="360" t="s">
        <v>2091</v>
      </c>
      <c r="BO157" s="329" t="str">
        <f t="shared" ca="1" si="102"/>
        <v>2023/01/19</v>
      </c>
      <c r="BP157" s="360" t="s">
        <v>2091</v>
      </c>
      <c r="BQ157" s="329" t="str">
        <f t="shared" ca="1" si="103"/>
        <v>2023/01/20</v>
      </c>
      <c r="BR157" s="360" t="s">
        <v>2093</v>
      </c>
      <c r="BS157" s="160">
        <f t="shared" si="104"/>
        <v>2</v>
      </c>
      <c r="BT157" s="160" t="s">
        <v>2021</v>
      </c>
      <c r="BU157" s="322" t="str">
        <f t="shared" ca="1" si="105"/>
        <v>INSERT INTO TACHES(numTache,nameTache,descriptionTache,prioTache,stateTache,categoryTache,dateCreateTache,dateInProgressTache,dateToTestTache,dateEndThTache,dateEndRealTache,idProjet) VALUES ('10','tache10','tache10','Vitale','Terminer','Realisation','2023/01/19','2023/01/19','2023/01/19','2023/01/19','2023/01/20',2);</v>
      </c>
      <c r="BV157" s="322" t="s">
        <v>2404</v>
      </c>
    </row>
    <row r="158" spans="6:74" ht="20.05" customHeight="1" outlineLevel="1" thickBot="1" x14ac:dyDescent="0.35">
      <c r="F158" s="160">
        <f t="shared" si="107"/>
        <v>29</v>
      </c>
      <c r="G158" s="160">
        <f t="shared" si="107"/>
        <v>11</v>
      </c>
      <c r="H158" s="160" t="s">
        <v>2128</v>
      </c>
      <c r="I158" s="160" t="str">
        <f t="shared" si="90"/>
        <v>tache11</v>
      </c>
      <c r="J158" s="160" t="s">
        <v>1867</v>
      </c>
      <c r="K158" s="160" t="s">
        <v>2375</v>
      </c>
      <c r="L158" s="160" t="s">
        <v>1879</v>
      </c>
      <c r="M158" s="329">
        <f>Q157</f>
        <v>44946</v>
      </c>
      <c r="N158" s="329">
        <f t="shared" si="108"/>
        <v>44946</v>
      </c>
      <c r="O158" s="329">
        <f t="shared" si="109"/>
        <v>44946</v>
      </c>
      <c r="P158" s="329">
        <f t="shared" si="110"/>
        <v>44946</v>
      </c>
      <c r="Q158" s="329">
        <f>P158+1</f>
        <v>44947</v>
      </c>
      <c r="R158" s="160">
        <v>2</v>
      </c>
      <c r="S158" s="160">
        <f t="shared" si="91"/>
        <v>2</v>
      </c>
      <c r="T158" s="160" t="s">
        <v>1922</v>
      </c>
      <c r="U158" s="322" t="str">
        <f t="shared" si="92"/>
        <v>TACHES</v>
      </c>
      <c r="V158" s="160" t="s">
        <v>2088</v>
      </c>
      <c r="W158" s="189" t="s">
        <v>355</v>
      </c>
      <c r="X158" s="360" t="s">
        <v>2020</v>
      </c>
      <c r="Y158" s="189" t="s">
        <v>337</v>
      </c>
      <c r="Z158" s="360" t="s">
        <v>2020</v>
      </c>
      <c r="AA158" s="189" t="s">
        <v>340</v>
      </c>
      <c r="AB158" s="360" t="s">
        <v>2020</v>
      </c>
      <c r="AC158" s="189" t="s">
        <v>266</v>
      </c>
      <c r="AD158" s="360" t="s">
        <v>2020</v>
      </c>
      <c r="AE158" s="189" t="s">
        <v>244</v>
      </c>
      <c r="AF158" s="360" t="s">
        <v>2020</v>
      </c>
      <c r="AG158" s="189" t="s">
        <v>296</v>
      </c>
      <c r="AH158" s="360" t="s">
        <v>2020</v>
      </c>
      <c r="AI158" s="189" t="s">
        <v>298</v>
      </c>
      <c r="AJ158" s="360" t="s">
        <v>2020</v>
      </c>
      <c r="AK158" s="189" t="s">
        <v>299</v>
      </c>
      <c r="AL158" s="360" t="s">
        <v>2020</v>
      </c>
      <c r="AM158" s="189" t="s">
        <v>300</v>
      </c>
      <c r="AN158" s="360" t="s">
        <v>2020</v>
      </c>
      <c r="AO158" s="189" t="s">
        <v>301</v>
      </c>
      <c r="AP158" s="360" t="s">
        <v>2020</v>
      </c>
      <c r="AQ158" s="192" t="s">
        <v>302</v>
      </c>
      <c r="AR158" s="360" t="s">
        <v>2020</v>
      </c>
      <c r="AS158" s="295" t="s">
        <v>287</v>
      </c>
      <c r="AT158" s="360"/>
      <c r="AU158" s="322"/>
      <c r="AV158" s="360" t="s">
        <v>2089</v>
      </c>
      <c r="AW158" s="160">
        <f t="shared" si="93"/>
        <v>11</v>
      </c>
      <c r="AX158" s="360" t="s">
        <v>2091</v>
      </c>
      <c r="AY158" s="160" t="str">
        <f t="shared" si="94"/>
        <v>tache11</v>
      </c>
      <c r="AZ158" s="360" t="s">
        <v>2091</v>
      </c>
      <c r="BA158" s="160" t="str">
        <f t="shared" si="95"/>
        <v>tache11</v>
      </c>
      <c r="BB158" s="360" t="s">
        <v>2091</v>
      </c>
      <c r="BC158" s="160" t="str">
        <f t="shared" si="96"/>
        <v>Vitale</v>
      </c>
      <c r="BD158" s="360" t="s">
        <v>2091</v>
      </c>
      <c r="BE158" s="160" t="str">
        <f t="shared" si="97"/>
        <v>Terminer</v>
      </c>
      <c r="BF158" s="360" t="s">
        <v>2091</v>
      </c>
      <c r="BG158" s="160" t="str">
        <f t="shared" si="98"/>
        <v>Realisation</v>
      </c>
      <c r="BH158" s="360" t="s">
        <v>2091</v>
      </c>
      <c r="BI158" s="371" t="str">
        <f t="shared" ca="1" si="99"/>
        <v>2023/01/20</v>
      </c>
      <c r="BJ158" s="360" t="s">
        <v>2091</v>
      </c>
      <c r="BK158" s="329" t="str">
        <f t="shared" ca="1" si="100"/>
        <v>2023/01/20</v>
      </c>
      <c r="BL158" s="360" t="s">
        <v>2091</v>
      </c>
      <c r="BM158" s="329" t="str">
        <f t="shared" ca="1" si="101"/>
        <v>2023/01/20</v>
      </c>
      <c r="BN158" s="360" t="s">
        <v>2091</v>
      </c>
      <c r="BO158" s="329" t="str">
        <f t="shared" ca="1" si="102"/>
        <v>2023/01/20</v>
      </c>
      <c r="BP158" s="360" t="s">
        <v>2091</v>
      </c>
      <c r="BQ158" s="329" t="str">
        <f t="shared" ca="1" si="103"/>
        <v>2023/01/21</v>
      </c>
      <c r="BR158" s="360" t="s">
        <v>2093</v>
      </c>
      <c r="BS158" s="160">
        <f t="shared" si="104"/>
        <v>2</v>
      </c>
      <c r="BT158" s="160" t="s">
        <v>2021</v>
      </c>
      <c r="BU158" s="322" t="str">
        <f t="shared" ca="1" si="105"/>
        <v>INSERT INTO TACHES(numTache,nameTache,descriptionTache,prioTache,stateTache,categoryTache,dateCreateTache,dateInProgressTache,dateToTestTache,dateEndThTache,dateEndRealTache,idProjet) VALUES ('11','tache11','tache11','Vitale','Terminer','Realisation','2023/01/20','2023/01/20','2023/01/20','2023/01/20','2023/01/21',2);</v>
      </c>
      <c r="BV158" s="322" t="s">
        <v>2405</v>
      </c>
    </row>
    <row r="159" spans="6:74" ht="20.05" customHeight="1" outlineLevel="1" thickBot="1" x14ac:dyDescent="0.35">
      <c r="F159" s="160">
        <f t="shared" si="107"/>
        <v>30</v>
      </c>
      <c r="G159" s="160">
        <f t="shared" si="107"/>
        <v>12</v>
      </c>
      <c r="H159" s="160" t="s">
        <v>2129</v>
      </c>
      <c r="I159" s="160" t="str">
        <f t="shared" si="90"/>
        <v>tache12</v>
      </c>
      <c r="J159" s="160" t="s">
        <v>1867</v>
      </c>
      <c r="K159" s="160" t="s">
        <v>2375</v>
      </c>
      <c r="L159" s="160" t="s">
        <v>1879</v>
      </c>
      <c r="M159" s="329">
        <f>Q158</f>
        <v>44947</v>
      </c>
      <c r="N159" s="329">
        <f t="shared" si="108"/>
        <v>44947</v>
      </c>
      <c r="O159" s="329">
        <f>N159+2</f>
        <v>44949</v>
      </c>
      <c r="P159" s="329">
        <f>O159+1</f>
        <v>44950</v>
      </c>
      <c r="Q159" s="329">
        <f>P159</f>
        <v>44950</v>
      </c>
      <c r="R159" s="160">
        <v>2</v>
      </c>
      <c r="S159" s="160">
        <f t="shared" si="91"/>
        <v>3</v>
      </c>
      <c r="T159" s="160" t="s">
        <v>1922</v>
      </c>
      <c r="U159" s="322" t="str">
        <f t="shared" si="92"/>
        <v>TACHES</v>
      </c>
      <c r="V159" s="160" t="s">
        <v>2088</v>
      </c>
      <c r="W159" s="189" t="s">
        <v>355</v>
      </c>
      <c r="X159" s="360" t="s">
        <v>2020</v>
      </c>
      <c r="Y159" s="189" t="s">
        <v>337</v>
      </c>
      <c r="Z159" s="360" t="s">
        <v>2020</v>
      </c>
      <c r="AA159" s="189" t="s">
        <v>340</v>
      </c>
      <c r="AB159" s="360" t="s">
        <v>2020</v>
      </c>
      <c r="AC159" s="189" t="s">
        <v>266</v>
      </c>
      <c r="AD159" s="360" t="s">
        <v>2020</v>
      </c>
      <c r="AE159" s="189" t="s">
        <v>244</v>
      </c>
      <c r="AF159" s="360" t="s">
        <v>2020</v>
      </c>
      <c r="AG159" s="189" t="s">
        <v>296</v>
      </c>
      <c r="AH159" s="360" t="s">
        <v>2020</v>
      </c>
      <c r="AI159" s="189" t="s">
        <v>298</v>
      </c>
      <c r="AJ159" s="360" t="s">
        <v>2020</v>
      </c>
      <c r="AK159" s="189" t="s">
        <v>299</v>
      </c>
      <c r="AL159" s="360" t="s">
        <v>2020</v>
      </c>
      <c r="AM159" s="189" t="s">
        <v>300</v>
      </c>
      <c r="AN159" s="360" t="s">
        <v>2020</v>
      </c>
      <c r="AO159" s="189" t="s">
        <v>301</v>
      </c>
      <c r="AP159" s="360" t="s">
        <v>2020</v>
      </c>
      <c r="AQ159" s="192" t="s">
        <v>302</v>
      </c>
      <c r="AR159" s="360" t="s">
        <v>2020</v>
      </c>
      <c r="AS159" s="295" t="s">
        <v>287</v>
      </c>
      <c r="AT159" s="360"/>
      <c r="AU159" s="322"/>
      <c r="AV159" s="360" t="s">
        <v>2089</v>
      </c>
      <c r="AW159" s="160">
        <f t="shared" si="93"/>
        <v>12</v>
      </c>
      <c r="AX159" s="360" t="s">
        <v>2091</v>
      </c>
      <c r="AY159" s="160" t="str">
        <f t="shared" si="94"/>
        <v>tache12</v>
      </c>
      <c r="AZ159" s="360" t="s">
        <v>2091</v>
      </c>
      <c r="BA159" s="160" t="str">
        <f t="shared" si="95"/>
        <v>tache12</v>
      </c>
      <c r="BB159" s="360" t="s">
        <v>2091</v>
      </c>
      <c r="BC159" s="160" t="str">
        <f t="shared" si="96"/>
        <v>Vitale</v>
      </c>
      <c r="BD159" s="360" t="s">
        <v>2091</v>
      </c>
      <c r="BE159" s="160" t="str">
        <f t="shared" si="97"/>
        <v>Terminer</v>
      </c>
      <c r="BF159" s="360" t="s">
        <v>2091</v>
      </c>
      <c r="BG159" s="160" t="str">
        <f t="shared" si="98"/>
        <v>Realisation</v>
      </c>
      <c r="BH159" s="360" t="s">
        <v>2091</v>
      </c>
      <c r="BI159" s="371" t="str">
        <f t="shared" ca="1" si="99"/>
        <v>2023/01/21</v>
      </c>
      <c r="BJ159" s="360" t="s">
        <v>2091</v>
      </c>
      <c r="BK159" s="329" t="str">
        <f t="shared" ca="1" si="100"/>
        <v>2023/01/21</v>
      </c>
      <c r="BL159" s="360" t="s">
        <v>2091</v>
      </c>
      <c r="BM159" s="329" t="str">
        <f t="shared" ca="1" si="101"/>
        <v>2023/01/23</v>
      </c>
      <c r="BN159" s="360" t="s">
        <v>2091</v>
      </c>
      <c r="BO159" s="329" t="str">
        <f t="shared" ca="1" si="102"/>
        <v>2023/01/24</v>
      </c>
      <c r="BP159" s="360" t="s">
        <v>2091</v>
      </c>
      <c r="BQ159" s="329" t="str">
        <f t="shared" ca="1" si="103"/>
        <v>2023/01/24</v>
      </c>
      <c r="BR159" s="360" t="s">
        <v>2093</v>
      </c>
      <c r="BS159" s="160">
        <f t="shared" si="104"/>
        <v>2</v>
      </c>
      <c r="BT159" s="160" t="s">
        <v>2021</v>
      </c>
      <c r="BU159" s="322" t="str">
        <f t="shared" ca="1" si="105"/>
        <v>INSERT INTO TACHES(numTache,nameTache,descriptionTache,prioTache,stateTache,categoryTache,dateCreateTache,dateInProgressTache,dateToTestTache,dateEndThTache,dateEndRealTache,idProjet) VALUES ('12','tache12','tache12','Vitale','Terminer','Realisation','2023/01/21','2023/01/21','2023/01/23','2023/01/24','2023/01/24',2);</v>
      </c>
      <c r="BV159" s="322" t="s">
        <v>2406</v>
      </c>
    </row>
    <row r="160" spans="6:74" ht="15.65" outlineLevel="1" thickBot="1" x14ac:dyDescent="0.35">
      <c r="F160" s="160">
        <f t="shared" si="107"/>
        <v>31</v>
      </c>
      <c r="G160" s="160">
        <f t="shared" si="107"/>
        <v>13</v>
      </c>
      <c r="H160" s="160" t="s">
        <v>2130</v>
      </c>
      <c r="I160" s="160" t="str">
        <f t="shared" si="90"/>
        <v>tache13</v>
      </c>
      <c r="J160" s="160" t="s">
        <v>1867</v>
      </c>
      <c r="K160" s="160" t="s">
        <v>2375</v>
      </c>
      <c r="L160" s="160" t="s">
        <v>1879</v>
      </c>
      <c r="M160" s="329">
        <f>Q159+1</f>
        <v>44951</v>
      </c>
      <c r="N160" s="329">
        <f t="shared" si="108"/>
        <v>44951</v>
      </c>
      <c r="O160" s="329">
        <f t="shared" si="109"/>
        <v>44951</v>
      </c>
      <c r="P160" s="329">
        <f t="shared" si="110"/>
        <v>44951</v>
      </c>
      <c r="Q160" s="329">
        <f t="shared" si="111"/>
        <v>44951</v>
      </c>
      <c r="R160" s="160">
        <v>2</v>
      </c>
      <c r="S160" s="160">
        <f t="shared" si="91"/>
        <v>2</v>
      </c>
      <c r="T160" s="160" t="s">
        <v>1922</v>
      </c>
      <c r="U160" s="322" t="str">
        <f t="shared" si="92"/>
        <v>TACHES</v>
      </c>
      <c r="V160" s="160" t="s">
        <v>2088</v>
      </c>
      <c r="W160" s="189" t="s">
        <v>355</v>
      </c>
      <c r="X160" s="360" t="s">
        <v>2020</v>
      </c>
      <c r="Y160" s="189" t="s">
        <v>337</v>
      </c>
      <c r="Z160" s="360" t="s">
        <v>2020</v>
      </c>
      <c r="AA160" s="189" t="s">
        <v>340</v>
      </c>
      <c r="AB160" s="360" t="s">
        <v>2020</v>
      </c>
      <c r="AC160" s="189" t="s">
        <v>266</v>
      </c>
      <c r="AD160" s="360" t="s">
        <v>2020</v>
      </c>
      <c r="AE160" s="189" t="s">
        <v>244</v>
      </c>
      <c r="AF160" s="360" t="s">
        <v>2020</v>
      </c>
      <c r="AG160" s="189" t="s">
        <v>296</v>
      </c>
      <c r="AH160" s="360" t="s">
        <v>2020</v>
      </c>
      <c r="AI160" s="189" t="s">
        <v>298</v>
      </c>
      <c r="AJ160" s="360" t="s">
        <v>2020</v>
      </c>
      <c r="AK160" s="189" t="s">
        <v>299</v>
      </c>
      <c r="AL160" s="360" t="s">
        <v>2020</v>
      </c>
      <c r="AM160" s="189" t="s">
        <v>300</v>
      </c>
      <c r="AN160" s="360" t="s">
        <v>2020</v>
      </c>
      <c r="AO160" s="189" t="s">
        <v>301</v>
      </c>
      <c r="AP160" s="360" t="s">
        <v>2020</v>
      </c>
      <c r="AQ160" s="192" t="s">
        <v>302</v>
      </c>
      <c r="AR160" s="360" t="s">
        <v>2020</v>
      </c>
      <c r="AS160" s="295" t="s">
        <v>287</v>
      </c>
      <c r="AT160" s="360"/>
      <c r="AU160" s="322"/>
      <c r="AV160" s="360" t="s">
        <v>2089</v>
      </c>
      <c r="AW160" s="160">
        <f t="shared" si="93"/>
        <v>13</v>
      </c>
      <c r="AX160" s="360" t="s">
        <v>2091</v>
      </c>
      <c r="AY160" s="160" t="str">
        <f t="shared" si="94"/>
        <v>tache13</v>
      </c>
      <c r="AZ160" s="360" t="s">
        <v>2091</v>
      </c>
      <c r="BA160" s="160" t="str">
        <f t="shared" si="95"/>
        <v>tache13</v>
      </c>
      <c r="BB160" s="360" t="s">
        <v>2091</v>
      </c>
      <c r="BC160" s="160" t="str">
        <f t="shared" si="96"/>
        <v>Vitale</v>
      </c>
      <c r="BD160" s="360" t="s">
        <v>2091</v>
      </c>
      <c r="BE160" s="160" t="str">
        <f t="shared" si="97"/>
        <v>Terminer</v>
      </c>
      <c r="BF160" s="360" t="s">
        <v>2091</v>
      </c>
      <c r="BG160" s="160" t="str">
        <f t="shared" si="98"/>
        <v>Realisation</v>
      </c>
      <c r="BH160" s="360" t="s">
        <v>2091</v>
      </c>
      <c r="BI160" s="371" t="str">
        <f t="shared" ca="1" si="99"/>
        <v>2023/01/25</v>
      </c>
      <c r="BJ160" s="360" t="s">
        <v>2091</v>
      </c>
      <c r="BK160" s="329" t="str">
        <f t="shared" ca="1" si="100"/>
        <v>2023/01/25</v>
      </c>
      <c r="BL160" s="360" t="s">
        <v>2091</v>
      </c>
      <c r="BM160" s="329" t="str">
        <f t="shared" ca="1" si="101"/>
        <v>2023/01/25</v>
      </c>
      <c r="BN160" s="360" t="s">
        <v>2091</v>
      </c>
      <c r="BO160" s="329" t="str">
        <f t="shared" ca="1" si="102"/>
        <v>2023/01/25</v>
      </c>
      <c r="BP160" s="360" t="s">
        <v>2091</v>
      </c>
      <c r="BQ160" s="329" t="str">
        <f t="shared" ca="1" si="103"/>
        <v>2023/01/25</v>
      </c>
      <c r="BR160" s="360" t="s">
        <v>2093</v>
      </c>
      <c r="BS160" s="160">
        <f t="shared" si="104"/>
        <v>2</v>
      </c>
      <c r="BT160" s="160" t="s">
        <v>2021</v>
      </c>
      <c r="BU160" s="322" t="str">
        <f t="shared" ca="1" si="105"/>
        <v>INSERT INTO TACHES(numTache,nameTache,descriptionTache,prioTache,stateTache,categoryTache,dateCreateTache,dateInProgressTache,dateToTestTache,dateEndThTache,dateEndRealTache,idProjet) VALUES ('13','tache13','tache13','Vitale','Terminer','Realisation','2023/01/25','2023/01/25','2023/01/25','2023/01/25','2023/01/25',2);</v>
      </c>
      <c r="BV160" s="322" t="s">
        <v>2407</v>
      </c>
    </row>
    <row r="161" spans="6:74" ht="28.05" customHeight="1" outlineLevel="1" thickBot="1" x14ac:dyDescent="0.35">
      <c r="F161" s="160">
        <f t="shared" si="107"/>
        <v>32</v>
      </c>
      <c r="G161" s="160">
        <f t="shared" si="107"/>
        <v>14</v>
      </c>
      <c r="H161" s="160" t="s">
        <v>2131</v>
      </c>
      <c r="I161" s="160" t="str">
        <f t="shared" si="90"/>
        <v>tache14</v>
      </c>
      <c r="J161" s="160" t="s">
        <v>1867</v>
      </c>
      <c r="K161" s="160" t="s">
        <v>2375</v>
      </c>
      <c r="L161" s="160" t="s">
        <v>1879</v>
      </c>
      <c r="M161" s="329">
        <f>Q160+1</f>
        <v>44952</v>
      </c>
      <c r="N161" s="329">
        <f t="shared" si="108"/>
        <v>44952</v>
      </c>
      <c r="O161" s="329">
        <f t="shared" si="109"/>
        <v>44952</v>
      </c>
      <c r="P161" s="329">
        <f t="shared" si="110"/>
        <v>44952</v>
      </c>
      <c r="Q161" s="329">
        <f t="shared" si="111"/>
        <v>44952</v>
      </c>
      <c r="R161" s="160">
        <v>2</v>
      </c>
      <c r="S161" s="160">
        <f t="shared" si="91"/>
        <v>2</v>
      </c>
      <c r="T161" s="160" t="s">
        <v>1922</v>
      </c>
      <c r="U161" s="322" t="str">
        <f t="shared" si="92"/>
        <v>TACHES</v>
      </c>
      <c r="V161" s="160" t="s">
        <v>2088</v>
      </c>
      <c r="W161" s="189" t="s">
        <v>355</v>
      </c>
      <c r="X161" s="360" t="s">
        <v>2020</v>
      </c>
      <c r="Y161" s="189" t="s">
        <v>337</v>
      </c>
      <c r="Z161" s="360" t="s">
        <v>2020</v>
      </c>
      <c r="AA161" s="189" t="s">
        <v>340</v>
      </c>
      <c r="AB161" s="360" t="s">
        <v>2020</v>
      </c>
      <c r="AC161" s="189" t="s">
        <v>266</v>
      </c>
      <c r="AD161" s="360" t="s">
        <v>2020</v>
      </c>
      <c r="AE161" s="189" t="s">
        <v>244</v>
      </c>
      <c r="AF161" s="360" t="s">
        <v>2020</v>
      </c>
      <c r="AG161" s="189" t="s">
        <v>296</v>
      </c>
      <c r="AH161" s="360" t="s">
        <v>2020</v>
      </c>
      <c r="AI161" s="189" t="s">
        <v>298</v>
      </c>
      <c r="AJ161" s="360" t="s">
        <v>2020</v>
      </c>
      <c r="AK161" s="189" t="s">
        <v>299</v>
      </c>
      <c r="AL161" s="360" t="s">
        <v>2020</v>
      </c>
      <c r="AM161" s="189" t="s">
        <v>300</v>
      </c>
      <c r="AN161" s="360" t="s">
        <v>2020</v>
      </c>
      <c r="AO161" s="189" t="s">
        <v>301</v>
      </c>
      <c r="AP161" s="360" t="s">
        <v>2020</v>
      </c>
      <c r="AQ161" s="192" t="s">
        <v>302</v>
      </c>
      <c r="AR161" s="360" t="s">
        <v>2020</v>
      </c>
      <c r="AS161" s="295" t="s">
        <v>287</v>
      </c>
      <c r="AT161" s="360"/>
      <c r="AU161" s="322"/>
      <c r="AV161" s="360" t="s">
        <v>2089</v>
      </c>
      <c r="AW161" s="160">
        <f t="shared" si="93"/>
        <v>14</v>
      </c>
      <c r="AX161" s="360" t="s">
        <v>2091</v>
      </c>
      <c r="AY161" s="160" t="str">
        <f t="shared" si="94"/>
        <v>tache14</v>
      </c>
      <c r="AZ161" s="360" t="s">
        <v>2091</v>
      </c>
      <c r="BA161" s="160" t="str">
        <f t="shared" si="95"/>
        <v>tache14</v>
      </c>
      <c r="BB161" s="360" t="s">
        <v>2091</v>
      </c>
      <c r="BC161" s="160" t="str">
        <f t="shared" si="96"/>
        <v>Vitale</v>
      </c>
      <c r="BD161" s="360" t="s">
        <v>2091</v>
      </c>
      <c r="BE161" s="160" t="str">
        <f t="shared" si="97"/>
        <v>Terminer</v>
      </c>
      <c r="BF161" s="360" t="s">
        <v>2091</v>
      </c>
      <c r="BG161" s="160" t="str">
        <f t="shared" si="98"/>
        <v>Realisation</v>
      </c>
      <c r="BH161" s="360" t="s">
        <v>2091</v>
      </c>
      <c r="BI161" s="371" t="str">
        <f t="shared" ca="1" si="99"/>
        <v>2023/01/26</v>
      </c>
      <c r="BJ161" s="360" t="s">
        <v>2091</v>
      </c>
      <c r="BK161" s="329" t="str">
        <f t="shared" ca="1" si="100"/>
        <v>2023/01/26</v>
      </c>
      <c r="BL161" s="360" t="s">
        <v>2091</v>
      </c>
      <c r="BM161" s="329" t="str">
        <f t="shared" ca="1" si="101"/>
        <v>2023/01/26</v>
      </c>
      <c r="BN161" s="360" t="s">
        <v>2091</v>
      </c>
      <c r="BO161" s="329" t="str">
        <f t="shared" ca="1" si="102"/>
        <v>2023/01/26</v>
      </c>
      <c r="BP161" s="360" t="s">
        <v>2091</v>
      </c>
      <c r="BQ161" s="329" t="str">
        <f t="shared" ca="1" si="103"/>
        <v>2023/01/26</v>
      </c>
      <c r="BR161" s="360" t="s">
        <v>2093</v>
      </c>
      <c r="BS161" s="160">
        <f t="shared" si="104"/>
        <v>2</v>
      </c>
      <c r="BT161" s="160" t="s">
        <v>2021</v>
      </c>
      <c r="BU161" s="322" t="str">
        <f t="shared" ca="1" si="105"/>
        <v>INSERT INTO TACHES(numTache,nameTache,descriptionTache,prioTache,stateTache,categoryTache,dateCreateTache,dateInProgressTache,dateToTestTache,dateEndThTache,dateEndRealTache,idProjet) VALUES ('14','tache14','tache14','Vitale','Terminer','Realisation','2023/01/26','2023/01/26','2023/01/26','2023/01/26','2023/01/26',2);</v>
      </c>
      <c r="BV161" s="322" t="s">
        <v>2408</v>
      </c>
    </row>
    <row r="162" spans="6:74" ht="30.05" customHeight="1" outlineLevel="1" thickBot="1" x14ac:dyDescent="0.35">
      <c r="F162" s="160">
        <f t="shared" si="107"/>
        <v>33</v>
      </c>
      <c r="G162" s="160">
        <f t="shared" si="107"/>
        <v>15</v>
      </c>
      <c r="H162" s="160" t="s">
        <v>2132</v>
      </c>
      <c r="I162" s="160" t="str">
        <f t="shared" si="90"/>
        <v>tache15</v>
      </c>
      <c r="J162" s="160" t="s">
        <v>1868</v>
      </c>
      <c r="K162" s="160" t="s">
        <v>2375</v>
      </c>
      <c r="L162" s="160" t="s">
        <v>1879</v>
      </c>
      <c r="M162" s="329">
        <f>Q156+1</f>
        <v>44955</v>
      </c>
      <c r="N162" s="329">
        <f t="shared" si="108"/>
        <v>44955</v>
      </c>
      <c r="O162" s="329">
        <f t="shared" si="109"/>
        <v>44955</v>
      </c>
      <c r="P162" s="329">
        <f t="shared" si="110"/>
        <v>44955</v>
      </c>
      <c r="Q162" s="329">
        <f t="shared" si="111"/>
        <v>44955</v>
      </c>
      <c r="R162" s="160">
        <v>2</v>
      </c>
      <c r="S162" s="160">
        <f t="shared" si="91"/>
        <v>1</v>
      </c>
      <c r="T162" s="160" t="s">
        <v>1922</v>
      </c>
      <c r="U162" s="322" t="str">
        <f t="shared" si="92"/>
        <v>TACHES</v>
      </c>
      <c r="V162" s="160" t="s">
        <v>2088</v>
      </c>
      <c r="W162" s="189" t="s">
        <v>355</v>
      </c>
      <c r="X162" s="360" t="s">
        <v>2020</v>
      </c>
      <c r="Y162" s="189" t="s">
        <v>337</v>
      </c>
      <c r="Z162" s="360" t="s">
        <v>2020</v>
      </c>
      <c r="AA162" s="189" t="s">
        <v>340</v>
      </c>
      <c r="AB162" s="360" t="s">
        <v>2020</v>
      </c>
      <c r="AC162" s="189" t="s">
        <v>266</v>
      </c>
      <c r="AD162" s="360" t="s">
        <v>2020</v>
      </c>
      <c r="AE162" s="189" t="s">
        <v>244</v>
      </c>
      <c r="AF162" s="360" t="s">
        <v>2020</v>
      </c>
      <c r="AG162" s="189" t="s">
        <v>296</v>
      </c>
      <c r="AH162" s="360" t="s">
        <v>2020</v>
      </c>
      <c r="AI162" s="189" t="s">
        <v>298</v>
      </c>
      <c r="AJ162" s="360" t="s">
        <v>2020</v>
      </c>
      <c r="AK162" s="189" t="s">
        <v>299</v>
      </c>
      <c r="AL162" s="360" t="s">
        <v>2020</v>
      </c>
      <c r="AM162" s="189" t="s">
        <v>300</v>
      </c>
      <c r="AN162" s="360" t="s">
        <v>2020</v>
      </c>
      <c r="AO162" s="189" t="s">
        <v>301</v>
      </c>
      <c r="AP162" s="360" t="s">
        <v>2020</v>
      </c>
      <c r="AQ162" s="192" t="s">
        <v>302</v>
      </c>
      <c r="AR162" s="360" t="s">
        <v>2020</v>
      </c>
      <c r="AS162" s="295" t="s">
        <v>287</v>
      </c>
      <c r="AT162" s="360"/>
      <c r="AU162" s="322"/>
      <c r="AV162" s="360" t="s">
        <v>2089</v>
      </c>
      <c r="AW162" s="160">
        <f t="shared" si="93"/>
        <v>15</v>
      </c>
      <c r="AX162" s="360" t="s">
        <v>2091</v>
      </c>
      <c r="AY162" s="160" t="str">
        <f t="shared" si="94"/>
        <v>tache15</v>
      </c>
      <c r="AZ162" s="360" t="s">
        <v>2091</v>
      </c>
      <c r="BA162" s="160" t="str">
        <f t="shared" si="95"/>
        <v>tache15</v>
      </c>
      <c r="BB162" s="360" t="s">
        <v>2091</v>
      </c>
      <c r="BC162" s="160" t="str">
        <f t="shared" si="96"/>
        <v>Importante</v>
      </c>
      <c r="BD162" s="360" t="s">
        <v>2091</v>
      </c>
      <c r="BE162" s="160" t="str">
        <f t="shared" si="97"/>
        <v>Terminer</v>
      </c>
      <c r="BF162" s="360" t="s">
        <v>2091</v>
      </c>
      <c r="BG162" s="160" t="str">
        <f t="shared" si="98"/>
        <v>Realisation</v>
      </c>
      <c r="BH162" s="360" t="s">
        <v>2091</v>
      </c>
      <c r="BI162" s="371" t="str">
        <f t="shared" ca="1" si="99"/>
        <v>2023/01/29</v>
      </c>
      <c r="BJ162" s="360" t="s">
        <v>2091</v>
      </c>
      <c r="BK162" s="329" t="str">
        <f t="shared" ca="1" si="100"/>
        <v>2023/01/29</v>
      </c>
      <c r="BL162" s="360" t="s">
        <v>2091</v>
      </c>
      <c r="BM162" s="329" t="str">
        <f t="shared" ca="1" si="101"/>
        <v>2023/01/29</v>
      </c>
      <c r="BN162" s="360" t="s">
        <v>2091</v>
      </c>
      <c r="BO162" s="329" t="str">
        <f t="shared" ca="1" si="102"/>
        <v>2023/01/29</v>
      </c>
      <c r="BP162" s="360" t="s">
        <v>2091</v>
      </c>
      <c r="BQ162" s="329" t="str">
        <f t="shared" ca="1" si="103"/>
        <v>2023/01/29</v>
      </c>
      <c r="BR162" s="360" t="s">
        <v>2093</v>
      </c>
      <c r="BS162" s="160">
        <f t="shared" si="104"/>
        <v>2</v>
      </c>
      <c r="BT162" s="160" t="s">
        <v>2021</v>
      </c>
      <c r="BU162" s="322" t="str">
        <f t="shared" ca="1" si="105"/>
        <v>INSERT INTO TACHES(numTache,nameTache,descriptionTache,prioTache,stateTache,categoryTache,dateCreateTache,dateInProgressTache,dateToTestTache,dateEndThTache,dateEndRealTache,idProjet) VALUES ('15','tache15','tache15','Importante','Terminer','Realisation','2023/01/29','2023/01/29','2023/01/29','2023/01/29','2023/01/29',2);</v>
      </c>
      <c r="BV162" s="322" t="s">
        <v>2409</v>
      </c>
    </row>
    <row r="163" spans="6:74" ht="20.05" customHeight="1" outlineLevel="1" thickBot="1" x14ac:dyDescent="0.35">
      <c r="F163" s="160">
        <f t="shared" si="107"/>
        <v>34</v>
      </c>
      <c r="G163" s="160">
        <f t="shared" si="107"/>
        <v>16</v>
      </c>
      <c r="H163" s="160" t="s">
        <v>2133</v>
      </c>
      <c r="I163" s="160" t="str">
        <f t="shared" si="90"/>
        <v>tache16</v>
      </c>
      <c r="J163" s="160" t="s">
        <v>1870</v>
      </c>
      <c r="K163" s="160" t="s">
        <v>2375</v>
      </c>
      <c r="L163" s="160" t="s">
        <v>1879</v>
      </c>
      <c r="M163" s="329">
        <f>Q155+1</f>
        <v>44957</v>
      </c>
      <c r="N163" s="329">
        <f t="shared" si="108"/>
        <v>44957</v>
      </c>
      <c r="O163" s="329">
        <f>N163+1</f>
        <v>44958</v>
      </c>
      <c r="P163" s="329">
        <f>O163</f>
        <v>44958</v>
      </c>
      <c r="Q163" s="329">
        <f>P163</f>
        <v>44958</v>
      </c>
      <c r="R163" s="160">
        <v>2</v>
      </c>
      <c r="S163" s="160">
        <f t="shared" si="91"/>
        <v>3</v>
      </c>
      <c r="T163" s="160" t="s">
        <v>1922</v>
      </c>
      <c r="U163" s="322" t="str">
        <f t="shared" si="92"/>
        <v>TACHES</v>
      </c>
      <c r="V163" s="160" t="s">
        <v>2088</v>
      </c>
      <c r="W163" s="189" t="s">
        <v>355</v>
      </c>
      <c r="X163" s="360" t="s">
        <v>2020</v>
      </c>
      <c r="Y163" s="189" t="s">
        <v>337</v>
      </c>
      <c r="Z163" s="360" t="s">
        <v>2020</v>
      </c>
      <c r="AA163" s="189" t="s">
        <v>340</v>
      </c>
      <c r="AB163" s="360" t="s">
        <v>2020</v>
      </c>
      <c r="AC163" s="189" t="s">
        <v>266</v>
      </c>
      <c r="AD163" s="360" t="s">
        <v>2020</v>
      </c>
      <c r="AE163" s="189" t="s">
        <v>244</v>
      </c>
      <c r="AF163" s="360" t="s">
        <v>2020</v>
      </c>
      <c r="AG163" s="189" t="s">
        <v>296</v>
      </c>
      <c r="AH163" s="360" t="s">
        <v>2020</v>
      </c>
      <c r="AI163" s="189" t="s">
        <v>298</v>
      </c>
      <c r="AJ163" s="360" t="s">
        <v>2020</v>
      </c>
      <c r="AK163" s="189" t="s">
        <v>299</v>
      </c>
      <c r="AL163" s="360" t="s">
        <v>2020</v>
      </c>
      <c r="AM163" s="189" t="s">
        <v>300</v>
      </c>
      <c r="AN163" s="360" t="s">
        <v>2020</v>
      </c>
      <c r="AO163" s="189" t="s">
        <v>301</v>
      </c>
      <c r="AP163" s="360" t="s">
        <v>2020</v>
      </c>
      <c r="AQ163" s="192" t="s">
        <v>302</v>
      </c>
      <c r="AR163" s="360" t="s">
        <v>2020</v>
      </c>
      <c r="AS163" s="295" t="s">
        <v>287</v>
      </c>
      <c r="AT163" s="360"/>
      <c r="AU163" s="322"/>
      <c r="AV163" s="360" t="s">
        <v>2089</v>
      </c>
      <c r="AW163" s="160">
        <f t="shared" si="93"/>
        <v>16</v>
      </c>
      <c r="AX163" s="360" t="s">
        <v>2091</v>
      </c>
      <c r="AY163" s="160" t="str">
        <f t="shared" si="94"/>
        <v>tache16</v>
      </c>
      <c r="AZ163" s="360" t="s">
        <v>2091</v>
      </c>
      <c r="BA163" s="160" t="str">
        <f t="shared" si="95"/>
        <v>tache16</v>
      </c>
      <c r="BB163" s="360" t="s">
        <v>2091</v>
      </c>
      <c r="BC163" s="160" t="str">
        <f t="shared" si="96"/>
        <v>Confort</v>
      </c>
      <c r="BD163" s="360" t="s">
        <v>2091</v>
      </c>
      <c r="BE163" s="160" t="str">
        <f t="shared" si="97"/>
        <v>Terminer</v>
      </c>
      <c r="BF163" s="360" t="s">
        <v>2091</v>
      </c>
      <c r="BG163" s="160" t="str">
        <f t="shared" si="98"/>
        <v>Realisation</v>
      </c>
      <c r="BH163" s="360" t="s">
        <v>2091</v>
      </c>
      <c r="BI163" s="371" t="str">
        <f t="shared" ca="1" si="99"/>
        <v>2023/01/31</v>
      </c>
      <c r="BJ163" s="360" t="s">
        <v>2091</v>
      </c>
      <c r="BK163" s="329" t="str">
        <f t="shared" ca="1" si="100"/>
        <v>2023/01/31</v>
      </c>
      <c r="BL163" s="360" t="s">
        <v>2091</v>
      </c>
      <c r="BM163" s="329" t="str">
        <f t="shared" ca="1" si="101"/>
        <v>2023/02/01</v>
      </c>
      <c r="BN163" s="360" t="s">
        <v>2091</v>
      </c>
      <c r="BO163" s="329" t="str">
        <f t="shared" ca="1" si="102"/>
        <v>2023/02/01</v>
      </c>
      <c r="BP163" s="360" t="s">
        <v>2091</v>
      </c>
      <c r="BQ163" s="329" t="str">
        <f t="shared" ca="1" si="103"/>
        <v>2023/02/01</v>
      </c>
      <c r="BR163" s="360" t="s">
        <v>2093</v>
      </c>
      <c r="BS163" s="160">
        <f t="shared" si="104"/>
        <v>2</v>
      </c>
      <c r="BT163" s="160" t="s">
        <v>2021</v>
      </c>
      <c r="BU163" s="322" t="str">
        <f t="shared" ca="1" si="105"/>
        <v>INSERT INTO TACHES(numTache,nameTache,descriptionTache,prioTache,stateTache,categoryTache,dateCreateTache,dateInProgressTache,dateToTestTache,dateEndThTache,dateEndRealTache,idProjet) VALUES ('16','tache16','tache16','Confort','Terminer','Realisation','2023/01/31','2023/01/31','2023/02/01','2023/02/01','2023/02/01',2);</v>
      </c>
      <c r="BV163" s="322" t="s">
        <v>2410</v>
      </c>
    </row>
    <row r="164" spans="6:74" ht="20.05" customHeight="1" outlineLevel="1" thickBot="1" x14ac:dyDescent="0.35">
      <c r="F164" s="160">
        <f t="shared" ref="F164:G179" si="112">F163+1</f>
        <v>35</v>
      </c>
      <c r="G164" s="160">
        <f t="shared" si="112"/>
        <v>17</v>
      </c>
      <c r="H164" s="160" t="s">
        <v>2134</v>
      </c>
      <c r="I164" s="160" t="str">
        <f t="shared" si="90"/>
        <v>tache17</v>
      </c>
      <c r="J164" s="160" t="s">
        <v>1867</v>
      </c>
      <c r="K164" s="160" t="s">
        <v>2375</v>
      </c>
      <c r="L164" s="160" t="s">
        <v>1879</v>
      </c>
      <c r="M164" s="329">
        <f>Q161+1</f>
        <v>44953</v>
      </c>
      <c r="N164" s="329">
        <f t="shared" si="108"/>
        <v>44953</v>
      </c>
      <c r="O164" s="329">
        <f t="shared" ref="O164:O170" si="113">M164</f>
        <v>44953</v>
      </c>
      <c r="P164" s="329">
        <f>M164</f>
        <v>44953</v>
      </c>
      <c r="Q164" s="329">
        <f>P164+1</f>
        <v>44954</v>
      </c>
      <c r="R164" s="160">
        <v>2</v>
      </c>
      <c r="S164" s="160">
        <f t="shared" si="91"/>
        <v>2</v>
      </c>
      <c r="T164" s="160" t="s">
        <v>1922</v>
      </c>
      <c r="U164" s="322" t="str">
        <f t="shared" si="92"/>
        <v>TACHES</v>
      </c>
      <c r="V164" s="160" t="s">
        <v>2088</v>
      </c>
      <c r="W164" s="189" t="s">
        <v>355</v>
      </c>
      <c r="X164" s="360" t="s">
        <v>2020</v>
      </c>
      <c r="Y164" s="189" t="s">
        <v>337</v>
      </c>
      <c r="Z164" s="360" t="s">
        <v>2020</v>
      </c>
      <c r="AA164" s="189" t="s">
        <v>340</v>
      </c>
      <c r="AB164" s="360" t="s">
        <v>2020</v>
      </c>
      <c r="AC164" s="189" t="s">
        <v>266</v>
      </c>
      <c r="AD164" s="360" t="s">
        <v>2020</v>
      </c>
      <c r="AE164" s="189" t="s">
        <v>244</v>
      </c>
      <c r="AF164" s="360" t="s">
        <v>2020</v>
      </c>
      <c r="AG164" s="189" t="s">
        <v>296</v>
      </c>
      <c r="AH164" s="360" t="s">
        <v>2020</v>
      </c>
      <c r="AI164" s="189" t="s">
        <v>298</v>
      </c>
      <c r="AJ164" s="360" t="s">
        <v>2020</v>
      </c>
      <c r="AK164" s="189" t="s">
        <v>299</v>
      </c>
      <c r="AL164" s="360" t="s">
        <v>2020</v>
      </c>
      <c r="AM164" s="189" t="s">
        <v>300</v>
      </c>
      <c r="AN164" s="360" t="s">
        <v>2020</v>
      </c>
      <c r="AO164" s="189" t="s">
        <v>301</v>
      </c>
      <c r="AP164" s="360" t="s">
        <v>2020</v>
      </c>
      <c r="AQ164" s="192" t="s">
        <v>302</v>
      </c>
      <c r="AR164" s="360" t="s">
        <v>2020</v>
      </c>
      <c r="AS164" s="295" t="s">
        <v>287</v>
      </c>
      <c r="AT164" s="360"/>
      <c r="AU164" s="322"/>
      <c r="AV164" s="360" t="s">
        <v>2089</v>
      </c>
      <c r="AW164" s="160">
        <f t="shared" si="93"/>
        <v>17</v>
      </c>
      <c r="AX164" s="360" t="s">
        <v>2091</v>
      </c>
      <c r="AY164" s="160" t="str">
        <f t="shared" si="94"/>
        <v>tache17</v>
      </c>
      <c r="AZ164" s="360" t="s">
        <v>2091</v>
      </c>
      <c r="BA164" s="160" t="str">
        <f t="shared" si="95"/>
        <v>tache17</v>
      </c>
      <c r="BB164" s="360" t="s">
        <v>2091</v>
      </c>
      <c r="BC164" s="160" t="str">
        <f t="shared" si="96"/>
        <v>Vitale</v>
      </c>
      <c r="BD164" s="360" t="s">
        <v>2091</v>
      </c>
      <c r="BE164" s="160" t="str">
        <f t="shared" si="97"/>
        <v>Terminer</v>
      </c>
      <c r="BF164" s="360" t="s">
        <v>2091</v>
      </c>
      <c r="BG164" s="160" t="str">
        <f t="shared" si="98"/>
        <v>Realisation</v>
      </c>
      <c r="BH164" s="360" t="s">
        <v>2091</v>
      </c>
      <c r="BI164" s="371" t="str">
        <f t="shared" ca="1" si="99"/>
        <v>2023/01/27</v>
      </c>
      <c r="BJ164" s="360" t="s">
        <v>2091</v>
      </c>
      <c r="BK164" s="329" t="str">
        <f t="shared" ca="1" si="100"/>
        <v>2023/01/27</v>
      </c>
      <c r="BL164" s="360" t="s">
        <v>2091</v>
      </c>
      <c r="BM164" s="329" t="str">
        <f t="shared" ca="1" si="101"/>
        <v>2023/01/27</v>
      </c>
      <c r="BN164" s="360" t="s">
        <v>2091</v>
      </c>
      <c r="BO164" s="329" t="str">
        <f t="shared" ca="1" si="102"/>
        <v>2023/01/27</v>
      </c>
      <c r="BP164" s="360" t="s">
        <v>2091</v>
      </c>
      <c r="BQ164" s="329" t="str">
        <f t="shared" ca="1" si="103"/>
        <v>2023/01/28</v>
      </c>
      <c r="BR164" s="360" t="s">
        <v>2093</v>
      </c>
      <c r="BS164" s="160">
        <f t="shared" si="104"/>
        <v>2</v>
      </c>
      <c r="BT164" s="160" t="s">
        <v>2021</v>
      </c>
      <c r="BU164" s="322" t="str">
        <f t="shared" ca="1" si="105"/>
        <v>INSERT INTO TACHES(numTache,nameTache,descriptionTache,prioTache,stateTache,categoryTache,dateCreateTache,dateInProgressTache,dateToTestTache,dateEndThTache,dateEndRealTache,idProjet) VALUES ('17','tache17','tache17','Vitale','Terminer','Realisation','2023/01/27','2023/01/27','2023/01/27','2023/01/27','2023/01/28',2);</v>
      </c>
      <c r="BV164" s="322" t="s">
        <v>2411</v>
      </c>
    </row>
    <row r="165" spans="6:74" ht="28.2" customHeight="1" thickBot="1" x14ac:dyDescent="0.35">
      <c r="F165" s="160">
        <f t="shared" si="112"/>
        <v>36</v>
      </c>
      <c r="G165" s="160">
        <f t="shared" si="112"/>
        <v>18</v>
      </c>
      <c r="H165" s="160" t="s">
        <v>2135</v>
      </c>
      <c r="I165" s="160" t="str">
        <f t="shared" si="90"/>
        <v>tache18</v>
      </c>
      <c r="J165" s="160" t="s">
        <v>1867</v>
      </c>
      <c r="K165" s="160" t="s">
        <v>2375</v>
      </c>
      <c r="L165" s="160" t="s">
        <v>1880</v>
      </c>
      <c r="M165" s="329">
        <f>Q163+1</f>
        <v>44959</v>
      </c>
      <c r="N165" s="329">
        <f t="shared" si="108"/>
        <v>44959</v>
      </c>
      <c r="O165" s="329">
        <f t="shared" si="113"/>
        <v>44959</v>
      </c>
      <c r="P165" s="329">
        <f>O165+1</f>
        <v>44960</v>
      </c>
      <c r="Q165" s="329">
        <f>P165</f>
        <v>44960</v>
      </c>
      <c r="R165" s="160">
        <v>2</v>
      </c>
      <c r="S165" s="160">
        <f t="shared" si="91"/>
        <v>3</v>
      </c>
      <c r="T165" s="160" t="s">
        <v>1922</v>
      </c>
      <c r="U165" s="322" t="str">
        <f t="shared" si="92"/>
        <v>TACHES</v>
      </c>
      <c r="V165" s="160" t="s">
        <v>2088</v>
      </c>
      <c r="W165" s="189" t="s">
        <v>355</v>
      </c>
      <c r="X165" s="360" t="s">
        <v>2020</v>
      </c>
      <c r="Y165" s="189" t="s">
        <v>337</v>
      </c>
      <c r="Z165" s="360" t="s">
        <v>2020</v>
      </c>
      <c r="AA165" s="189" t="s">
        <v>340</v>
      </c>
      <c r="AB165" s="360" t="s">
        <v>2020</v>
      </c>
      <c r="AC165" s="189" t="s">
        <v>266</v>
      </c>
      <c r="AD165" s="360" t="s">
        <v>2020</v>
      </c>
      <c r="AE165" s="189" t="s">
        <v>244</v>
      </c>
      <c r="AF165" s="360" t="s">
        <v>2020</v>
      </c>
      <c r="AG165" s="189" t="s">
        <v>296</v>
      </c>
      <c r="AH165" s="360" t="s">
        <v>2020</v>
      </c>
      <c r="AI165" s="189" t="s">
        <v>298</v>
      </c>
      <c r="AJ165" s="360" t="s">
        <v>2020</v>
      </c>
      <c r="AK165" s="189" t="s">
        <v>299</v>
      </c>
      <c r="AL165" s="360" t="s">
        <v>2020</v>
      </c>
      <c r="AM165" s="189" t="s">
        <v>300</v>
      </c>
      <c r="AN165" s="360" t="s">
        <v>2020</v>
      </c>
      <c r="AO165" s="189" t="s">
        <v>301</v>
      </c>
      <c r="AP165" s="360" t="s">
        <v>2020</v>
      </c>
      <c r="AQ165" s="192" t="s">
        <v>302</v>
      </c>
      <c r="AR165" s="360" t="s">
        <v>2020</v>
      </c>
      <c r="AS165" s="295" t="s">
        <v>287</v>
      </c>
      <c r="AT165" s="360"/>
      <c r="AU165" s="322"/>
      <c r="AV165" s="360" t="s">
        <v>2089</v>
      </c>
      <c r="AW165" s="160">
        <f t="shared" si="93"/>
        <v>18</v>
      </c>
      <c r="AX165" s="360" t="s">
        <v>2091</v>
      </c>
      <c r="AY165" s="160" t="str">
        <f t="shared" si="94"/>
        <v>tache18</v>
      </c>
      <c r="AZ165" s="360" t="s">
        <v>2091</v>
      </c>
      <c r="BA165" s="160" t="str">
        <f t="shared" si="95"/>
        <v>tache18</v>
      </c>
      <c r="BB165" s="360" t="s">
        <v>2091</v>
      </c>
      <c r="BC165" s="160" t="str">
        <f t="shared" si="96"/>
        <v>Vitale</v>
      </c>
      <c r="BD165" s="360" t="s">
        <v>2091</v>
      </c>
      <c r="BE165" s="160" t="str">
        <f t="shared" si="97"/>
        <v>Terminer</v>
      </c>
      <c r="BF165" s="360" t="s">
        <v>2091</v>
      </c>
      <c r="BG165" s="160" t="str">
        <f t="shared" si="98"/>
        <v>Exploitation</v>
      </c>
      <c r="BH165" s="360" t="s">
        <v>2091</v>
      </c>
      <c r="BI165" s="371" t="str">
        <f t="shared" ca="1" si="99"/>
        <v>2023/02/02</v>
      </c>
      <c r="BJ165" s="360" t="s">
        <v>2091</v>
      </c>
      <c r="BK165" s="329" t="str">
        <f t="shared" ca="1" si="100"/>
        <v>2023/02/02</v>
      </c>
      <c r="BL165" s="360" t="s">
        <v>2091</v>
      </c>
      <c r="BM165" s="329" t="str">
        <f t="shared" ca="1" si="101"/>
        <v>2023/02/02</v>
      </c>
      <c r="BN165" s="360" t="s">
        <v>2091</v>
      </c>
      <c r="BO165" s="329" t="str">
        <f t="shared" ca="1" si="102"/>
        <v>2023/02/03</v>
      </c>
      <c r="BP165" s="360" t="s">
        <v>2091</v>
      </c>
      <c r="BQ165" s="329" t="str">
        <f t="shared" ca="1" si="103"/>
        <v>2023/02/03</v>
      </c>
      <c r="BR165" s="360" t="s">
        <v>2093</v>
      </c>
      <c r="BS165" s="160">
        <f t="shared" si="104"/>
        <v>2</v>
      </c>
      <c r="BT165" s="160" t="s">
        <v>2021</v>
      </c>
      <c r="BU165" s="322" t="str">
        <f t="shared" ca="1" si="105"/>
        <v>INSERT INTO TACHES(numTache,nameTache,descriptionTache,prioTache,stateTache,categoryTache,dateCreateTache,dateInProgressTache,dateToTestTache,dateEndThTache,dateEndRealTache,idProjet) VALUES ('18','tache18','tache18','Vitale','Terminer','Exploitation','2023/02/02','2023/02/02','2023/02/02','2023/02/03','2023/02/03',2);</v>
      </c>
      <c r="BV165" s="322" t="s">
        <v>2412</v>
      </c>
    </row>
    <row r="166" spans="6:74" ht="20.05" customHeight="1" outlineLevel="1" thickBot="1" x14ac:dyDescent="0.35">
      <c r="F166" s="160">
        <f t="shared" si="112"/>
        <v>37</v>
      </c>
      <c r="G166" s="160">
        <v>1</v>
      </c>
      <c r="H166" s="160" t="s">
        <v>2118</v>
      </c>
      <c r="I166" s="160" t="str">
        <f t="shared" si="90"/>
        <v>tache1</v>
      </c>
      <c r="J166" s="160" t="s">
        <v>1867</v>
      </c>
      <c r="K166" s="160" t="s">
        <v>2375</v>
      </c>
      <c r="L166" s="160" t="s">
        <v>1876</v>
      </c>
      <c r="M166" s="329">
        <v>44963</v>
      </c>
      <c r="N166" s="329">
        <f>M166</f>
        <v>44963</v>
      </c>
      <c r="O166" s="329">
        <f t="shared" si="113"/>
        <v>44963</v>
      </c>
      <c r="P166" s="329">
        <f>M166</f>
        <v>44963</v>
      </c>
      <c r="Q166" s="329">
        <f>M166</f>
        <v>44963</v>
      </c>
      <c r="R166" s="160">
        <v>3</v>
      </c>
      <c r="S166" s="160">
        <f t="shared" si="91"/>
        <v>2</v>
      </c>
      <c r="T166" s="160" t="s">
        <v>1922</v>
      </c>
      <c r="U166" s="322" t="str">
        <f t="shared" si="92"/>
        <v>TACHES</v>
      </c>
      <c r="V166" s="160" t="s">
        <v>2088</v>
      </c>
      <c r="W166" s="189" t="s">
        <v>355</v>
      </c>
      <c r="X166" s="360" t="s">
        <v>2020</v>
      </c>
      <c r="Y166" s="189" t="s">
        <v>337</v>
      </c>
      <c r="Z166" s="360" t="s">
        <v>2020</v>
      </c>
      <c r="AA166" s="189" t="s">
        <v>340</v>
      </c>
      <c r="AB166" s="360" t="s">
        <v>2020</v>
      </c>
      <c r="AC166" s="189" t="s">
        <v>266</v>
      </c>
      <c r="AD166" s="360" t="s">
        <v>2020</v>
      </c>
      <c r="AE166" s="189" t="s">
        <v>244</v>
      </c>
      <c r="AF166" s="360" t="s">
        <v>2020</v>
      </c>
      <c r="AG166" s="189" t="s">
        <v>296</v>
      </c>
      <c r="AH166" s="360" t="s">
        <v>2020</v>
      </c>
      <c r="AI166" s="189" t="s">
        <v>298</v>
      </c>
      <c r="AJ166" s="360" t="s">
        <v>2020</v>
      </c>
      <c r="AK166" s="189" t="s">
        <v>299</v>
      </c>
      <c r="AL166" s="360" t="s">
        <v>2020</v>
      </c>
      <c r="AM166" s="189" t="s">
        <v>300</v>
      </c>
      <c r="AN166" s="360" t="s">
        <v>2020</v>
      </c>
      <c r="AO166" s="189" t="s">
        <v>301</v>
      </c>
      <c r="AP166" s="360" t="s">
        <v>2020</v>
      </c>
      <c r="AQ166" s="192" t="s">
        <v>302</v>
      </c>
      <c r="AR166" s="360" t="s">
        <v>2020</v>
      </c>
      <c r="AS166" s="295" t="s">
        <v>287</v>
      </c>
      <c r="AT166" s="360"/>
      <c r="AU166" s="322"/>
      <c r="AV166" s="360" t="s">
        <v>2089</v>
      </c>
      <c r="AW166" s="160">
        <f t="shared" si="93"/>
        <v>1</v>
      </c>
      <c r="AX166" s="360" t="s">
        <v>2091</v>
      </c>
      <c r="AY166" s="160" t="str">
        <f t="shared" si="94"/>
        <v>tache1</v>
      </c>
      <c r="AZ166" s="360" t="s">
        <v>2091</v>
      </c>
      <c r="BA166" s="160" t="str">
        <f t="shared" si="95"/>
        <v>tache1</v>
      </c>
      <c r="BB166" s="360" t="s">
        <v>2091</v>
      </c>
      <c r="BC166" s="160" t="str">
        <f t="shared" si="96"/>
        <v>Vitale</v>
      </c>
      <c r="BD166" s="360" t="s">
        <v>2091</v>
      </c>
      <c r="BE166" s="160" t="str">
        <f t="shared" si="97"/>
        <v>Terminer</v>
      </c>
      <c r="BF166" s="360" t="s">
        <v>2091</v>
      </c>
      <c r="BG166" s="160" t="str">
        <f t="shared" si="98"/>
        <v>Initialisation</v>
      </c>
      <c r="BH166" s="360" t="s">
        <v>2091</v>
      </c>
      <c r="BI166" s="371" t="str">
        <f t="shared" ca="1" si="99"/>
        <v>2023/02/06</v>
      </c>
      <c r="BJ166" s="360" t="s">
        <v>2091</v>
      </c>
      <c r="BK166" s="329" t="str">
        <f t="shared" ca="1" si="100"/>
        <v>2023/02/06</v>
      </c>
      <c r="BL166" s="360" t="s">
        <v>2091</v>
      </c>
      <c r="BM166" s="329" t="str">
        <f t="shared" ca="1" si="101"/>
        <v>2023/02/06</v>
      </c>
      <c r="BN166" s="360" t="s">
        <v>2091</v>
      </c>
      <c r="BO166" s="329" t="str">
        <f t="shared" ca="1" si="102"/>
        <v>2023/02/06</v>
      </c>
      <c r="BP166" s="360" t="s">
        <v>2091</v>
      </c>
      <c r="BQ166" s="329" t="str">
        <f t="shared" ca="1" si="103"/>
        <v>2023/02/06</v>
      </c>
      <c r="BR166" s="360" t="s">
        <v>2093</v>
      </c>
      <c r="BS166" s="160">
        <f t="shared" si="104"/>
        <v>3</v>
      </c>
      <c r="BT166" s="160" t="s">
        <v>2021</v>
      </c>
      <c r="BU166" s="322" t="str">
        <f t="shared" ca="1" si="105"/>
        <v>INSERT INTO TACHES(numTache,nameTache,descriptionTache,prioTache,stateTache,categoryTache,dateCreateTache,dateInProgressTache,dateToTestTache,dateEndThTache,dateEndRealTache,idProjet) VALUES ('1','tache1','tache1','Vitale','Terminer','Initialisation','2023/02/06','2023/02/06','2023/02/06','2023/02/06','2023/02/06',3);</v>
      </c>
      <c r="BV166" s="322" t="s">
        <v>2413</v>
      </c>
    </row>
    <row r="167" spans="6:74" ht="20.05" customHeight="1" outlineLevel="1" thickBot="1" x14ac:dyDescent="0.35">
      <c r="F167" s="160">
        <f t="shared" si="112"/>
        <v>38</v>
      </c>
      <c r="G167" s="160">
        <f>G166+1</f>
        <v>2</v>
      </c>
      <c r="H167" s="160" t="s">
        <v>2119</v>
      </c>
      <c r="I167" s="160" t="str">
        <f t="shared" si="90"/>
        <v>tache2</v>
      </c>
      <c r="J167" s="160" t="s">
        <v>1867</v>
      </c>
      <c r="K167" s="160" t="s">
        <v>2375</v>
      </c>
      <c r="L167" s="160" t="s">
        <v>1876</v>
      </c>
      <c r="M167" s="329">
        <f>Q166</f>
        <v>44963</v>
      </c>
      <c r="N167" s="329">
        <f t="shared" si="108"/>
        <v>44963</v>
      </c>
      <c r="O167" s="329">
        <f t="shared" si="113"/>
        <v>44963</v>
      </c>
      <c r="P167" s="329">
        <f>M167</f>
        <v>44963</v>
      </c>
      <c r="Q167" s="329">
        <f>M167</f>
        <v>44963</v>
      </c>
      <c r="R167" s="160">
        <v>3</v>
      </c>
      <c r="S167" s="160">
        <f t="shared" si="91"/>
        <v>2</v>
      </c>
      <c r="T167" s="160" t="s">
        <v>1922</v>
      </c>
      <c r="U167" s="322" t="str">
        <f t="shared" si="92"/>
        <v>TACHES</v>
      </c>
      <c r="V167" s="160" t="s">
        <v>2088</v>
      </c>
      <c r="W167" s="189" t="s">
        <v>355</v>
      </c>
      <c r="X167" s="360" t="s">
        <v>2020</v>
      </c>
      <c r="Y167" s="189" t="s">
        <v>337</v>
      </c>
      <c r="Z167" s="360" t="s">
        <v>2020</v>
      </c>
      <c r="AA167" s="189" t="s">
        <v>340</v>
      </c>
      <c r="AB167" s="360" t="s">
        <v>2020</v>
      </c>
      <c r="AC167" s="189" t="s">
        <v>266</v>
      </c>
      <c r="AD167" s="360" t="s">
        <v>2020</v>
      </c>
      <c r="AE167" s="189" t="s">
        <v>244</v>
      </c>
      <c r="AF167" s="360" t="s">
        <v>2020</v>
      </c>
      <c r="AG167" s="189" t="s">
        <v>296</v>
      </c>
      <c r="AH167" s="360" t="s">
        <v>2020</v>
      </c>
      <c r="AI167" s="189" t="s">
        <v>298</v>
      </c>
      <c r="AJ167" s="360" t="s">
        <v>2020</v>
      </c>
      <c r="AK167" s="189" t="s">
        <v>299</v>
      </c>
      <c r="AL167" s="360" t="s">
        <v>2020</v>
      </c>
      <c r="AM167" s="189" t="s">
        <v>300</v>
      </c>
      <c r="AN167" s="360" t="s">
        <v>2020</v>
      </c>
      <c r="AO167" s="189" t="s">
        <v>301</v>
      </c>
      <c r="AP167" s="360" t="s">
        <v>2020</v>
      </c>
      <c r="AQ167" s="192" t="s">
        <v>302</v>
      </c>
      <c r="AR167" s="360" t="s">
        <v>2020</v>
      </c>
      <c r="AS167" s="295" t="s">
        <v>287</v>
      </c>
      <c r="AT167" s="360"/>
      <c r="AU167" s="322"/>
      <c r="AV167" s="360" t="s">
        <v>2089</v>
      </c>
      <c r="AW167" s="160">
        <f t="shared" si="93"/>
        <v>2</v>
      </c>
      <c r="AX167" s="360" t="s">
        <v>2091</v>
      </c>
      <c r="AY167" s="160" t="str">
        <f t="shared" si="94"/>
        <v>tache2</v>
      </c>
      <c r="AZ167" s="360" t="s">
        <v>2091</v>
      </c>
      <c r="BA167" s="160" t="str">
        <f t="shared" si="95"/>
        <v>tache2</v>
      </c>
      <c r="BB167" s="360" t="s">
        <v>2091</v>
      </c>
      <c r="BC167" s="160" t="str">
        <f t="shared" si="96"/>
        <v>Vitale</v>
      </c>
      <c r="BD167" s="360" t="s">
        <v>2091</v>
      </c>
      <c r="BE167" s="160" t="str">
        <f t="shared" si="97"/>
        <v>Terminer</v>
      </c>
      <c r="BF167" s="360" t="s">
        <v>2091</v>
      </c>
      <c r="BG167" s="160" t="str">
        <f t="shared" si="98"/>
        <v>Initialisation</v>
      </c>
      <c r="BH167" s="360" t="s">
        <v>2091</v>
      </c>
      <c r="BI167" s="371" t="str">
        <f t="shared" ca="1" si="99"/>
        <v>2023/02/06</v>
      </c>
      <c r="BJ167" s="360" t="s">
        <v>2091</v>
      </c>
      <c r="BK167" s="329" t="str">
        <f t="shared" ca="1" si="100"/>
        <v>2023/02/06</v>
      </c>
      <c r="BL167" s="360" t="s">
        <v>2091</v>
      </c>
      <c r="BM167" s="329" t="str">
        <f t="shared" ca="1" si="101"/>
        <v>2023/02/06</v>
      </c>
      <c r="BN167" s="360" t="s">
        <v>2091</v>
      </c>
      <c r="BO167" s="329" t="str">
        <f t="shared" ca="1" si="102"/>
        <v>2023/02/06</v>
      </c>
      <c r="BP167" s="360" t="s">
        <v>2091</v>
      </c>
      <c r="BQ167" s="329" t="str">
        <f t="shared" ca="1" si="103"/>
        <v>2023/02/06</v>
      </c>
      <c r="BR167" s="360" t="s">
        <v>2093</v>
      </c>
      <c r="BS167" s="160">
        <f t="shared" si="104"/>
        <v>3</v>
      </c>
      <c r="BT167" s="160" t="s">
        <v>2021</v>
      </c>
      <c r="BU167" s="322" t="str">
        <f t="shared" ca="1" si="105"/>
        <v>INSERT INTO TACHES(numTache,nameTache,descriptionTache,prioTache,stateTache,categoryTache,dateCreateTache,dateInProgressTache,dateToTestTache,dateEndThTache,dateEndRealTache,idProjet) VALUES ('2','tache2','tache2','Vitale','Terminer','Initialisation','2023/02/06','2023/02/06','2023/02/06','2023/02/06','2023/02/06',3);</v>
      </c>
      <c r="BV167" s="322" t="s">
        <v>2414</v>
      </c>
    </row>
    <row r="168" spans="6:74" ht="20.05" customHeight="1" outlineLevel="1" thickBot="1" x14ac:dyDescent="0.35">
      <c r="F168" s="160">
        <f t="shared" si="112"/>
        <v>39</v>
      </c>
      <c r="G168" s="160">
        <f t="shared" si="112"/>
        <v>3</v>
      </c>
      <c r="H168" s="160" t="s">
        <v>2120</v>
      </c>
      <c r="I168" s="160" t="str">
        <f t="shared" si="90"/>
        <v>tache3</v>
      </c>
      <c r="J168" s="160" t="s">
        <v>1867</v>
      </c>
      <c r="K168" s="160" t="s">
        <v>2375</v>
      </c>
      <c r="L168" s="160" t="s">
        <v>1877</v>
      </c>
      <c r="M168" s="329">
        <f>Q167</f>
        <v>44963</v>
      </c>
      <c r="N168" s="329">
        <f t="shared" si="108"/>
        <v>44963</v>
      </c>
      <c r="O168" s="329">
        <f t="shared" si="113"/>
        <v>44963</v>
      </c>
      <c r="P168" s="329">
        <f>M168</f>
        <v>44963</v>
      </c>
      <c r="Q168" s="329">
        <f>M168</f>
        <v>44963</v>
      </c>
      <c r="R168" s="160">
        <v>3</v>
      </c>
      <c r="S168" s="160">
        <f t="shared" si="91"/>
        <v>2</v>
      </c>
      <c r="T168" s="160" t="s">
        <v>1922</v>
      </c>
      <c r="U168" s="322" t="str">
        <f t="shared" si="92"/>
        <v>TACHES</v>
      </c>
      <c r="V168" s="160" t="s">
        <v>2088</v>
      </c>
      <c r="W168" s="189" t="s">
        <v>355</v>
      </c>
      <c r="X168" s="360" t="s">
        <v>2020</v>
      </c>
      <c r="Y168" s="189" t="s">
        <v>337</v>
      </c>
      <c r="Z168" s="360" t="s">
        <v>2020</v>
      </c>
      <c r="AA168" s="189" t="s">
        <v>340</v>
      </c>
      <c r="AB168" s="360" t="s">
        <v>2020</v>
      </c>
      <c r="AC168" s="189" t="s">
        <v>266</v>
      </c>
      <c r="AD168" s="360" t="s">
        <v>2020</v>
      </c>
      <c r="AE168" s="189" t="s">
        <v>244</v>
      </c>
      <c r="AF168" s="360" t="s">
        <v>2020</v>
      </c>
      <c r="AG168" s="189" t="s">
        <v>296</v>
      </c>
      <c r="AH168" s="360" t="s">
        <v>2020</v>
      </c>
      <c r="AI168" s="189" t="s">
        <v>298</v>
      </c>
      <c r="AJ168" s="360" t="s">
        <v>2020</v>
      </c>
      <c r="AK168" s="189" t="s">
        <v>299</v>
      </c>
      <c r="AL168" s="360" t="s">
        <v>2020</v>
      </c>
      <c r="AM168" s="189" t="s">
        <v>300</v>
      </c>
      <c r="AN168" s="360" t="s">
        <v>2020</v>
      </c>
      <c r="AO168" s="189" t="s">
        <v>301</v>
      </c>
      <c r="AP168" s="360" t="s">
        <v>2020</v>
      </c>
      <c r="AQ168" s="192" t="s">
        <v>302</v>
      </c>
      <c r="AR168" s="360" t="s">
        <v>2020</v>
      </c>
      <c r="AS168" s="295" t="s">
        <v>287</v>
      </c>
      <c r="AT168" s="360"/>
      <c r="AU168" s="322"/>
      <c r="AV168" s="360" t="s">
        <v>2089</v>
      </c>
      <c r="AW168" s="160">
        <f t="shared" si="93"/>
        <v>3</v>
      </c>
      <c r="AX168" s="360" t="s">
        <v>2091</v>
      </c>
      <c r="AY168" s="160" t="str">
        <f t="shared" si="94"/>
        <v>tache3</v>
      </c>
      <c r="AZ168" s="360" t="s">
        <v>2091</v>
      </c>
      <c r="BA168" s="160" t="str">
        <f t="shared" si="95"/>
        <v>tache3</v>
      </c>
      <c r="BB168" s="360" t="s">
        <v>2091</v>
      </c>
      <c r="BC168" s="160" t="str">
        <f t="shared" si="96"/>
        <v>Vitale</v>
      </c>
      <c r="BD168" s="360" t="s">
        <v>2091</v>
      </c>
      <c r="BE168" s="160" t="str">
        <f t="shared" si="97"/>
        <v>Terminer</v>
      </c>
      <c r="BF168" s="360" t="s">
        <v>2091</v>
      </c>
      <c r="BG168" s="160" t="str">
        <f t="shared" si="98"/>
        <v>Analyse</v>
      </c>
      <c r="BH168" s="360" t="s">
        <v>2091</v>
      </c>
      <c r="BI168" s="371" t="str">
        <f t="shared" ca="1" si="99"/>
        <v>2023/02/06</v>
      </c>
      <c r="BJ168" s="360" t="s">
        <v>2091</v>
      </c>
      <c r="BK168" s="329" t="str">
        <f t="shared" ca="1" si="100"/>
        <v>2023/02/06</v>
      </c>
      <c r="BL168" s="360" t="s">
        <v>2091</v>
      </c>
      <c r="BM168" s="329" t="str">
        <f t="shared" ca="1" si="101"/>
        <v>2023/02/06</v>
      </c>
      <c r="BN168" s="360" t="s">
        <v>2091</v>
      </c>
      <c r="BO168" s="329" t="str">
        <f t="shared" ca="1" si="102"/>
        <v>2023/02/06</v>
      </c>
      <c r="BP168" s="360" t="s">
        <v>2091</v>
      </c>
      <c r="BQ168" s="329" t="str">
        <f t="shared" ca="1" si="103"/>
        <v>2023/02/06</v>
      </c>
      <c r="BR168" s="360" t="s">
        <v>2093</v>
      </c>
      <c r="BS168" s="160">
        <f t="shared" si="104"/>
        <v>3</v>
      </c>
      <c r="BT168" s="160" t="s">
        <v>2021</v>
      </c>
      <c r="BU168" s="322" t="str">
        <f t="shared" ca="1" si="105"/>
        <v>INSERT INTO TACHES(numTache,nameTache,descriptionTache,prioTache,stateTache,categoryTache,dateCreateTache,dateInProgressTache,dateToTestTache,dateEndThTache,dateEndRealTache,idProjet) VALUES ('3','tache3','tache3','Vitale','Terminer','Analyse','2023/02/06','2023/02/06','2023/02/06','2023/02/06','2023/02/06',3);</v>
      </c>
      <c r="BV168" s="322" t="s">
        <v>2415</v>
      </c>
    </row>
    <row r="169" spans="6:74" ht="20.05" customHeight="1" outlineLevel="1" thickBot="1" x14ac:dyDescent="0.35">
      <c r="F169" s="160">
        <f t="shared" si="112"/>
        <v>40</v>
      </c>
      <c r="G169" s="160">
        <f t="shared" si="112"/>
        <v>4</v>
      </c>
      <c r="H169" s="160" t="s">
        <v>2121</v>
      </c>
      <c r="I169" s="160" t="str">
        <f t="shared" si="90"/>
        <v>tache4</v>
      </c>
      <c r="J169" s="160" t="s">
        <v>1867</v>
      </c>
      <c r="K169" s="160" t="s">
        <v>2375</v>
      </c>
      <c r="L169" s="160" t="s">
        <v>1877</v>
      </c>
      <c r="M169" s="329">
        <f>Q168+1</f>
        <v>44964</v>
      </c>
      <c r="N169" s="329">
        <f t="shared" si="108"/>
        <v>44964</v>
      </c>
      <c r="O169" s="329">
        <f t="shared" si="113"/>
        <v>44964</v>
      </c>
      <c r="P169" s="329">
        <f>M169</f>
        <v>44964</v>
      </c>
      <c r="Q169" s="329">
        <f>M169</f>
        <v>44964</v>
      </c>
      <c r="R169" s="160">
        <v>3</v>
      </c>
      <c r="S169" s="160">
        <f t="shared" si="91"/>
        <v>2</v>
      </c>
      <c r="T169" s="160" t="s">
        <v>1922</v>
      </c>
      <c r="U169" s="322" t="str">
        <f t="shared" si="92"/>
        <v>TACHES</v>
      </c>
      <c r="V169" s="160" t="s">
        <v>2088</v>
      </c>
      <c r="W169" s="189" t="s">
        <v>355</v>
      </c>
      <c r="X169" s="360" t="s">
        <v>2020</v>
      </c>
      <c r="Y169" s="189" t="s">
        <v>337</v>
      </c>
      <c r="Z169" s="360" t="s">
        <v>2020</v>
      </c>
      <c r="AA169" s="189" t="s">
        <v>340</v>
      </c>
      <c r="AB169" s="360" t="s">
        <v>2020</v>
      </c>
      <c r="AC169" s="189" t="s">
        <v>266</v>
      </c>
      <c r="AD169" s="360" t="s">
        <v>2020</v>
      </c>
      <c r="AE169" s="189" t="s">
        <v>244</v>
      </c>
      <c r="AF169" s="360" t="s">
        <v>2020</v>
      </c>
      <c r="AG169" s="189" t="s">
        <v>296</v>
      </c>
      <c r="AH169" s="360" t="s">
        <v>2020</v>
      </c>
      <c r="AI169" s="189" t="s">
        <v>298</v>
      </c>
      <c r="AJ169" s="360" t="s">
        <v>2020</v>
      </c>
      <c r="AK169" s="189" t="s">
        <v>299</v>
      </c>
      <c r="AL169" s="360" t="s">
        <v>2020</v>
      </c>
      <c r="AM169" s="189" t="s">
        <v>300</v>
      </c>
      <c r="AN169" s="360" t="s">
        <v>2020</v>
      </c>
      <c r="AO169" s="189" t="s">
        <v>301</v>
      </c>
      <c r="AP169" s="360" t="s">
        <v>2020</v>
      </c>
      <c r="AQ169" s="192" t="s">
        <v>302</v>
      </c>
      <c r="AR169" s="360" t="s">
        <v>2020</v>
      </c>
      <c r="AS169" s="295" t="s">
        <v>287</v>
      </c>
      <c r="AT169" s="360"/>
      <c r="AU169" s="322"/>
      <c r="AV169" s="360" t="s">
        <v>2089</v>
      </c>
      <c r="AW169" s="160">
        <f t="shared" si="93"/>
        <v>4</v>
      </c>
      <c r="AX169" s="360" t="s">
        <v>2091</v>
      </c>
      <c r="AY169" s="160" t="str">
        <f t="shared" si="94"/>
        <v>tache4</v>
      </c>
      <c r="AZ169" s="360" t="s">
        <v>2091</v>
      </c>
      <c r="BA169" s="160" t="str">
        <f t="shared" si="95"/>
        <v>tache4</v>
      </c>
      <c r="BB169" s="360" t="s">
        <v>2091</v>
      </c>
      <c r="BC169" s="160" t="str">
        <f t="shared" si="96"/>
        <v>Vitale</v>
      </c>
      <c r="BD169" s="360" t="s">
        <v>2091</v>
      </c>
      <c r="BE169" s="160" t="str">
        <f t="shared" si="97"/>
        <v>Terminer</v>
      </c>
      <c r="BF169" s="360" t="s">
        <v>2091</v>
      </c>
      <c r="BG169" s="160" t="str">
        <f t="shared" si="98"/>
        <v>Analyse</v>
      </c>
      <c r="BH169" s="360" t="s">
        <v>2091</v>
      </c>
      <c r="BI169" s="371" t="str">
        <f t="shared" ca="1" si="99"/>
        <v>2023/02/07</v>
      </c>
      <c r="BJ169" s="360" t="s">
        <v>2091</v>
      </c>
      <c r="BK169" s="329" t="str">
        <f t="shared" ca="1" si="100"/>
        <v>2023/02/07</v>
      </c>
      <c r="BL169" s="360" t="s">
        <v>2091</v>
      </c>
      <c r="BM169" s="329" t="str">
        <f t="shared" ca="1" si="101"/>
        <v>2023/02/07</v>
      </c>
      <c r="BN169" s="360" t="s">
        <v>2091</v>
      </c>
      <c r="BO169" s="329" t="str">
        <f t="shared" ca="1" si="102"/>
        <v>2023/02/07</v>
      </c>
      <c r="BP169" s="360" t="s">
        <v>2091</v>
      </c>
      <c r="BQ169" s="329" t="str">
        <f t="shared" ca="1" si="103"/>
        <v>2023/02/07</v>
      </c>
      <c r="BR169" s="360" t="s">
        <v>2093</v>
      </c>
      <c r="BS169" s="160">
        <f t="shared" si="104"/>
        <v>3</v>
      </c>
      <c r="BT169" s="160" t="s">
        <v>2021</v>
      </c>
      <c r="BU169" s="322" t="str">
        <f t="shared" ca="1" si="105"/>
        <v>INSERT INTO TACHES(numTache,nameTache,descriptionTache,prioTache,stateTache,categoryTache,dateCreateTache,dateInProgressTache,dateToTestTache,dateEndThTache,dateEndRealTache,idProjet) VALUES ('4','tache4','tache4','Vitale','Terminer','Analyse','2023/02/07','2023/02/07','2023/02/07','2023/02/07','2023/02/07',3);</v>
      </c>
      <c r="BV169" s="322" t="s">
        <v>2416</v>
      </c>
    </row>
    <row r="170" spans="6:74" ht="78.3" customHeight="1" outlineLevel="1" thickBot="1" x14ac:dyDescent="0.35">
      <c r="F170" s="160">
        <f t="shared" si="112"/>
        <v>41</v>
      </c>
      <c r="G170" s="160">
        <f t="shared" si="112"/>
        <v>5</v>
      </c>
      <c r="H170" s="160" t="s">
        <v>2122</v>
      </c>
      <c r="I170" s="160" t="str">
        <f t="shared" si="90"/>
        <v>tache5</v>
      </c>
      <c r="J170" s="160" t="s">
        <v>1867</v>
      </c>
      <c r="K170" s="160" t="s">
        <v>2375</v>
      </c>
      <c r="L170" s="160" t="s">
        <v>1878</v>
      </c>
      <c r="M170" s="329">
        <f>Q169</f>
        <v>44964</v>
      </c>
      <c r="N170" s="329">
        <f t="shared" si="108"/>
        <v>44964</v>
      </c>
      <c r="O170" s="329">
        <f t="shared" si="113"/>
        <v>44964</v>
      </c>
      <c r="P170" s="329">
        <f>O170+1</f>
        <v>44965</v>
      </c>
      <c r="Q170" s="329">
        <f>P170</f>
        <v>44965</v>
      </c>
      <c r="R170" s="160">
        <v>3</v>
      </c>
      <c r="S170" s="160">
        <f t="shared" si="91"/>
        <v>3</v>
      </c>
      <c r="T170" s="160" t="s">
        <v>1922</v>
      </c>
      <c r="U170" s="322" t="str">
        <f t="shared" si="92"/>
        <v>TACHES</v>
      </c>
      <c r="V170" s="160" t="s">
        <v>2088</v>
      </c>
      <c r="W170" s="189" t="s">
        <v>355</v>
      </c>
      <c r="X170" s="360" t="s">
        <v>2020</v>
      </c>
      <c r="Y170" s="189" t="s">
        <v>337</v>
      </c>
      <c r="Z170" s="360" t="s">
        <v>2020</v>
      </c>
      <c r="AA170" s="189" t="s">
        <v>340</v>
      </c>
      <c r="AB170" s="360" t="s">
        <v>2020</v>
      </c>
      <c r="AC170" s="189" t="s">
        <v>266</v>
      </c>
      <c r="AD170" s="360" t="s">
        <v>2020</v>
      </c>
      <c r="AE170" s="189" t="s">
        <v>244</v>
      </c>
      <c r="AF170" s="360" t="s">
        <v>2020</v>
      </c>
      <c r="AG170" s="189" t="s">
        <v>296</v>
      </c>
      <c r="AH170" s="360" t="s">
        <v>2020</v>
      </c>
      <c r="AI170" s="189" t="s">
        <v>298</v>
      </c>
      <c r="AJ170" s="360" t="s">
        <v>2020</v>
      </c>
      <c r="AK170" s="189" t="s">
        <v>299</v>
      </c>
      <c r="AL170" s="360" t="s">
        <v>2020</v>
      </c>
      <c r="AM170" s="189" t="s">
        <v>300</v>
      </c>
      <c r="AN170" s="360" t="s">
        <v>2020</v>
      </c>
      <c r="AO170" s="189" t="s">
        <v>301</v>
      </c>
      <c r="AP170" s="360" t="s">
        <v>2020</v>
      </c>
      <c r="AQ170" s="192" t="s">
        <v>302</v>
      </c>
      <c r="AR170" s="360" t="s">
        <v>2020</v>
      </c>
      <c r="AS170" s="295" t="s">
        <v>287</v>
      </c>
      <c r="AT170" s="360"/>
      <c r="AU170" s="322"/>
      <c r="AV170" s="360" t="s">
        <v>2089</v>
      </c>
      <c r="AW170" s="160">
        <f t="shared" si="93"/>
        <v>5</v>
      </c>
      <c r="AX170" s="360" t="s">
        <v>2091</v>
      </c>
      <c r="AY170" s="160" t="str">
        <f t="shared" si="94"/>
        <v>tache5</v>
      </c>
      <c r="AZ170" s="360" t="s">
        <v>2091</v>
      </c>
      <c r="BA170" s="160" t="str">
        <f t="shared" si="95"/>
        <v>tache5</v>
      </c>
      <c r="BB170" s="360" t="s">
        <v>2091</v>
      </c>
      <c r="BC170" s="160" t="str">
        <f t="shared" si="96"/>
        <v>Vitale</v>
      </c>
      <c r="BD170" s="360" t="s">
        <v>2091</v>
      </c>
      <c r="BE170" s="160" t="str">
        <f t="shared" si="97"/>
        <v>Terminer</v>
      </c>
      <c r="BF170" s="360" t="s">
        <v>2091</v>
      </c>
      <c r="BG170" s="160" t="str">
        <f t="shared" si="98"/>
        <v>Conception</v>
      </c>
      <c r="BH170" s="360" t="s">
        <v>2091</v>
      </c>
      <c r="BI170" s="371" t="str">
        <f t="shared" ca="1" si="99"/>
        <v>2023/02/07</v>
      </c>
      <c r="BJ170" s="360" t="s">
        <v>2091</v>
      </c>
      <c r="BK170" s="329" t="str">
        <f t="shared" ca="1" si="100"/>
        <v>2023/02/07</v>
      </c>
      <c r="BL170" s="360" t="s">
        <v>2091</v>
      </c>
      <c r="BM170" s="329" t="str">
        <f t="shared" ca="1" si="101"/>
        <v>2023/02/07</v>
      </c>
      <c r="BN170" s="360" t="s">
        <v>2091</v>
      </c>
      <c r="BO170" s="329" t="str">
        <f t="shared" ca="1" si="102"/>
        <v>2023/02/08</v>
      </c>
      <c r="BP170" s="360" t="s">
        <v>2091</v>
      </c>
      <c r="BQ170" s="329" t="str">
        <f t="shared" ca="1" si="103"/>
        <v>2023/02/08</v>
      </c>
      <c r="BR170" s="360" t="s">
        <v>2093</v>
      </c>
      <c r="BS170" s="160">
        <f t="shared" si="104"/>
        <v>3</v>
      </c>
      <c r="BT170" s="160" t="s">
        <v>2021</v>
      </c>
      <c r="BU170" s="322" t="str">
        <f t="shared" ca="1" si="105"/>
        <v>INSERT INTO TACHES(numTache,nameTache,descriptionTache,prioTache,stateTache,categoryTache,dateCreateTache,dateInProgressTache,dateToTestTache,dateEndThTache,dateEndRealTache,idProjet) VALUES ('5','tache5','tache5','Vitale','Terminer','Conception','2023/02/07','2023/02/07','2023/02/07','2023/02/08','2023/02/08',3);</v>
      </c>
      <c r="BV170" s="322" t="s">
        <v>2417</v>
      </c>
    </row>
    <row r="171" spans="6:74" ht="90.35" customHeight="1" outlineLevel="1" thickBot="1" x14ac:dyDescent="0.35">
      <c r="F171" s="160">
        <f t="shared" si="112"/>
        <v>42</v>
      </c>
      <c r="G171" s="160">
        <f t="shared" si="112"/>
        <v>6</v>
      </c>
      <c r="H171" s="160" t="s">
        <v>2123</v>
      </c>
      <c r="I171" s="160" t="str">
        <f t="shared" si="90"/>
        <v>tache6</v>
      </c>
      <c r="J171" s="160" t="s">
        <v>1867</v>
      </c>
      <c r="K171" s="160" t="s">
        <v>2375</v>
      </c>
      <c r="L171" s="160" t="s">
        <v>1879</v>
      </c>
      <c r="M171" s="329">
        <f>Q170+1</f>
        <v>44966</v>
      </c>
      <c r="N171" s="329">
        <f t="shared" si="108"/>
        <v>44966</v>
      </c>
      <c r="O171" s="329">
        <f>N171+0</f>
        <v>44966</v>
      </c>
      <c r="P171" s="329">
        <f>O171+0</f>
        <v>44966</v>
      </c>
      <c r="Q171" s="329">
        <f>P171</f>
        <v>44966</v>
      </c>
      <c r="R171" s="160">
        <v>3</v>
      </c>
      <c r="S171" s="160">
        <f t="shared" si="91"/>
        <v>2</v>
      </c>
      <c r="T171" s="160" t="s">
        <v>1922</v>
      </c>
      <c r="U171" s="322" t="str">
        <f t="shared" si="92"/>
        <v>TACHES</v>
      </c>
      <c r="V171" s="160" t="s">
        <v>2088</v>
      </c>
      <c r="W171" s="189" t="s">
        <v>355</v>
      </c>
      <c r="X171" s="360" t="s">
        <v>2020</v>
      </c>
      <c r="Y171" s="189" t="s">
        <v>337</v>
      </c>
      <c r="Z171" s="360" t="s">
        <v>2020</v>
      </c>
      <c r="AA171" s="189" t="s">
        <v>340</v>
      </c>
      <c r="AB171" s="360" t="s">
        <v>2020</v>
      </c>
      <c r="AC171" s="189" t="s">
        <v>266</v>
      </c>
      <c r="AD171" s="360" t="s">
        <v>2020</v>
      </c>
      <c r="AE171" s="189" t="s">
        <v>244</v>
      </c>
      <c r="AF171" s="360" t="s">
        <v>2020</v>
      </c>
      <c r="AG171" s="189" t="s">
        <v>296</v>
      </c>
      <c r="AH171" s="360" t="s">
        <v>2020</v>
      </c>
      <c r="AI171" s="189" t="s">
        <v>298</v>
      </c>
      <c r="AJ171" s="360" t="s">
        <v>2020</v>
      </c>
      <c r="AK171" s="189" t="s">
        <v>299</v>
      </c>
      <c r="AL171" s="360" t="s">
        <v>2020</v>
      </c>
      <c r="AM171" s="189" t="s">
        <v>300</v>
      </c>
      <c r="AN171" s="360" t="s">
        <v>2020</v>
      </c>
      <c r="AO171" s="189" t="s">
        <v>301</v>
      </c>
      <c r="AP171" s="360" t="s">
        <v>2020</v>
      </c>
      <c r="AQ171" s="192" t="s">
        <v>302</v>
      </c>
      <c r="AR171" s="360" t="s">
        <v>2020</v>
      </c>
      <c r="AS171" s="295" t="s">
        <v>287</v>
      </c>
      <c r="AT171" s="360"/>
      <c r="AU171" s="322"/>
      <c r="AV171" s="360" t="s">
        <v>2089</v>
      </c>
      <c r="AW171" s="160">
        <f t="shared" si="93"/>
        <v>6</v>
      </c>
      <c r="AX171" s="360" t="s">
        <v>2091</v>
      </c>
      <c r="AY171" s="160" t="str">
        <f t="shared" si="94"/>
        <v>tache6</v>
      </c>
      <c r="AZ171" s="360" t="s">
        <v>2091</v>
      </c>
      <c r="BA171" s="160" t="str">
        <f t="shared" si="95"/>
        <v>tache6</v>
      </c>
      <c r="BB171" s="360" t="s">
        <v>2091</v>
      </c>
      <c r="BC171" s="160" t="str">
        <f t="shared" si="96"/>
        <v>Vitale</v>
      </c>
      <c r="BD171" s="360" t="s">
        <v>2091</v>
      </c>
      <c r="BE171" s="160" t="str">
        <f t="shared" si="97"/>
        <v>Terminer</v>
      </c>
      <c r="BF171" s="360" t="s">
        <v>2091</v>
      </c>
      <c r="BG171" s="160" t="str">
        <f t="shared" si="98"/>
        <v>Realisation</v>
      </c>
      <c r="BH171" s="360" t="s">
        <v>2091</v>
      </c>
      <c r="BI171" s="371" t="str">
        <f t="shared" ca="1" si="99"/>
        <v>2023/02/09</v>
      </c>
      <c r="BJ171" s="360" t="s">
        <v>2091</v>
      </c>
      <c r="BK171" s="329" t="str">
        <f t="shared" ca="1" si="100"/>
        <v>2023/02/09</v>
      </c>
      <c r="BL171" s="360" t="s">
        <v>2091</v>
      </c>
      <c r="BM171" s="329" t="str">
        <f t="shared" ca="1" si="101"/>
        <v>2023/02/09</v>
      </c>
      <c r="BN171" s="360" t="s">
        <v>2091</v>
      </c>
      <c r="BO171" s="329" t="str">
        <f t="shared" ca="1" si="102"/>
        <v>2023/02/09</v>
      </c>
      <c r="BP171" s="360" t="s">
        <v>2091</v>
      </c>
      <c r="BQ171" s="329" t="str">
        <f t="shared" ca="1" si="103"/>
        <v>2023/02/09</v>
      </c>
      <c r="BR171" s="360" t="s">
        <v>2093</v>
      </c>
      <c r="BS171" s="160">
        <f t="shared" si="104"/>
        <v>3</v>
      </c>
      <c r="BT171" s="160" t="s">
        <v>2021</v>
      </c>
      <c r="BU171" s="322" t="str">
        <f t="shared" ca="1" si="105"/>
        <v>INSERT INTO TACHES(numTache,nameTache,descriptionTache,prioTache,stateTache,categoryTache,dateCreateTache,dateInProgressTache,dateToTestTache,dateEndThTache,dateEndRealTache,idProjet) VALUES ('6','tache6','tache6','Vitale','Terminer','Realisation','2023/02/09','2023/02/09','2023/02/09','2023/02/09','2023/02/09',3);</v>
      </c>
      <c r="BV171" s="322" t="s">
        <v>2418</v>
      </c>
    </row>
    <row r="172" spans="6:74" ht="90.35" customHeight="1" outlineLevel="1" thickBot="1" x14ac:dyDescent="0.35">
      <c r="F172" s="160">
        <f t="shared" si="112"/>
        <v>43</v>
      </c>
      <c r="G172" s="160">
        <f t="shared" si="112"/>
        <v>7</v>
      </c>
      <c r="H172" s="160" t="s">
        <v>2124</v>
      </c>
      <c r="I172" s="160" t="str">
        <f t="shared" si="90"/>
        <v>tache7</v>
      </c>
      <c r="J172" s="160" t="s">
        <v>1867</v>
      </c>
      <c r="K172" s="160" t="s">
        <v>2375</v>
      </c>
      <c r="L172" s="160" t="s">
        <v>1879</v>
      </c>
      <c r="M172" s="329">
        <f>Q171+1</f>
        <v>44967</v>
      </c>
      <c r="N172" s="329">
        <f t="shared" si="108"/>
        <v>44967</v>
      </c>
      <c r="O172" s="329">
        <f>N172+0</f>
        <v>44967</v>
      </c>
      <c r="P172" s="329">
        <f>O172+0</f>
        <v>44967</v>
      </c>
      <c r="Q172" s="329">
        <f>P172</f>
        <v>44967</v>
      </c>
      <c r="R172" s="160">
        <v>3</v>
      </c>
      <c r="S172" s="160">
        <f t="shared" si="91"/>
        <v>2</v>
      </c>
      <c r="T172" s="160" t="s">
        <v>1922</v>
      </c>
      <c r="U172" s="322" t="str">
        <f t="shared" si="92"/>
        <v>TACHES</v>
      </c>
      <c r="V172" s="160" t="s">
        <v>2088</v>
      </c>
      <c r="W172" s="189" t="s">
        <v>355</v>
      </c>
      <c r="X172" s="360" t="s">
        <v>2020</v>
      </c>
      <c r="Y172" s="189" t="s">
        <v>337</v>
      </c>
      <c r="Z172" s="360" t="s">
        <v>2020</v>
      </c>
      <c r="AA172" s="189" t="s">
        <v>340</v>
      </c>
      <c r="AB172" s="360" t="s">
        <v>2020</v>
      </c>
      <c r="AC172" s="189" t="s">
        <v>266</v>
      </c>
      <c r="AD172" s="360" t="s">
        <v>2020</v>
      </c>
      <c r="AE172" s="189" t="s">
        <v>244</v>
      </c>
      <c r="AF172" s="360" t="s">
        <v>2020</v>
      </c>
      <c r="AG172" s="189" t="s">
        <v>296</v>
      </c>
      <c r="AH172" s="360" t="s">
        <v>2020</v>
      </c>
      <c r="AI172" s="189" t="s">
        <v>298</v>
      </c>
      <c r="AJ172" s="360" t="s">
        <v>2020</v>
      </c>
      <c r="AK172" s="189" t="s">
        <v>299</v>
      </c>
      <c r="AL172" s="360" t="s">
        <v>2020</v>
      </c>
      <c r="AM172" s="189" t="s">
        <v>300</v>
      </c>
      <c r="AN172" s="360" t="s">
        <v>2020</v>
      </c>
      <c r="AO172" s="189" t="s">
        <v>301</v>
      </c>
      <c r="AP172" s="360" t="s">
        <v>2020</v>
      </c>
      <c r="AQ172" s="192" t="s">
        <v>302</v>
      </c>
      <c r="AR172" s="360" t="s">
        <v>2020</v>
      </c>
      <c r="AS172" s="295" t="s">
        <v>287</v>
      </c>
      <c r="AT172" s="360"/>
      <c r="AU172" s="322"/>
      <c r="AV172" s="360" t="s">
        <v>2089</v>
      </c>
      <c r="AW172" s="160">
        <f t="shared" si="93"/>
        <v>7</v>
      </c>
      <c r="AX172" s="360" t="s">
        <v>2091</v>
      </c>
      <c r="AY172" s="160" t="str">
        <f t="shared" si="94"/>
        <v>tache7</v>
      </c>
      <c r="AZ172" s="360" t="s">
        <v>2091</v>
      </c>
      <c r="BA172" s="160" t="str">
        <f t="shared" si="95"/>
        <v>tache7</v>
      </c>
      <c r="BB172" s="360" t="s">
        <v>2091</v>
      </c>
      <c r="BC172" s="160" t="str">
        <f t="shared" si="96"/>
        <v>Vitale</v>
      </c>
      <c r="BD172" s="360" t="s">
        <v>2091</v>
      </c>
      <c r="BE172" s="160" t="str">
        <f t="shared" si="97"/>
        <v>Terminer</v>
      </c>
      <c r="BF172" s="360" t="s">
        <v>2091</v>
      </c>
      <c r="BG172" s="160" t="str">
        <f t="shared" si="98"/>
        <v>Realisation</v>
      </c>
      <c r="BH172" s="360" t="s">
        <v>2091</v>
      </c>
      <c r="BI172" s="371" t="str">
        <f t="shared" ca="1" si="99"/>
        <v>2023/02/10</v>
      </c>
      <c r="BJ172" s="360" t="s">
        <v>2091</v>
      </c>
      <c r="BK172" s="329" t="str">
        <f t="shared" ca="1" si="100"/>
        <v>2023/02/10</v>
      </c>
      <c r="BL172" s="360" t="s">
        <v>2091</v>
      </c>
      <c r="BM172" s="329" t="str">
        <f t="shared" ca="1" si="101"/>
        <v>2023/02/10</v>
      </c>
      <c r="BN172" s="360" t="s">
        <v>2091</v>
      </c>
      <c r="BO172" s="329" t="str">
        <f t="shared" ca="1" si="102"/>
        <v>2023/02/10</v>
      </c>
      <c r="BP172" s="360" t="s">
        <v>2091</v>
      </c>
      <c r="BQ172" s="329" t="str">
        <f t="shared" ca="1" si="103"/>
        <v>2023/02/10</v>
      </c>
      <c r="BR172" s="360" t="s">
        <v>2093</v>
      </c>
      <c r="BS172" s="160">
        <f t="shared" si="104"/>
        <v>3</v>
      </c>
      <c r="BT172" s="160" t="s">
        <v>2021</v>
      </c>
      <c r="BU172" s="322" t="str">
        <f t="shared" ca="1" si="105"/>
        <v>INSERT INTO TACHES(numTache,nameTache,descriptionTache,prioTache,stateTache,categoryTache,dateCreateTache,dateInProgressTache,dateToTestTache,dateEndThTache,dateEndRealTache,idProjet) VALUES ('7','tache7','tache7','Vitale','Terminer','Realisation','2023/02/10','2023/02/10','2023/02/10','2023/02/10','2023/02/10',3);</v>
      </c>
      <c r="BV172" s="322" t="s">
        <v>2419</v>
      </c>
    </row>
    <row r="173" spans="6:74" ht="20.05" customHeight="1" outlineLevel="1" thickBot="1" x14ac:dyDescent="0.35">
      <c r="F173" s="160">
        <f t="shared" si="112"/>
        <v>44</v>
      </c>
      <c r="G173" s="160">
        <f t="shared" si="112"/>
        <v>8</v>
      </c>
      <c r="H173" s="160" t="s">
        <v>2125</v>
      </c>
      <c r="I173" s="160" t="str">
        <f t="shared" si="90"/>
        <v>tache8</v>
      </c>
      <c r="J173" s="160" t="s">
        <v>1869</v>
      </c>
      <c r="K173" s="160" t="s">
        <v>2375</v>
      </c>
      <c r="L173" s="160" t="s">
        <v>1879</v>
      </c>
      <c r="M173" s="329">
        <f>Q180+1</f>
        <v>44978</v>
      </c>
      <c r="N173" s="329">
        <f t="shared" si="108"/>
        <v>44978</v>
      </c>
      <c r="O173" s="329">
        <f>M173</f>
        <v>44978</v>
      </c>
      <c r="P173" s="329">
        <f>M173</f>
        <v>44978</v>
      </c>
      <c r="Q173" s="329">
        <f>M173</f>
        <v>44978</v>
      </c>
      <c r="R173" s="160">
        <v>3</v>
      </c>
      <c r="S173" s="160">
        <f t="shared" si="91"/>
        <v>2</v>
      </c>
      <c r="T173" s="160" t="s">
        <v>1922</v>
      </c>
      <c r="U173" s="322" t="str">
        <f t="shared" si="92"/>
        <v>TACHES</v>
      </c>
      <c r="V173" s="160" t="s">
        <v>2088</v>
      </c>
      <c r="W173" s="189" t="s">
        <v>355</v>
      </c>
      <c r="X173" s="360" t="s">
        <v>2020</v>
      </c>
      <c r="Y173" s="189" t="s">
        <v>337</v>
      </c>
      <c r="Z173" s="360" t="s">
        <v>2020</v>
      </c>
      <c r="AA173" s="189" t="s">
        <v>340</v>
      </c>
      <c r="AB173" s="360" t="s">
        <v>2020</v>
      </c>
      <c r="AC173" s="189" t="s">
        <v>266</v>
      </c>
      <c r="AD173" s="360" t="s">
        <v>2020</v>
      </c>
      <c r="AE173" s="189" t="s">
        <v>244</v>
      </c>
      <c r="AF173" s="360" t="s">
        <v>2020</v>
      </c>
      <c r="AG173" s="189" t="s">
        <v>296</v>
      </c>
      <c r="AH173" s="360" t="s">
        <v>2020</v>
      </c>
      <c r="AI173" s="189" t="s">
        <v>298</v>
      </c>
      <c r="AJ173" s="360" t="s">
        <v>2020</v>
      </c>
      <c r="AK173" s="189" t="s">
        <v>299</v>
      </c>
      <c r="AL173" s="360" t="s">
        <v>2020</v>
      </c>
      <c r="AM173" s="189" t="s">
        <v>300</v>
      </c>
      <c r="AN173" s="360" t="s">
        <v>2020</v>
      </c>
      <c r="AO173" s="189" t="s">
        <v>301</v>
      </c>
      <c r="AP173" s="360" t="s">
        <v>2020</v>
      </c>
      <c r="AQ173" s="192" t="s">
        <v>302</v>
      </c>
      <c r="AR173" s="360" t="s">
        <v>2020</v>
      </c>
      <c r="AS173" s="295" t="s">
        <v>287</v>
      </c>
      <c r="AT173" s="360"/>
      <c r="AU173" s="322"/>
      <c r="AV173" s="360" t="s">
        <v>2089</v>
      </c>
      <c r="AW173" s="160">
        <f t="shared" si="93"/>
        <v>8</v>
      </c>
      <c r="AX173" s="360" t="s">
        <v>2091</v>
      </c>
      <c r="AY173" s="160" t="str">
        <f t="shared" si="94"/>
        <v>tache8</v>
      </c>
      <c r="AZ173" s="360" t="s">
        <v>2091</v>
      </c>
      <c r="BA173" s="160" t="str">
        <f t="shared" si="95"/>
        <v>tache8</v>
      </c>
      <c r="BB173" s="360" t="s">
        <v>2091</v>
      </c>
      <c r="BC173" s="160" t="str">
        <f t="shared" si="96"/>
        <v>Utile</v>
      </c>
      <c r="BD173" s="360" t="s">
        <v>2091</v>
      </c>
      <c r="BE173" s="160" t="str">
        <f t="shared" si="97"/>
        <v>Terminer</v>
      </c>
      <c r="BF173" s="360" t="s">
        <v>2091</v>
      </c>
      <c r="BG173" s="160" t="str">
        <f t="shared" si="98"/>
        <v>Realisation</v>
      </c>
      <c r="BH173" s="360" t="s">
        <v>2091</v>
      </c>
      <c r="BI173" s="371" t="str">
        <f t="shared" ca="1" si="99"/>
        <v>2023/02/21</v>
      </c>
      <c r="BJ173" s="360" t="s">
        <v>2091</v>
      </c>
      <c r="BK173" s="329" t="str">
        <f t="shared" ca="1" si="100"/>
        <v>2023/02/21</v>
      </c>
      <c r="BL173" s="360" t="s">
        <v>2091</v>
      </c>
      <c r="BM173" s="329" t="str">
        <f t="shared" ca="1" si="101"/>
        <v>2023/02/21</v>
      </c>
      <c r="BN173" s="360" t="s">
        <v>2091</v>
      </c>
      <c r="BO173" s="329" t="str">
        <f t="shared" ca="1" si="102"/>
        <v>2023/02/21</v>
      </c>
      <c r="BP173" s="360" t="s">
        <v>2091</v>
      </c>
      <c r="BQ173" s="329" t="str">
        <f t="shared" ca="1" si="103"/>
        <v>2023/02/21</v>
      </c>
      <c r="BR173" s="360" t="s">
        <v>2093</v>
      </c>
      <c r="BS173" s="160">
        <f t="shared" si="104"/>
        <v>3</v>
      </c>
      <c r="BT173" s="160" t="s">
        <v>2021</v>
      </c>
      <c r="BU173" s="322" t="str">
        <f t="shared" ca="1" si="105"/>
        <v>INSERT INTO TACHES(numTache,nameTache,descriptionTache,prioTache,stateTache,categoryTache,dateCreateTache,dateInProgressTache,dateToTestTache,dateEndThTache,dateEndRealTache,idProjet) VALUES ('8','tache8','tache8','Utile','Terminer','Realisation','2023/02/21','2023/02/21','2023/02/21','2023/02/21','2023/02/21',3);</v>
      </c>
      <c r="BV173" s="322" t="s">
        <v>2420</v>
      </c>
    </row>
    <row r="174" spans="6:74" ht="20.05" customHeight="1" outlineLevel="1" thickBot="1" x14ac:dyDescent="0.35">
      <c r="F174" s="160">
        <f t="shared" si="112"/>
        <v>45</v>
      </c>
      <c r="G174" s="160">
        <f t="shared" si="112"/>
        <v>9</v>
      </c>
      <c r="H174" s="160" t="s">
        <v>2126</v>
      </c>
      <c r="I174" s="160" t="str">
        <f t="shared" si="90"/>
        <v>tache9</v>
      </c>
      <c r="J174" s="160" t="s">
        <v>1868</v>
      </c>
      <c r="K174" s="160" t="s">
        <v>2375</v>
      </c>
      <c r="L174" s="160" t="s">
        <v>1879</v>
      </c>
      <c r="M174" s="329">
        <f>Q182</f>
        <v>44976</v>
      </c>
      <c r="N174" s="329">
        <f t="shared" si="108"/>
        <v>44976</v>
      </c>
      <c r="O174" s="329">
        <f>M174</f>
        <v>44976</v>
      </c>
      <c r="P174" s="329">
        <f>M174</f>
        <v>44976</v>
      </c>
      <c r="Q174" s="329">
        <f>M174</f>
        <v>44976</v>
      </c>
      <c r="R174" s="160">
        <v>3</v>
      </c>
      <c r="S174" s="160">
        <f t="shared" si="91"/>
        <v>1</v>
      </c>
      <c r="T174" s="160" t="s">
        <v>1922</v>
      </c>
      <c r="U174" s="322" t="str">
        <f t="shared" si="92"/>
        <v>TACHES</v>
      </c>
      <c r="V174" s="160" t="s">
        <v>2088</v>
      </c>
      <c r="W174" s="189" t="s">
        <v>355</v>
      </c>
      <c r="X174" s="360" t="s">
        <v>2020</v>
      </c>
      <c r="Y174" s="189" t="s">
        <v>337</v>
      </c>
      <c r="Z174" s="360" t="s">
        <v>2020</v>
      </c>
      <c r="AA174" s="189" t="s">
        <v>340</v>
      </c>
      <c r="AB174" s="360" t="s">
        <v>2020</v>
      </c>
      <c r="AC174" s="189" t="s">
        <v>266</v>
      </c>
      <c r="AD174" s="360" t="s">
        <v>2020</v>
      </c>
      <c r="AE174" s="189" t="s">
        <v>244</v>
      </c>
      <c r="AF174" s="360" t="s">
        <v>2020</v>
      </c>
      <c r="AG174" s="189" t="s">
        <v>296</v>
      </c>
      <c r="AH174" s="360" t="s">
        <v>2020</v>
      </c>
      <c r="AI174" s="189" t="s">
        <v>298</v>
      </c>
      <c r="AJ174" s="360" t="s">
        <v>2020</v>
      </c>
      <c r="AK174" s="189" t="s">
        <v>299</v>
      </c>
      <c r="AL174" s="360" t="s">
        <v>2020</v>
      </c>
      <c r="AM174" s="189" t="s">
        <v>300</v>
      </c>
      <c r="AN174" s="360" t="s">
        <v>2020</v>
      </c>
      <c r="AO174" s="189" t="s">
        <v>301</v>
      </c>
      <c r="AP174" s="360" t="s">
        <v>2020</v>
      </c>
      <c r="AQ174" s="192" t="s">
        <v>302</v>
      </c>
      <c r="AR174" s="360" t="s">
        <v>2020</v>
      </c>
      <c r="AS174" s="295" t="s">
        <v>287</v>
      </c>
      <c r="AT174" s="360"/>
      <c r="AU174" s="322"/>
      <c r="AV174" s="360" t="s">
        <v>2089</v>
      </c>
      <c r="AW174" s="160">
        <f t="shared" si="93"/>
        <v>9</v>
      </c>
      <c r="AX174" s="360" t="s">
        <v>2091</v>
      </c>
      <c r="AY174" s="160" t="str">
        <f t="shared" si="94"/>
        <v>tache9</v>
      </c>
      <c r="AZ174" s="360" t="s">
        <v>2091</v>
      </c>
      <c r="BA174" s="160" t="str">
        <f t="shared" si="95"/>
        <v>tache9</v>
      </c>
      <c r="BB174" s="360" t="s">
        <v>2091</v>
      </c>
      <c r="BC174" s="160" t="str">
        <f t="shared" si="96"/>
        <v>Importante</v>
      </c>
      <c r="BD174" s="360" t="s">
        <v>2091</v>
      </c>
      <c r="BE174" s="160" t="str">
        <f t="shared" si="97"/>
        <v>Terminer</v>
      </c>
      <c r="BF174" s="360" t="s">
        <v>2091</v>
      </c>
      <c r="BG174" s="160" t="str">
        <f t="shared" si="98"/>
        <v>Realisation</v>
      </c>
      <c r="BH174" s="360" t="s">
        <v>2091</v>
      </c>
      <c r="BI174" s="371" t="str">
        <f t="shared" ca="1" si="99"/>
        <v>2023/02/19</v>
      </c>
      <c r="BJ174" s="360" t="s">
        <v>2091</v>
      </c>
      <c r="BK174" s="329" t="str">
        <f t="shared" ca="1" si="100"/>
        <v>2023/02/19</v>
      </c>
      <c r="BL174" s="360" t="s">
        <v>2091</v>
      </c>
      <c r="BM174" s="329" t="str">
        <f t="shared" ca="1" si="101"/>
        <v>2023/02/19</v>
      </c>
      <c r="BN174" s="360" t="s">
        <v>2091</v>
      </c>
      <c r="BO174" s="329" t="str">
        <f t="shared" ca="1" si="102"/>
        <v>2023/02/19</v>
      </c>
      <c r="BP174" s="360" t="s">
        <v>2091</v>
      </c>
      <c r="BQ174" s="329" t="str">
        <f t="shared" ca="1" si="103"/>
        <v>2023/02/19</v>
      </c>
      <c r="BR174" s="360" t="s">
        <v>2093</v>
      </c>
      <c r="BS174" s="160">
        <f t="shared" si="104"/>
        <v>3</v>
      </c>
      <c r="BT174" s="160" t="s">
        <v>2021</v>
      </c>
      <c r="BU174" s="322" t="str">
        <f t="shared" ca="1" si="105"/>
        <v>INSERT INTO TACHES(numTache,nameTache,descriptionTache,prioTache,stateTache,categoryTache,dateCreateTache,dateInProgressTache,dateToTestTache,dateEndThTache,dateEndRealTache,idProjet) VALUES ('9','tache9','tache9','Importante','Terminer','Realisation','2023/02/19','2023/02/19','2023/02/19','2023/02/19','2023/02/19',3);</v>
      </c>
      <c r="BV174" s="322" t="s">
        <v>2421</v>
      </c>
    </row>
    <row r="175" spans="6:74" ht="20.05" customHeight="1" outlineLevel="1" thickBot="1" x14ac:dyDescent="0.35">
      <c r="F175" s="160">
        <f t="shared" si="112"/>
        <v>46</v>
      </c>
      <c r="G175" s="160">
        <f t="shared" si="112"/>
        <v>10</v>
      </c>
      <c r="H175" s="160" t="s">
        <v>2127</v>
      </c>
      <c r="I175" s="160" t="str">
        <f t="shared" si="90"/>
        <v>tache10</v>
      </c>
      <c r="J175" s="160" t="s">
        <v>1867</v>
      </c>
      <c r="K175" s="160" t="s">
        <v>2375</v>
      </c>
      <c r="L175" s="160" t="s">
        <v>1879</v>
      </c>
      <c r="M175" s="329">
        <f>Q172+1</f>
        <v>44968</v>
      </c>
      <c r="N175" s="329">
        <f t="shared" si="108"/>
        <v>44968</v>
      </c>
      <c r="O175" s="329">
        <f>M175</f>
        <v>44968</v>
      </c>
      <c r="P175" s="329">
        <f>M175</f>
        <v>44968</v>
      </c>
      <c r="Q175" s="329">
        <f>P175+1</f>
        <v>44969</v>
      </c>
      <c r="R175" s="160">
        <v>3</v>
      </c>
      <c r="S175" s="160">
        <f t="shared" si="91"/>
        <v>1</v>
      </c>
      <c r="T175" s="160" t="s">
        <v>1922</v>
      </c>
      <c r="U175" s="322" t="str">
        <f t="shared" si="92"/>
        <v>TACHES</v>
      </c>
      <c r="V175" s="160" t="s">
        <v>2088</v>
      </c>
      <c r="W175" s="189" t="s">
        <v>355</v>
      </c>
      <c r="X175" s="360" t="s">
        <v>2020</v>
      </c>
      <c r="Y175" s="189" t="s">
        <v>337</v>
      </c>
      <c r="Z175" s="360" t="s">
        <v>2020</v>
      </c>
      <c r="AA175" s="189" t="s">
        <v>340</v>
      </c>
      <c r="AB175" s="360" t="s">
        <v>2020</v>
      </c>
      <c r="AC175" s="189" t="s">
        <v>266</v>
      </c>
      <c r="AD175" s="360" t="s">
        <v>2020</v>
      </c>
      <c r="AE175" s="189" t="s">
        <v>244</v>
      </c>
      <c r="AF175" s="360" t="s">
        <v>2020</v>
      </c>
      <c r="AG175" s="189" t="s">
        <v>296</v>
      </c>
      <c r="AH175" s="360" t="s">
        <v>2020</v>
      </c>
      <c r="AI175" s="189" t="s">
        <v>298</v>
      </c>
      <c r="AJ175" s="360" t="s">
        <v>2020</v>
      </c>
      <c r="AK175" s="189" t="s">
        <v>299</v>
      </c>
      <c r="AL175" s="360" t="s">
        <v>2020</v>
      </c>
      <c r="AM175" s="189" t="s">
        <v>300</v>
      </c>
      <c r="AN175" s="360" t="s">
        <v>2020</v>
      </c>
      <c r="AO175" s="189" t="s">
        <v>301</v>
      </c>
      <c r="AP175" s="360" t="s">
        <v>2020</v>
      </c>
      <c r="AQ175" s="192" t="s">
        <v>302</v>
      </c>
      <c r="AR175" s="360" t="s">
        <v>2020</v>
      </c>
      <c r="AS175" s="295" t="s">
        <v>287</v>
      </c>
      <c r="AT175" s="360"/>
      <c r="AU175" s="322"/>
      <c r="AV175" s="360" t="s">
        <v>2089</v>
      </c>
      <c r="AW175" s="160">
        <f t="shared" si="93"/>
        <v>10</v>
      </c>
      <c r="AX175" s="360" t="s">
        <v>2091</v>
      </c>
      <c r="AY175" s="160" t="str">
        <f t="shared" si="94"/>
        <v>tache10</v>
      </c>
      <c r="AZ175" s="360" t="s">
        <v>2091</v>
      </c>
      <c r="BA175" s="160" t="str">
        <f t="shared" si="95"/>
        <v>tache10</v>
      </c>
      <c r="BB175" s="360" t="s">
        <v>2091</v>
      </c>
      <c r="BC175" s="160" t="str">
        <f t="shared" si="96"/>
        <v>Vitale</v>
      </c>
      <c r="BD175" s="360" t="s">
        <v>2091</v>
      </c>
      <c r="BE175" s="160" t="str">
        <f t="shared" si="97"/>
        <v>Terminer</v>
      </c>
      <c r="BF175" s="360" t="s">
        <v>2091</v>
      </c>
      <c r="BG175" s="160" t="str">
        <f t="shared" si="98"/>
        <v>Realisation</v>
      </c>
      <c r="BH175" s="360" t="s">
        <v>2091</v>
      </c>
      <c r="BI175" s="371" t="str">
        <f t="shared" ca="1" si="99"/>
        <v>2023/02/11</v>
      </c>
      <c r="BJ175" s="360" t="s">
        <v>2091</v>
      </c>
      <c r="BK175" s="329" t="str">
        <f t="shared" ca="1" si="100"/>
        <v>2023/02/11</v>
      </c>
      <c r="BL175" s="360" t="s">
        <v>2091</v>
      </c>
      <c r="BM175" s="329" t="str">
        <f t="shared" ca="1" si="101"/>
        <v>2023/02/11</v>
      </c>
      <c r="BN175" s="360" t="s">
        <v>2091</v>
      </c>
      <c r="BO175" s="329" t="str">
        <f t="shared" ca="1" si="102"/>
        <v>2023/02/11</v>
      </c>
      <c r="BP175" s="360" t="s">
        <v>2091</v>
      </c>
      <c r="BQ175" s="329" t="str">
        <f t="shared" ca="1" si="103"/>
        <v>2023/02/12</v>
      </c>
      <c r="BR175" s="360" t="s">
        <v>2093</v>
      </c>
      <c r="BS175" s="160">
        <f t="shared" si="104"/>
        <v>3</v>
      </c>
      <c r="BT175" s="160" t="s">
        <v>2021</v>
      </c>
      <c r="BU175" s="322" t="str">
        <f t="shared" ca="1" si="105"/>
        <v>INSERT INTO TACHES(numTache,nameTache,descriptionTache,prioTache,stateTache,categoryTache,dateCreateTache,dateInProgressTache,dateToTestTache,dateEndThTache,dateEndRealTache,idProjet) VALUES ('10','tache10','tache10','Vitale','Terminer','Realisation','2023/02/11','2023/02/11','2023/02/11','2023/02/11','2023/02/12',3);</v>
      </c>
      <c r="BV175" s="322" t="s">
        <v>2422</v>
      </c>
    </row>
    <row r="176" spans="6:74" ht="20.05" customHeight="1" outlineLevel="1" thickBot="1" x14ac:dyDescent="0.35">
      <c r="F176" s="160">
        <f t="shared" si="112"/>
        <v>47</v>
      </c>
      <c r="G176" s="160">
        <f t="shared" si="112"/>
        <v>11</v>
      </c>
      <c r="H176" s="160" t="s">
        <v>2128</v>
      </c>
      <c r="I176" s="160" t="str">
        <f t="shared" si="90"/>
        <v>tache11</v>
      </c>
      <c r="J176" s="160" t="s">
        <v>1867</v>
      </c>
      <c r="K176" s="160" t="s">
        <v>2375</v>
      </c>
      <c r="L176" s="160" t="s">
        <v>1879</v>
      </c>
      <c r="M176" s="329">
        <f>Q175</f>
        <v>44969</v>
      </c>
      <c r="N176" s="329">
        <f t="shared" si="108"/>
        <v>44969</v>
      </c>
      <c r="O176" s="329">
        <f>M176</f>
        <v>44969</v>
      </c>
      <c r="P176" s="329">
        <f>M176</f>
        <v>44969</v>
      </c>
      <c r="Q176" s="329">
        <f>P176+1</f>
        <v>44970</v>
      </c>
      <c r="R176" s="160">
        <v>3</v>
      </c>
      <c r="S176" s="160">
        <f t="shared" si="91"/>
        <v>2</v>
      </c>
      <c r="T176" s="160" t="s">
        <v>1922</v>
      </c>
      <c r="U176" s="322" t="str">
        <f t="shared" si="92"/>
        <v>TACHES</v>
      </c>
      <c r="V176" s="160" t="s">
        <v>2088</v>
      </c>
      <c r="W176" s="189" t="s">
        <v>355</v>
      </c>
      <c r="X176" s="360" t="s">
        <v>2020</v>
      </c>
      <c r="Y176" s="189" t="s">
        <v>337</v>
      </c>
      <c r="Z176" s="360" t="s">
        <v>2020</v>
      </c>
      <c r="AA176" s="189" t="s">
        <v>340</v>
      </c>
      <c r="AB176" s="360" t="s">
        <v>2020</v>
      </c>
      <c r="AC176" s="189" t="s">
        <v>266</v>
      </c>
      <c r="AD176" s="360" t="s">
        <v>2020</v>
      </c>
      <c r="AE176" s="189" t="s">
        <v>244</v>
      </c>
      <c r="AF176" s="360" t="s">
        <v>2020</v>
      </c>
      <c r="AG176" s="189" t="s">
        <v>296</v>
      </c>
      <c r="AH176" s="360" t="s">
        <v>2020</v>
      </c>
      <c r="AI176" s="189" t="s">
        <v>298</v>
      </c>
      <c r="AJ176" s="360" t="s">
        <v>2020</v>
      </c>
      <c r="AK176" s="189" t="s">
        <v>299</v>
      </c>
      <c r="AL176" s="360" t="s">
        <v>2020</v>
      </c>
      <c r="AM176" s="189" t="s">
        <v>300</v>
      </c>
      <c r="AN176" s="360" t="s">
        <v>2020</v>
      </c>
      <c r="AO176" s="189" t="s">
        <v>301</v>
      </c>
      <c r="AP176" s="360" t="s">
        <v>2020</v>
      </c>
      <c r="AQ176" s="192" t="s">
        <v>302</v>
      </c>
      <c r="AR176" s="360" t="s">
        <v>2020</v>
      </c>
      <c r="AS176" s="295" t="s">
        <v>287</v>
      </c>
      <c r="AT176" s="360"/>
      <c r="AU176" s="322"/>
      <c r="AV176" s="360" t="s">
        <v>2089</v>
      </c>
      <c r="AW176" s="160">
        <f t="shared" si="93"/>
        <v>11</v>
      </c>
      <c r="AX176" s="360" t="s">
        <v>2091</v>
      </c>
      <c r="AY176" s="160" t="str">
        <f t="shared" si="94"/>
        <v>tache11</v>
      </c>
      <c r="AZ176" s="360" t="s">
        <v>2091</v>
      </c>
      <c r="BA176" s="160" t="str">
        <f t="shared" si="95"/>
        <v>tache11</v>
      </c>
      <c r="BB176" s="360" t="s">
        <v>2091</v>
      </c>
      <c r="BC176" s="160" t="str">
        <f t="shared" si="96"/>
        <v>Vitale</v>
      </c>
      <c r="BD176" s="360" t="s">
        <v>2091</v>
      </c>
      <c r="BE176" s="160" t="str">
        <f t="shared" si="97"/>
        <v>Terminer</v>
      </c>
      <c r="BF176" s="360" t="s">
        <v>2091</v>
      </c>
      <c r="BG176" s="160" t="str">
        <f t="shared" si="98"/>
        <v>Realisation</v>
      </c>
      <c r="BH176" s="360" t="s">
        <v>2091</v>
      </c>
      <c r="BI176" s="371" t="str">
        <f t="shared" ca="1" si="99"/>
        <v>2023/02/12</v>
      </c>
      <c r="BJ176" s="360" t="s">
        <v>2091</v>
      </c>
      <c r="BK176" s="329" t="str">
        <f t="shared" ca="1" si="100"/>
        <v>2023/02/12</v>
      </c>
      <c r="BL176" s="360" t="s">
        <v>2091</v>
      </c>
      <c r="BM176" s="329" t="str">
        <f t="shared" ca="1" si="101"/>
        <v>2023/02/12</v>
      </c>
      <c r="BN176" s="360" t="s">
        <v>2091</v>
      </c>
      <c r="BO176" s="329" t="str">
        <f t="shared" ca="1" si="102"/>
        <v>2023/02/12</v>
      </c>
      <c r="BP176" s="360" t="s">
        <v>2091</v>
      </c>
      <c r="BQ176" s="329" t="str">
        <f t="shared" ca="1" si="103"/>
        <v>2023/02/13</v>
      </c>
      <c r="BR176" s="360" t="s">
        <v>2093</v>
      </c>
      <c r="BS176" s="160">
        <f t="shared" si="104"/>
        <v>3</v>
      </c>
      <c r="BT176" s="160" t="s">
        <v>2021</v>
      </c>
      <c r="BU176" s="322" t="str">
        <f t="shared" ca="1" si="105"/>
        <v>INSERT INTO TACHES(numTache,nameTache,descriptionTache,prioTache,stateTache,categoryTache,dateCreateTache,dateInProgressTache,dateToTestTache,dateEndThTache,dateEndRealTache,idProjet) VALUES ('11','tache11','tache11','Vitale','Terminer','Realisation','2023/02/12','2023/02/12','2023/02/12','2023/02/12','2023/02/13',3);</v>
      </c>
      <c r="BV176" s="322" t="s">
        <v>2423</v>
      </c>
    </row>
    <row r="177" spans="6:74" ht="20.05" customHeight="1" outlineLevel="1" thickBot="1" x14ac:dyDescent="0.35">
      <c r="F177" s="160">
        <f t="shared" si="112"/>
        <v>48</v>
      </c>
      <c r="G177" s="160">
        <f t="shared" si="112"/>
        <v>12</v>
      </c>
      <c r="H177" s="160" t="s">
        <v>2129</v>
      </c>
      <c r="I177" s="160" t="str">
        <f t="shared" si="90"/>
        <v>tache12</v>
      </c>
      <c r="J177" s="160" t="s">
        <v>1867</v>
      </c>
      <c r="K177" s="160" t="s">
        <v>2375</v>
      </c>
      <c r="L177" s="160" t="s">
        <v>1879</v>
      </c>
      <c r="M177" s="329">
        <f>Q176</f>
        <v>44970</v>
      </c>
      <c r="N177" s="329">
        <f t="shared" si="108"/>
        <v>44970</v>
      </c>
      <c r="O177" s="329">
        <f>N177+2</f>
        <v>44972</v>
      </c>
      <c r="P177" s="329">
        <f>O177+0</f>
        <v>44972</v>
      </c>
      <c r="Q177" s="329">
        <f>P177</f>
        <v>44972</v>
      </c>
      <c r="R177" s="160">
        <v>3</v>
      </c>
      <c r="S177" s="160">
        <f t="shared" si="91"/>
        <v>4</v>
      </c>
      <c r="T177" s="160" t="s">
        <v>1922</v>
      </c>
      <c r="U177" s="322" t="str">
        <f t="shared" si="92"/>
        <v>TACHES</v>
      </c>
      <c r="V177" s="160" t="s">
        <v>2088</v>
      </c>
      <c r="W177" s="189" t="s">
        <v>355</v>
      </c>
      <c r="X177" s="360" t="s">
        <v>2020</v>
      </c>
      <c r="Y177" s="189" t="s">
        <v>337</v>
      </c>
      <c r="Z177" s="360" t="s">
        <v>2020</v>
      </c>
      <c r="AA177" s="189" t="s">
        <v>340</v>
      </c>
      <c r="AB177" s="360" t="s">
        <v>2020</v>
      </c>
      <c r="AC177" s="189" t="s">
        <v>266</v>
      </c>
      <c r="AD177" s="360" t="s">
        <v>2020</v>
      </c>
      <c r="AE177" s="189" t="s">
        <v>244</v>
      </c>
      <c r="AF177" s="360" t="s">
        <v>2020</v>
      </c>
      <c r="AG177" s="189" t="s">
        <v>296</v>
      </c>
      <c r="AH177" s="360" t="s">
        <v>2020</v>
      </c>
      <c r="AI177" s="189" t="s">
        <v>298</v>
      </c>
      <c r="AJ177" s="360" t="s">
        <v>2020</v>
      </c>
      <c r="AK177" s="189" t="s">
        <v>299</v>
      </c>
      <c r="AL177" s="360" t="s">
        <v>2020</v>
      </c>
      <c r="AM177" s="189" t="s">
        <v>300</v>
      </c>
      <c r="AN177" s="360" t="s">
        <v>2020</v>
      </c>
      <c r="AO177" s="189" t="s">
        <v>301</v>
      </c>
      <c r="AP177" s="360" t="s">
        <v>2020</v>
      </c>
      <c r="AQ177" s="192" t="s">
        <v>302</v>
      </c>
      <c r="AR177" s="360" t="s">
        <v>2020</v>
      </c>
      <c r="AS177" s="295" t="s">
        <v>287</v>
      </c>
      <c r="AT177" s="360"/>
      <c r="AU177" s="322"/>
      <c r="AV177" s="360" t="s">
        <v>2089</v>
      </c>
      <c r="AW177" s="160">
        <f t="shared" si="93"/>
        <v>12</v>
      </c>
      <c r="AX177" s="360" t="s">
        <v>2091</v>
      </c>
      <c r="AY177" s="160" t="str">
        <f t="shared" si="94"/>
        <v>tache12</v>
      </c>
      <c r="AZ177" s="360" t="s">
        <v>2091</v>
      </c>
      <c r="BA177" s="160" t="str">
        <f t="shared" si="95"/>
        <v>tache12</v>
      </c>
      <c r="BB177" s="360" t="s">
        <v>2091</v>
      </c>
      <c r="BC177" s="160" t="str">
        <f t="shared" si="96"/>
        <v>Vitale</v>
      </c>
      <c r="BD177" s="360" t="s">
        <v>2091</v>
      </c>
      <c r="BE177" s="160" t="str">
        <f t="shared" si="97"/>
        <v>Terminer</v>
      </c>
      <c r="BF177" s="360" t="s">
        <v>2091</v>
      </c>
      <c r="BG177" s="160" t="str">
        <f t="shared" si="98"/>
        <v>Realisation</v>
      </c>
      <c r="BH177" s="360" t="s">
        <v>2091</v>
      </c>
      <c r="BI177" s="371" t="str">
        <f t="shared" ca="1" si="99"/>
        <v>2023/02/13</v>
      </c>
      <c r="BJ177" s="360" t="s">
        <v>2091</v>
      </c>
      <c r="BK177" s="329" t="str">
        <f t="shared" ca="1" si="100"/>
        <v>2023/02/13</v>
      </c>
      <c r="BL177" s="360" t="s">
        <v>2091</v>
      </c>
      <c r="BM177" s="329" t="str">
        <f t="shared" ca="1" si="101"/>
        <v>2023/02/15</v>
      </c>
      <c r="BN177" s="360" t="s">
        <v>2091</v>
      </c>
      <c r="BO177" s="329" t="str">
        <f t="shared" ca="1" si="102"/>
        <v>2023/02/15</v>
      </c>
      <c r="BP177" s="360" t="s">
        <v>2091</v>
      </c>
      <c r="BQ177" s="329" t="str">
        <f t="shared" ca="1" si="103"/>
        <v>2023/02/15</v>
      </c>
      <c r="BR177" s="360" t="s">
        <v>2093</v>
      </c>
      <c r="BS177" s="160">
        <f t="shared" si="104"/>
        <v>3</v>
      </c>
      <c r="BT177" s="160" t="s">
        <v>2021</v>
      </c>
      <c r="BU177" s="322" t="str">
        <f t="shared" ca="1" si="105"/>
        <v>INSERT INTO TACHES(numTache,nameTache,descriptionTache,prioTache,stateTache,categoryTache,dateCreateTache,dateInProgressTache,dateToTestTache,dateEndThTache,dateEndRealTache,idProjet) VALUES ('12','tache12','tache12','Vitale','Terminer','Realisation','2023/02/13','2023/02/13','2023/02/15','2023/02/15','2023/02/15',3);</v>
      </c>
      <c r="BV177" s="322" t="s">
        <v>2424</v>
      </c>
    </row>
    <row r="178" spans="6:74" ht="15.65" outlineLevel="1" thickBot="1" x14ac:dyDescent="0.35">
      <c r="F178" s="160">
        <f t="shared" si="112"/>
        <v>49</v>
      </c>
      <c r="G178" s="160">
        <f t="shared" si="112"/>
        <v>13</v>
      </c>
      <c r="H178" s="160" t="s">
        <v>2130</v>
      </c>
      <c r="I178" s="160" t="str">
        <f t="shared" si="90"/>
        <v>tache13</v>
      </c>
      <c r="J178" s="160" t="s">
        <v>1867</v>
      </c>
      <c r="K178" s="160" t="s">
        <v>2375</v>
      </c>
      <c r="L178" s="160" t="s">
        <v>1879</v>
      </c>
      <c r="M178" s="329">
        <f>Q177+1</f>
        <v>44973</v>
      </c>
      <c r="N178" s="329">
        <f t="shared" si="108"/>
        <v>44973</v>
      </c>
      <c r="O178" s="329">
        <f>M178</f>
        <v>44973</v>
      </c>
      <c r="P178" s="329">
        <f>M178</f>
        <v>44973</v>
      </c>
      <c r="Q178" s="329">
        <f>M178</f>
        <v>44973</v>
      </c>
      <c r="R178" s="160">
        <v>3</v>
      </c>
      <c r="S178" s="160">
        <f t="shared" si="91"/>
        <v>2</v>
      </c>
      <c r="T178" s="160" t="s">
        <v>1922</v>
      </c>
      <c r="U178" s="322" t="str">
        <f t="shared" si="92"/>
        <v>TACHES</v>
      </c>
      <c r="V178" s="160" t="s">
        <v>2088</v>
      </c>
      <c r="W178" s="189" t="s">
        <v>355</v>
      </c>
      <c r="X178" s="360" t="s">
        <v>2020</v>
      </c>
      <c r="Y178" s="189" t="s">
        <v>337</v>
      </c>
      <c r="Z178" s="360" t="s">
        <v>2020</v>
      </c>
      <c r="AA178" s="189" t="s">
        <v>340</v>
      </c>
      <c r="AB178" s="360" t="s">
        <v>2020</v>
      </c>
      <c r="AC178" s="189" t="s">
        <v>266</v>
      </c>
      <c r="AD178" s="360" t="s">
        <v>2020</v>
      </c>
      <c r="AE178" s="189" t="s">
        <v>244</v>
      </c>
      <c r="AF178" s="360" t="s">
        <v>2020</v>
      </c>
      <c r="AG178" s="189" t="s">
        <v>296</v>
      </c>
      <c r="AH178" s="360" t="s">
        <v>2020</v>
      </c>
      <c r="AI178" s="189" t="s">
        <v>298</v>
      </c>
      <c r="AJ178" s="360" t="s">
        <v>2020</v>
      </c>
      <c r="AK178" s="189" t="s">
        <v>299</v>
      </c>
      <c r="AL178" s="360" t="s">
        <v>2020</v>
      </c>
      <c r="AM178" s="189" t="s">
        <v>300</v>
      </c>
      <c r="AN178" s="360" t="s">
        <v>2020</v>
      </c>
      <c r="AO178" s="189" t="s">
        <v>301</v>
      </c>
      <c r="AP178" s="360" t="s">
        <v>2020</v>
      </c>
      <c r="AQ178" s="192" t="s">
        <v>302</v>
      </c>
      <c r="AR178" s="360" t="s">
        <v>2020</v>
      </c>
      <c r="AS178" s="295" t="s">
        <v>287</v>
      </c>
      <c r="AT178" s="360"/>
      <c r="AU178" s="322"/>
      <c r="AV178" s="360" t="s">
        <v>2089</v>
      </c>
      <c r="AW178" s="160">
        <f t="shared" si="93"/>
        <v>13</v>
      </c>
      <c r="AX178" s="360" t="s">
        <v>2091</v>
      </c>
      <c r="AY178" s="160" t="str">
        <f t="shared" si="94"/>
        <v>tache13</v>
      </c>
      <c r="AZ178" s="360" t="s">
        <v>2091</v>
      </c>
      <c r="BA178" s="160" t="str">
        <f t="shared" si="95"/>
        <v>tache13</v>
      </c>
      <c r="BB178" s="360" t="s">
        <v>2091</v>
      </c>
      <c r="BC178" s="160" t="str">
        <f t="shared" si="96"/>
        <v>Vitale</v>
      </c>
      <c r="BD178" s="360" t="s">
        <v>2091</v>
      </c>
      <c r="BE178" s="160" t="str">
        <f t="shared" si="97"/>
        <v>Terminer</v>
      </c>
      <c r="BF178" s="360" t="s">
        <v>2091</v>
      </c>
      <c r="BG178" s="160" t="str">
        <f t="shared" si="98"/>
        <v>Realisation</v>
      </c>
      <c r="BH178" s="360" t="s">
        <v>2091</v>
      </c>
      <c r="BI178" s="371" t="str">
        <f t="shared" ca="1" si="99"/>
        <v>2023/02/16</v>
      </c>
      <c r="BJ178" s="360" t="s">
        <v>2091</v>
      </c>
      <c r="BK178" s="329" t="str">
        <f t="shared" ca="1" si="100"/>
        <v>2023/02/16</v>
      </c>
      <c r="BL178" s="360" t="s">
        <v>2091</v>
      </c>
      <c r="BM178" s="329" t="str">
        <f t="shared" ca="1" si="101"/>
        <v>2023/02/16</v>
      </c>
      <c r="BN178" s="360" t="s">
        <v>2091</v>
      </c>
      <c r="BO178" s="329" t="str">
        <f t="shared" ca="1" si="102"/>
        <v>2023/02/16</v>
      </c>
      <c r="BP178" s="360" t="s">
        <v>2091</v>
      </c>
      <c r="BQ178" s="329" t="str">
        <f t="shared" ca="1" si="103"/>
        <v>2023/02/16</v>
      </c>
      <c r="BR178" s="360" t="s">
        <v>2093</v>
      </c>
      <c r="BS178" s="160">
        <f t="shared" si="104"/>
        <v>3</v>
      </c>
      <c r="BT178" s="160" t="s">
        <v>2021</v>
      </c>
      <c r="BU178" s="322" t="str">
        <f t="shared" ca="1" si="105"/>
        <v>INSERT INTO TACHES(numTache,nameTache,descriptionTache,prioTache,stateTache,categoryTache,dateCreateTache,dateInProgressTache,dateToTestTache,dateEndThTache,dateEndRealTache,idProjet) VALUES ('13','tache13','tache13','Vitale','Terminer','Realisation','2023/02/16','2023/02/16','2023/02/16','2023/02/16','2023/02/16',3);</v>
      </c>
      <c r="BV178" s="322" t="s">
        <v>2425</v>
      </c>
    </row>
    <row r="179" spans="6:74" ht="28.05" customHeight="1" outlineLevel="1" thickBot="1" x14ac:dyDescent="0.35">
      <c r="F179" s="160">
        <f t="shared" si="112"/>
        <v>50</v>
      </c>
      <c r="G179" s="160">
        <f t="shared" si="112"/>
        <v>14</v>
      </c>
      <c r="H179" s="160" t="s">
        <v>2131</v>
      </c>
      <c r="I179" s="160" t="str">
        <f t="shared" si="90"/>
        <v>tache14</v>
      </c>
      <c r="J179" s="160" t="s">
        <v>1867</v>
      </c>
      <c r="K179" s="160" t="s">
        <v>2375</v>
      </c>
      <c r="L179" s="160" t="s">
        <v>1879</v>
      </c>
      <c r="M179" s="329">
        <f>Q178+1</f>
        <v>44974</v>
      </c>
      <c r="N179" s="329">
        <f t="shared" si="108"/>
        <v>44974</v>
      </c>
      <c r="O179" s="329">
        <f>M179</f>
        <v>44974</v>
      </c>
      <c r="P179" s="329">
        <f>M179</f>
        <v>44974</v>
      </c>
      <c r="Q179" s="329">
        <f>M179</f>
        <v>44974</v>
      </c>
      <c r="R179" s="160">
        <v>3</v>
      </c>
      <c r="S179" s="160">
        <f t="shared" si="91"/>
        <v>2</v>
      </c>
      <c r="T179" s="160" t="s">
        <v>1922</v>
      </c>
      <c r="U179" s="322" t="str">
        <f t="shared" si="92"/>
        <v>TACHES</v>
      </c>
      <c r="V179" s="160" t="s">
        <v>2088</v>
      </c>
      <c r="W179" s="189" t="s">
        <v>355</v>
      </c>
      <c r="X179" s="360" t="s">
        <v>2020</v>
      </c>
      <c r="Y179" s="189" t="s">
        <v>337</v>
      </c>
      <c r="Z179" s="360" t="s">
        <v>2020</v>
      </c>
      <c r="AA179" s="189" t="s">
        <v>340</v>
      </c>
      <c r="AB179" s="360" t="s">
        <v>2020</v>
      </c>
      <c r="AC179" s="189" t="s">
        <v>266</v>
      </c>
      <c r="AD179" s="360" t="s">
        <v>2020</v>
      </c>
      <c r="AE179" s="189" t="s">
        <v>244</v>
      </c>
      <c r="AF179" s="360" t="s">
        <v>2020</v>
      </c>
      <c r="AG179" s="189" t="s">
        <v>296</v>
      </c>
      <c r="AH179" s="360" t="s">
        <v>2020</v>
      </c>
      <c r="AI179" s="189" t="s">
        <v>298</v>
      </c>
      <c r="AJ179" s="360" t="s">
        <v>2020</v>
      </c>
      <c r="AK179" s="189" t="s">
        <v>299</v>
      </c>
      <c r="AL179" s="360" t="s">
        <v>2020</v>
      </c>
      <c r="AM179" s="189" t="s">
        <v>300</v>
      </c>
      <c r="AN179" s="360" t="s">
        <v>2020</v>
      </c>
      <c r="AO179" s="189" t="s">
        <v>301</v>
      </c>
      <c r="AP179" s="360" t="s">
        <v>2020</v>
      </c>
      <c r="AQ179" s="192" t="s">
        <v>302</v>
      </c>
      <c r="AR179" s="360" t="s">
        <v>2020</v>
      </c>
      <c r="AS179" s="295" t="s">
        <v>287</v>
      </c>
      <c r="AT179" s="360"/>
      <c r="AU179" s="322"/>
      <c r="AV179" s="360" t="s">
        <v>2089</v>
      </c>
      <c r="AW179" s="160">
        <f t="shared" si="93"/>
        <v>14</v>
      </c>
      <c r="AX179" s="360" t="s">
        <v>2091</v>
      </c>
      <c r="AY179" s="160" t="str">
        <f t="shared" si="94"/>
        <v>tache14</v>
      </c>
      <c r="AZ179" s="360" t="s">
        <v>2091</v>
      </c>
      <c r="BA179" s="160" t="str">
        <f t="shared" si="95"/>
        <v>tache14</v>
      </c>
      <c r="BB179" s="360" t="s">
        <v>2091</v>
      </c>
      <c r="BC179" s="160" t="str">
        <f t="shared" si="96"/>
        <v>Vitale</v>
      </c>
      <c r="BD179" s="360" t="s">
        <v>2091</v>
      </c>
      <c r="BE179" s="160" t="str">
        <f t="shared" si="97"/>
        <v>Terminer</v>
      </c>
      <c r="BF179" s="360" t="s">
        <v>2091</v>
      </c>
      <c r="BG179" s="160" t="str">
        <f t="shared" si="98"/>
        <v>Realisation</v>
      </c>
      <c r="BH179" s="360" t="s">
        <v>2091</v>
      </c>
      <c r="BI179" s="371" t="str">
        <f t="shared" ca="1" si="99"/>
        <v>2023/02/17</v>
      </c>
      <c r="BJ179" s="360" t="s">
        <v>2091</v>
      </c>
      <c r="BK179" s="329" t="str">
        <f t="shared" ca="1" si="100"/>
        <v>2023/02/17</v>
      </c>
      <c r="BL179" s="360" t="s">
        <v>2091</v>
      </c>
      <c r="BM179" s="329" t="str">
        <f t="shared" ca="1" si="101"/>
        <v>2023/02/17</v>
      </c>
      <c r="BN179" s="360" t="s">
        <v>2091</v>
      </c>
      <c r="BO179" s="329" t="str">
        <f t="shared" ca="1" si="102"/>
        <v>2023/02/17</v>
      </c>
      <c r="BP179" s="360" t="s">
        <v>2091</v>
      </c>
      <c r="BQ179" s="329" t="str">
        <f t="shared" ca="1" si="103"/>
        <v>2023/02/17</v>
      </c>
      <c r="BR179" s="360" t="s">
        <v>2093</v>
      </c>
      <c r="BS179" s="160">
        <f t="shared" si="104"/>
        <v>3</v>
      </c>
      <c r="BT179" s="160" t="s">
        <v>2021</v>
      </c>
      <c r="BU179" s="322" t="str">
        <f t="shared" ca="1" si="105"/>
        <v>INSERT INTO TACHES(numTache,nameTache,descriptionTache,prioTache,stateTache,categoryTache,dateCreateTache,dateInProgressTache,dateToTestTache,dateEndThTache,dateEndRealTache,idProjet) VALUES ('14','tache14','tache14','Vitale','Terminer','Realisation','2023/02/17','2023/02/17','2023/02/17','2023/02/17','2023/02/17',3);</v>
      </c>
      <c r="BV179" s="322" t="s">
        <v>2426</v>
      </c>
    </row>
    <row r="180" spans="6:74" ht="30.05" customHeight="1" outlineLevel="1" thickBot="1" x14ac:dyDescent="0.35">
      <c r="F180" s="160">
        <f t="shared" ref="F180:G195" si="114">F179+1</f>
        <v>51</v>
      </c>
      <c r="G180" s="160">
        <f t="shared" si="114"/>
        <v>15</v>
      </c>
      <c r="H180" s="160" t="s">
        <v>2132</v>
      </c>
      <c r="I180" s="160" t="str">
        <f t="shared" si="90"/>
        <v>tache15</v>
      </c>
      <c r="J180" s="160" t="s">
        <v>1868</v>
      </c>
      <c r="K180" s="160" t="s">
        <v>2375</v>
      </c>
      <c r="L180" s="160" t="s">
        <v>1879</v>
      </c>
      <c r="M180" s="329">
        <f>Q174+1</f>
        <v>44977</v>
      </c>
      <c r="N180" s="329">
        <f t="shared" si="108"/>
        <v>44977</v>
      </c>
      <c r="O180" s="329">
        <f>M180</f>
        <v>44977</v>
      </c>
      <c r="P180" s="329">
        <f>M180</f>
        <v>44977</v>
      </c>
      <c r="Q180" s="329">
        <f>M180</f>
        <v>44977</v>
      </c>
      <c r="R180" s="160">
        <v>3</v>
      </c>
      <c r="S180" s="160">
        <f t="shared" si="91"/>
        <v>2</v>
      </c>
      <c r="T180" s="160" t="s">
        <v>1922</v>
      </c>
      <c r="U180" s="322" t="str">
        <f t="shared" si="92"/>
        <v>TACHES</v>
      </c>
      <c r="V180" s="160" t="s">
        <v>2088</v>
      </c>
      <c r="W180" s="189" t="s">
        <v>355</v>
      </c>
      <c r="X180" s="360" t="s">
        <v>2020</v>
      </c>
      <c r="Y180" s="189" t="s">
        <v>337</v>
      </c>
      <c r="Z180" s="360" t="s">
        <v>2020</v>
      </c>
      <c r="AA180" s="189" t="s">
        <v>340</v>
      </c>
      <c r="AB180" s="360" t="s">
        <v>2020</v>
      </c>
      <c r="AC180" s="189" t="s">
        <v>266</v>
      </c>
      <c r="AD180" s="360" t="s">
        <v>2020</v>
      </c>
      <c r="AE180" s="189" t="s">
        <v>244</v>
      </c>
      <c r="AF180" s="360" t="s">
        <v>2020</v>
      </c>
      <c r="AG180" s="189" t="s">
        <v>296</v>
      </c>
      <c r="AH180" s="360" t="s">
        <v>2020</v>
      </c>
      <c r="AI180" s="189" t="s">
        <v>298</v>
      </c>
      <c r="AJ180" s="360" t="s">
        <v>2020</v>
      </c>
      <c r="AK180" s="189" t="s">
        <v>299</v>
      </c>
      <c r="AL180" s="360" t="s">
        <v>2020</v>
      </c>
      <c r="AM180" s="189" t="s">
        <v>300</v>
      </c>
      <c r="AN180" s="360" t="s">
        <v>2020</v>
      </c>
      <c r="AO180" s="189" t="s">
        <v>301</v>
      </c>
      <c r="AP180" s="360" t="s">
        <v>2020</v>
      </c>
      <c r="AQ180" s="192" t="s">
        <v>302</v>
      </c>
      <c r="AR180" s="360" t="s">
        <v>2020</v>
      </c>
      <c r="AS180" s="295" t="s">
        <v>287</v>
      </c>
      <c r="AT180" s="360"/>
      <c r="AU180" s="322"/>
      <c r="AV180" s="360" t="s">
        <v>2089</v>
      </c>
      <c r="AW180" s="160">
        <f t="shared" si="93"/>
        <v>15</v>
      </c>
      <c r="AX180" s="360" t="s">
        <v>2091</v>
      </c>
      <c r="AY180" s="160" t="str">
        <f t="shared" si="94"/>
        <v>tache15</v>
      </c>
      <c r="AZ180" s="360" t="s">
        <v>2091</v>
      </c>
      <c r="BA180" s="160" t="str">
        <f t="shared" si="95"/>
        <v>tache15</v>
      </c>
      <c r="BB180" s="360" t="s">
        <v>2091</v>
      </c>
      <c r="BC180" s="160" t="str">
        <f t="shared" si="96"/>
        <v>Importante</v>
      </c>
      <c r="BD180" s="360" t="s">
        <v>2091</v>
      </c>
      <c r="BE180" s="160" t="str">
        <f t="shared" si="97"/>
        <v>Terminer</v>
      </c>
      <c r="BF180" s="360" t="s">
        <v>2091</v>
      </c>
      <c r="BG180" s="160" t="str">
        <f t="shared" si="98"/>
        <v>Realisation</v>
      </c>
      <c r="BH180" s="360" t="s">
        <v>2091</v>
      </c>
      <c r="BI180" s="371" t="str">
        <f t="shared" ca="1" si="99"/>
        <v>2023/02/20</v>
      </c>
      <c r="BJ180" s="360" t="s">
        <v>2091</v>
      </c>
      <c r="BK180" s="329" t="str">
        <f t="shared" ca="1" si="100"/>
        <v>2023/02/20</v>
      </c>
      <c r="BL180" s="360" t="s">
        <v>2091</v>
      </c>
      <c r="BM180" s="329" t="str">
        <f t="shared" ca="1" si="101"/>
        <v>2023/02/20</v>
      </c>
      <c r="BN180" s="360" t="s">
        <v>2091</v>
      </c>
      <c r="BO180" s="329" t="str">
        <f t="shared" ca="1" si="102"/>
        <v>2023/02/20</v>
      </c>
      <c r="BP180" s="360" t="s">
        <v>2091</v>
      </c>
      <c r="BQ180" s="329" t="str">
        <f t="shared" ca="1" si="103"/>
        <v>2023/02/20</v>
      </c>
      <c r="BR180" s="360" t="s">
        <v>2093</v>
      </c>
      <c r="BS180" s="160">
        <f t="shared" si="104"/>
        <v>3</v>
      </c>
      <c r="BT180" s="160" t="s">
        <v>2021</v>
      </c>
      <c r="BU180" s="322" t="str">
        <f t="shared" ca="1" si="105"/>
        <v>INSERT INTO TACHES(numTache,nameTache,descriptionTache,prioTache,stateTache,categoryTache,dateCreateTache,dateInProgressTache,dateToTestTache,dateEndThTache,dateEndRealTache,idProjet) VALUES ('15','tache15','tache15','Importante','Terminer','Realisation','2023/02/20','2023/02/20','2023/02/20','2023/02/20','2023/02/20',3);</v>
      </c>
      <c r="BV180" s="322" t="s">
        <v>2427</v>
      </c>
    </row>
    <row r="181" spans="6:74" ht="20.05" customHeight="1" outlineLevel="1" thickBot="1" x14ac:dyDescent="0.35">
      <c r="F181" s="160">
        <f t="shared" si="114"/>
        <v>52</v>
      </c>
      <c r="G181" s="160">
        <f t="shared" si="114"/>
        <v>16</v>
      </c>
      <c r="H181" s="160" t="s">
        <v>2133</v>
      </c>
      <c r="I181" s="160" t="str">
        <f t="shared" si="90"/>
        <v>tache16</v>
      </c>
      <c r="J181" s="160" t="s">
        <v>1870</v>
      </c>
      <c r="K181" s="160" t="s">
        <v>2375</v>
      </c>
      <c r="L181" s="160" t="s">
        <v>1879</v>
      </c>
      <c r="M181" s="329">
        <f>Q173+1</f>
        <v>44979</v>
      </c>
      <c r="N181" s="329">
        <f t="shared" si="108"/>
        <v>44979</v>
      </c>
      <c r="O181" s="329">
        <f>N181+1</f>
        <v>44980</v>
      </c>
      <c r="P181" s="329">
        <f>O181</f>
        <v>44980</v>
      </c>
      <c r="Q181" s="329">
        <f>P181</f>
        <v>44980</v>
      </c>
      <c r="R181" s="160">
        <v>3</v>
      </c>
      <c r="S181" s="160">
        <f t="shared" si="91"/>
        <v>3</v>
      </c>
      <c r="T181" s="160" t="s">
        <v>1922</v>
      </c>
      <c r="U181" s="322" t="str">
        <f t="shared" si="92"/>
        <v>TACHES</v>
      </c>
      <c r="V181" s="160" t="s">
        <v>2088</v>
      </c>
      <c r="W181" s="189" t="s">
        <v>355</v>
      </c>
      <c r="X181" s="360" t="s">
        <v>2020</v>
      </c>
      <c r="Y181" s="189" t="s">
        <v>337</v>
      </c>
      <c r="Z181" s="360" t="s">
        <v>2020</v>
      </c>
      <c r="AA181" s="189" t="s">
        <v>340</v>
      </c>
      <c r="AB181" s="360" t="s">
        <v>2020</v>
      </c>
      <c r="AC181" s="189" t="s">
        <v>266</v>
      </c>
      <c r="AD181" s="360" t="s">
        <v>2020</v>
      </c>
      <c r="AE181" s="189" t="s">
        <v>244</v>
      </c>
      <c r="AF181" s="360" t="s">
        <v>2020</v>
      </c>
      <c r="AG181" s="189" t="s">
        <v>296</v>
      </c>
      <c r="AH181" s="360" t="s">
        <v>2020</v>
      </c>
      <c r="AI181" s="189" t="s">
        <v>298</v>
      </c>
      <c r="AJ181" s="360" t="s">
        <v>2020</v>
      </c>
      <c r="AK181" s="189" t="s">
        <v>299</v>
      </c>
      <c r="AL181" s="360" t="s">
        <v>2020</v>
      </c>
      <c r="AM181" s="189" t="s">
        <v>300</v>
      </c>
      <c r="AN181" s="360" t="s">
        <v>2020</v>
      </c>
      <c r="AO181" s="189" t="s">
        <v>301</v>
      </c>
      <c r="AP181" s="360" t="s">
        <v>2020</v>
      </c>
      <c r="AQ181" s="192" t="s">
        <v>302</v>
      </c>
      <c r="AR181" s="360" t="s">
        <v>2020</v>
      </c>
      <c r="AS181" s="295" t="s">
        <v>287</v>
      </c>
      <c r="AT181" s="360"/>
      <c r="AU181" s="322"/>
      <c r="AV181" s="360" t="s">
        <v>2089</v>
      </c>
      <c r="AW181" s="160">
        <f t="shared" si="93"/>
        <v>16</v>
      </c>
      <c r="AX181" s="360" t="s">
        <v>2091</v>
      </c>
      <c r="AY181" s="160" t="str">
        <f t="shared" si="94"/>
        <v>tache16</v>
      </c>
      <c r="AZ181" s="360" t="s">
        <v>2091</v>
      </c>
      <c r="BA181" s="160" t="str">
        <f t="shared" si="95"/>
        <v>tache16</v>
      </c>
      <c r="BB181" s="360" t="s">
        <v>2091</v>
      </c>
      <c r="BC181" s="160" t="str">
        <f t="shared" si="96"/>
        <v>Confort</v>
      </c>
      <c r="BD181" s="360" t="s">
        <v>2091</v>
      </c>
      <c r="BE181" s="160" t="str">
        <f t="shared" si="97"/>
        <v>Terminer</v>
      </c>
      <c r="BF181" s="360" t="s">
        <v>2091</v>
      </c>
      <c r="BG181" s="160" t="str">
        <f t="shared" si="98"/>
        <v>Realisation</v>
      </c>
      <c r="BH181" s="360" t="s">
        <v>2091</v>
      </c>
      <c r="BI181" s="371" t="str">
        <f t="shared" ca="1" si="99"/>
        <v>2023/02/22</v>
      </c>
      <c r="BJ181" s="360" t="s">
        <v>2091</v>
      </c>
      <c r="BK181" s="329" t="str">
        <f t="shared" ca="1" si="100"/>
        <v>2023/02/22</v>
      </c>
      <c r="BL181" s="360" t="s">
        <v>2091</v>
      </c>
      <c r="BM181" s="329" t="str">
        <f t="shared" ca="1" si="101"/>
        <v>2023/02/23</v>
      </c>
      <c r="BN181" s="360" t="s">
        <v>2091</v>
      </c>
      <c r="BO181" s="329" t="str">
        <f t="shared" ca="1" si="102"/>
        <v>2023/02/23</v>
      </c>
      <c r="BP181" s="360" t="s">
        <v>2091</v>
      </c>
      <c r="BQ181" s="329" t="str">
        <f t="shared" ca="1" si="103"/>
        <v>2023/02/23</v>
      </c>
      <c r="BR181" s="360" t="s">
        <v>2093</v>
      </c>
      <c r="BS181" s="160">
        <f t="shared" si="104"/>
        <v>3</v>
      </c>
      <c r="BT181" s="160" t="s">
        <v>2021</v>
      </c>
      <c r="BU181" s="322" t="str">
        <f t="shared" ca="1" si="105"/>
        <v>INSERT INTO TACHES(numTache,nameTache,descriptionTache,prioTache,stateTache,categoryTache,dateCreateTache,dateInProgressTache,dateToTestTache,dateEndThTache,dateEndRealTache,idProjet) VALUES ('16','tache16','tache16','Confort','Terminer','Realisation','2023/02/22','2023/02/22','2023/02/23','2023/02/23','2023/02/23',3);</v>
      </c>
      <c r="BV181" s="322" t="s">
        <v>2428</v>
      </c>
    </row>
    <row r="182" spans="6:74" ht="20.05" customHeight="1" outlineLevel="1" thickBot="1" x14ac:dyDescent="0.35">
      <c r="F182" s="160">
        <f t="shared" si="114"/>
        <v>53</v>
      </c>
      <c r="G182" s="160">
        <f t="shared" si="114"/>
        <v>17</v>
      </c>
      <c r="H182" s="160" t="s">
        <v>2134</v>
      </c>
      <c r="I182" s="160" t="str">
        <f t="shared" si="90"/>
        <v>tache17</v>
      </c>
      <c r="J182" s="160" t="s">
        <v>1867</v>
      </c>
      <c r="K182" s="160" t="s">
        <v>2375</v>
      </c>
      <c r="L182" s="160" t="s">
        <v>1879</v>
      </c>
      <c r="M182" s="329">
        <f>Q179+1</f>
        <v>44975</v>
      </c>
      <c r="N182" s="329">
        <f t="shared" si="108"/>
        <v>44975</v>
      </c>
      <c r="O182" s="329">
        <f t="shared" ref="O182:O188" si="115">M182</f>
        <v>44975</v>
      </c>
      <c r="P182" s="329">
        <f>M182</f>
        <v>44975</v>
      </c>
      <c r="Q182" s="329">
        <f>P182+1</f>
        <v>44976</v>
      </c>
      <c r="R182" s="160">
        <v>3</v>
      </c>
      <c r="S182" s="160">
        <f t="shared" si="91"/>
        <v>1</v>
      </c>
      <c r="T182" s="160" t="s">
        <v>1922</v>
      </c>
      <c r="U182" s="322" t="str">
        <f t="shared" si="92"/>
        <v>TACHES</v>
      </c>
      <c r="V182" s="160" t="s">
        <v>2088</v>
      </c>
      <c r="W182" s="189" t="s">
        <v>355</v>
      </c>
      <c r="X182" s="360" t="s">
        <v>2020</v>
      </c>
      <c r="Y182" s="189" t="s">
        <v>337</v>
      </c>
      <c r="Z182" s="360" t="s">
        <v>2020</v>
      </c>
      <c r="AA182" s="189" t="s">
        <v>340</v>
      </c>
      <c r="AB182" s="360" t="s">
        <v>2020</v>
      </c>
      <c r="AC182" s="189" t="s">
        <v>266</v>
      </c>
      <c r="AD182" s="360" t="s">
        <v>2020</v>
      </c>
      <c r="AE182" s="189" t="s">
        <v>244</v>
      </c>
      <c r="AF182" s="360" t="s">
        <v>2020</v>
      </c>
      <c r="AG182" s="189" t="s">
        <v>296</v>
      </c>
      <c r="AH182" s="360" t="s">
        <v>2020</v>
      </c>
      <c r="AI182" s="189" t="s">
        <v>298</v>
      </c>
      <c r="AJ182" s="360" t="s">
        <v>2020</v>
      </c>
      <c r="AK182" s="189" t="s">
        <v>299</v>
      </c>
      <c r="AL182" s="360" t="s">
        <v>2020</v>
      </c>
      <c r="AM182" s="189" t="s">
        <v>300</v>
      </c>
      <c r="AN182" s="360" t="s">
        <v>2020</v>
      </c>
      <c r="AO182" s="189" t="s">
        <v>301</v>
      </c>
      <c r="AP182" s="360" t="s">
        <v>2020</v>
      </c>
      <c r="AQ182" s="192" t="s">
        <v>302</v>
      </c>
      <c r="AR182" s="360" t="s">
        <v>2020</v>
      </c>
      <c r="AS182" s="295" t="s">
        <v>287</v>
      </c>
      <c r="AT182" s="360"/>
      <c r="AU182" s="322"/>
      <c r="AV182" s="360" t="s">
        <v>2089</v>
      </c>
      <c r="AW182" s="160">
        <f t="shared" si="93"/>
        <v>17</v>
      </c>
      <c r="AX182" s="360" t="s">
        <v>2091</v>
      </c>
      <c r="AY182" s="160" t="str">
        <f t="shared" si="94"/>
        <v>tache17</v>
      </c>
      <c r="AZ182" s="360" t="s">
        <v>2091</v>
      </c>
      <c r="BA182" s="160" t="str">
        <f t="shared" si="95"/>
        <v>tache17</v>
      </c>
      <c r="BB182" s="360" t="s">
        <v>2091</v>
      </c>
      <c r="BC182" s="160" t="str">
        <f t="shared" si="96"/>
        <v>Vitale</v>
      </c>
      <c r="BD182" s="360" t="s">
        <v>2091</v>
      </c>
      <c r="BE182" s="160" t="str">
        <f t="shared" si="97"/>
        <v>Terminer</v>
      </c>
      <c r="BF182" s="360" t="s">
        <v>2091</v>
      </c>
      <c r="BG182" s="160" t="str">
        <f t="shared" si="98"/>
        <v>Realisation</v>
      </c>
      <c r="BH182" s="360" t="s">
        <v>2091</v>
      </c>
      <c r="BI182" s="371" t="str">
        <f t="shared" ca="1" si="99"/>
        <v>2023/02/18</v>
      </c>
      <c r="BJ182" s="360" t="s">
        <v>2091</v>
      </c>
      <c r="BK182" s="329" t="str">
        <f t="shared" ca="1" si="100"/>
        <v>2023/02/18</v>
      </c>
      <c r="BL182" s="360" t="s">
        <v>2091</v>
      </c>
      <c r="BM182" s="329" t="str">
        <f t="shared" ca="1" si="101"/>
        <v>2023/02/18</v>
      </c>
      <c r="BN182" s="360" t="s">
        <v>2091</v>
      </c>
      <c r="BO182" s="329" t="str">
        <f t="shared" ca="1" si="102"/>
        <v>2023/02/18</v>
      </c>
      <c r="BP182" s="360" t="s">
        <v>2091</v>
      </c>
      <c r="BQ182" s="329" t="str">
        <f t="shared" ca="1" si="103"/>
        <v>2023/02/19</v>
      </c>
      <c r="BR182" s="360" t="s">
        <v>2093</v>
      </c>
      <c r="BS182" s="160">
        <f t="shared" si="104"/>
        <v>3</v>
      </c>
      <c r="BT182" s="160" t="s">
        <v>2021</v>
      </c>
      <c r="BU182" s="322" t="str">
        <f t="shared" ca="1" si="105"/>
        <v>INSERT INTO TACHES(numTache,nameTache,descriptionTache,prioTache,stateTache,categoryTache,dateCreateTache,dateInProgressTache,dateToTestTache,dateEndThTache,dateEndRealTache,idProjet) VALUES ('17','tache17','tache17','Vitale','Terminer','Realisation','2023/02/18','2023/02/18','2023/02/18','2023/02/18','2023/02/19',3);</v>
      </c>
      <c r="BV182" s="322" t="s">
        <v>2429</v>
      </c>
    </row>
    <row r="183" spans="6:74" ht="28.2" customHeight="1" thickBot="1" x14ac:dyDescent="0.35">
      <c r="F183" s="160">
        <f t="shared" si="114"/>
        <v>54</v>
      </c>
      <c r="G183" s="160">
        <f t="shared" si="114"/>
        <v>18</v>
      </c>
      <c r="H183" s="160" t="s">
        <v>2135</v>
      </c>
      <c r="I183" s="160" t="str">
        <f t="shared" si="90"/>
        <v>tache18</v>
      </c>
      <c r="J183" s="160" t="s">
        <v>1867</v>
      </c>
      <c r="K183" s="160" t="s">
        <v>2375</v>
      </c>
      <c r="L183" s="160" t="s">
        <v>1880</v>
      </c>
      <c r="M183" s="329">
        <f>Q181+1</f>
        <v>44981</v>
      </c>
      <c r="N183" s="329">
        <f t="shared" si="108"/>
        <v>44981</v>
      </c>
      <c r="O183" s="329">
        <f t="shared" si="115"/>
        <v>44981</v>
      </c>
      <c r="P183" s="329">
        <f>O183+0</f>
        <v>44981</v>
      </c>
      <c r="Q183" s="329">
        <f>P183</f>
        <v>44981</v>
      </c>
      <c r="R183" s="160">
        <v>3</v>
      </c>
      <c r="S183" s="160">
        <f t="shared" si="91"/>
        <v>2</v>
      </c>
      <c r="T183" s="160" t="s">
        <v>1922</v>
      </c>
      <c r="U183" s="322" t="str">
        <f t="shared" si="92"/>
        <v>TACHES</v>
      </c>
      <c r="V183" s="160" t="s">
        <v>2088</v>
      </c>
      <c r="W183" s="189" t="s">
        <v>355</v>
      </c>
      <c r="X183" s="360" t="s">
        <v>2020</v>
      </c>
      <c r="Y183" s="189" t="s">
        <v>337</v>
      </c>
      <c r="Z183" s="360" t="s">
        <v>2020</v>
      </c>
      <c r="AA183" s="189" t="s">
        <v>340</v>
      </c>
      <c r="AB183" s="360" t="s">
        <v>2020</v>
      </c>
      <c r="AC183" s="189" t="s">
        <v>266</v>
      </c>
      <c r="AD183" s="360" t="s">
        <v>2020</v>
      </c>
      <c r="AE183" s="189" t="s">
        <v>244</v>
      </c>
      <c r="AF183" s="360" t="s">
        <v>2020</v>
      </c>
      <c r="AG183" s="189" t="s">
        <v>296</v>
      </c>
      <c r="AH183" s="360" t="s">
        <v>2020</v>
      </c>
      <c r="AI183" s="189" t="s">
        <v>298</v>
      </c>
      <c r="AJ183" s="360" t="s">
        <v>2020</v>
      </c>
      <c r="AK183" s="189" t="s">
        <v>299</v>
      </c>
      <c r="AL183" s="360" t="s">
        <v>2020</v>
      </c>
      <c r="AM183" s="189" t="s">
        <v>300</v>
      </c>
      <c r="AN183" s="360" t="s">
        <v>2020</v>
      </c>
      <c r="AO183" s="189" t="s">
        <v>301</v>
      </c>
      <c r="AP183" s="360" t="s">
        <v>2020</v>
      </c>
      <c r="AQ183" s="192" t="s">
        <v>302</v>
      </c>
      <c r="AR183" s="360" t="s">
        <v>2020</v>
      </c>
      <c r="AS183" s="295" t="s">
        <v>287</v>
      </c>
      <c r="AT183" s="360"/>
      <c r="AU183" s="322"/>
      <c r="AV183" s="360" t="s">
        <v>2089</v>
      </c>
      <c r="AW183" s="160">
        <f t="shared" si="93"/>
        <v>18</v>
      </c>
      <c r="AX183" s="360" t="s">
        <v>2091</v>
      </c>
      <c r="AY183" s="160" t="str">
        <f t="shared" si="94"/>
        <v>tache18</v>
      </c>
      <c r="AZ183" s="360" t="s">
        <v>2091</v>
      </c>
      <c r="BA183" s="160" t="str">
        <f t="shared" si="95"/>
        <v>tache18</v>
      </c>
      <c r="BB183" s="360" t="s">
        <v>2091</v>
      </c>
      <c r="BC183" s="160" t="str">
        <f t="shared" si="96"/>
        <v>Vitale</v>
      </c>
      <c r="BD183" s="360" t="s">
        <v>2091</v>
      </c>
      <c r="BE183" s="160" t="str">
        <f t="shared" si="97"/>
        <v>Terminer</v>
      </c>
      <c r="BF183" s="360" t="s">
        <v>2091</v>
      </c>
      <c r="BG183" s="160" t="str">
        <f t="shared" si="98"/>
        <v>Exploitation</v>
      </c>
      <c r="BH183" s="360" t="s">
        <v>2091</v>
      </c>
      <c r="BI183" s="371" t="str">
        <f t="shared" ca="1" si="99"/>
        <v>2023/02/24</v>
      </c>
      <c r="BJ183" s="360" t="s">
        <v>2091</v>
      </c>
      <c r="BK183" s="329" t="str">
        <f t="shared" ca="1" si="100"/>
        <v>2023/02/24</v>
      </c>
      <c r="BL183" s="360" t="s">
        <v>2091</v>
      </c>
      <c r="BM183" s="329" t="str">
        <f t="shared" ca="1" si="101"/>
        <v>2023/02/24</v>
      </c>
      <c r="BN183" s="360" t="s">
        <v>2091</v>
      </c>
      <c r="BO183" s="329" t="str">
        <f t="shared" ca="1" si="102"/>
        <v>2023/02/24</v>
      </c>
      <c r="BP183" s="360" t="s">
        <v>2091</v>
      </c>
      <c r="BQ183" s="329" t="str">
        <f t="shared" ca="1" si="103"/>
        <v>2023/02/24</v>
      </c>
      <c r="BR183" s="360" t="s">
        <v>2093</v>
      </c>
      <c r="BS183" s="160">
        <f t="shared" si="104"/>
        <v>3</v>
      </c>
      <c r="BT183" s="160" t="s">
        <v>2021</v>
      </c>
      <c r="BU183" s="322" t="str">
        <f t="shared" ca="1" si="105"/>
        <v>INSERT INTO TACHES(numTache,nameTache,descriptionTache,prioTache,stateTache,categoryTache,dateCreateTache,dateInProgressTache,dateToTestTache,dateEndThTache,dateEndRealTache,idProjet) VALUES ('18','tache18','tache18','Vitale','Terminer','Exploitation','2023/02/24','2023/02/24','2023/02/24','2023/02/24','2023/02/24',3);</v>
      </c>
      <c r="BV183" s="322" t="s">
        <v>2430</v>
      </c>
    </row>
    <row r="184" spans="6:74" ht="20.05" customHeight="1" outlineLevel="1" thickBot="1" x14ac:dyDescent="0.35">
      <c r="F184" s="160">
        <f t="shared" si="114"/>
        <v>55</v>
      </c>
      <c r="G184" s="160">
        <v>1</v>
      </c>
      <c r="H184" s="160" t="s">
        <v>2118</v>
      </c>
      <c r="I184" s="160" t="str">
        <f t="shared" si="90"/>
        <v>tache1</v>
      </c>
      <c r="J184" s="160" t="s">
        <v>1867</v>
      </c>
      <c r="K184" s="160" t="s">
        <v>2375</v>
      </c>
      <c r="L184" s="160" t="s">
        <v>1876</v>
      </c>
      <c r="M184" s="329">
        <v>44984</v>
      </c>
      <c r="N184" s="329">
        <f>M184</f>
        <v>44984</v>
      </c>
      <c r="O184" s="329">
        <f t="shared" si="115"/>
        <v>44984</v>
      </c>
      <c r="P184" s="329">
        <f>M184</f>
        <v>44984</v>
      </c>
      <c r="Q184" s="329">
        <f>M184</f>
        <v>44984</v>
      </c>
      <c r="R184" s="160">
        <v>4</v>
      </c>
      <c r="S184" s="160">
        <f t="shared" si="91"/>
        <v>2</v>
      </c>
      <c r="T184" s="160" t="s">
        <v>1922</v>
      </c>
      <c r="U184" s="322" t="str">
        <f t="shared" si="92"/>
        <v>TACHES</v>
      </c>
      <c r="V184" s="160" t="s">
        <v>2088</v>
      </c>
      <c r="W184" s="189" t="s">
        <v>355</v>
      </c>
      <c r="X184" s="360" t="s">
        <v>2020</v>
      </c>
      <c r="Y184" s="189" t="s">
        <v>337</v>
      </c>
      <c r="Z184" s="360" t="s">
        <v>2020</v>
      </c>
      <c r="AA184" s="189" t="s">
        <v>340</v>
      </c>
      <c r="AB184" s="360" t="s">
        <v>2020</v>
      </c>
      <c r="AC184" s="189" t="s">
        <v>266</v>
      </c>
      <c r="AD184" s="360" t="s">
        <v>2020</v>
      </c>
      <c r="AE184" s="189" t="s">
        <v>244</v>
      </c>
      <c r="AF184" s="360" t="s">
        <v>2020</v>
      </c>
      <c r="AG184" s="189" t="s">
        <v>296</v>
      </c>
      <c r="AH184" s="360" t="s">
        <v>2020</v>
      </c>
      <c r="AI184" s="189" t="s">
        <v>298</v>
      </c>
      <c r="AJ184" s="360" t="s">
        <v>2020</v>
      </c>
      <c r="AK184" s="189" t="s">
        <v>299</v>
      </c>
      <c r="AL184" s="360" t="s">
        <v>2020</v>
      </c>
      <c r="AM184" s="189" t="s">
        <v>300</v>
      </c>
      <c r="AN184" s="360" t="s">
        <v>2020</v>
      </c>
      <c r="AO184" s="189" t="s">
        <v>301</v>
      </c>
      <c r="AP184" s="360" t="s">
        <v>2020</v>
      </c>
      <c r="AQ184" s="192" t="s">
        <v>302</v>
      </c>
      <c r="AR184" s="360" t="s">
        <v>2020</v>
      </c>
      <c r="AS184" s="295" t="s">
        <v>287</v>
      </c>
      <c r="AT184" s="360"/>
      <c r="AU184" s="322"/>
      <c r="AV184" s="360" t="s">
        <v>2089</v>
      </c>
      <c r="AW184" s="160">
        <f t="shared" si="93"/>
        <v>1</v>
      </c>
      <c r="AX184" s="360" t="s">
        <v>2091</v>
      </c>
      <c r="AY184" s="160" t="str">
        <f t="shared" si="94"/>
        <v>tache1</v>
      </c>
      <c r="AZ184" s="360" t="s">
        <v>2091</v>
      </c>
      <c r="BA184" s="160" t="str">
        <f t="shared" si="95"/>
        <v>tache1</v>
      </c>
      <c r="BB184" s="360" t="s">
        <v>2091</v>
      </c>
      <c r="BC184" s="160" t="str">
        <f t="shared" si="96"/>
        <v>Vitale</v>
      </c>
      <c r="BD184" s="360" t="s">
        <v>2091</v>
      </c>
      <c r="BE184" s="160" t="str">
        <f t="shared" si="97"/>
        <v>Terminer</v>
      </c>
      <c r="BF184" s="360" t="s">
        <v>2091</v>
      </c>
      <c r="BG184" s="160" t="str">
        <f t="shared" si="98"/>
        <v>Initialisation</v>
      </c>
      <c r="BH184" s="360" t="s">
        <v>2091</v>
      </c>
      <c r="BI184" s="371" t="str">
        <f t="shared" ca="1" si="99"/>
        <v>2023/02/27</v>
      </c>
      <c r="BJ184" s="360" t="s">
        <v>2091</v>
      </c>
      <c r="BK184" s="329" t="str">
        <f t="shared" ca="1" si="100"/>
        <v>2023/02/27</v>
      </c>
      <c r="BL184" s="360" t="s">
        <v>2091</v>
      </c>
      <c r="BM184" s="329" t="str">
        <f t="shared" ca="1" si="101"/>
        <v>2023/02/27</v>
      </c>
      <c r="BN184" s="360" t="s">
        <v>2091</v>
      </c>
      <c r="BO184" s="329" t="str">
        <f t="shared" ca="1" si="102"/>
        <v>2023/02/27</v>
      </c>
      <c r="BP184" s="360" t="s">
        <v>2091</v>
      </c>
      <c r="BQ184" s="329" t="str">
        <f t="shared" ca="1" si="103"/>
        <v>2023/02/27</v>
      </c>
      <c r="BR184" s="360" t="s">
        <v>2093</v>
      </c>
      <c r="BS184" s="160">
        <f t="shared" si="104"/>
        <v>4</v>
      </c>
      <c r="BT184" s="160" t="s">
        <v>2021</v>
      </c>
      <c r="BU184" s="322" t="str">
        <f t="shared" ca="1" si="105"/>
        <v>INSERT INTO TACHES(numTache,nameTache,descriptionTache,prioTache,stateTache,categoryTache,dateCreateTache,dateInProgressTache,dateToTestTache,dateEndThTache,dateEndRealTache,idProjet) VALUES ('1','tache1','tache1','Vitale','Terminer','Initialisation','2023/02/27','2023/02/27','2023/02/27','2023/02/27','2023/02/27',4);</v>
      </c>
      <c r="BV184" s="322" t="s">
        <v>2431</v>
      </c>
    </row>
    <row r="185" spans="6:74" ht="20.05" customHeight="1" outlineLevel="1" thickBot="1" x14ac:dyDescent="0.35">
      <c r="F185" s="160">
        <f t="shared" si="114"/>
        <v>56</v>
      </c>
      <c r="G185" s="160">
        <f>G184+1</f>
        <v>2</v>
      </c>
      <c r="H185" s="160" t="s">
        <v>2119</v>
      </c>
      <c r="I185" s="160" t="str">
        <f t="shared" si="90"/>
        <v>tache2</v>
      </c>
      <c r="J185" s="160" t="s">
        <v>1867</v>
      </c>
      <c r="K185" s="160" t="s">
        <v>2375</v>
      </c>
      <c r="L185" s="160" t="s">
        <v>1876</v>
      </c>
      <c r="M185" s="329">
        <f>Q184</f>
        <v>44984</v>
      </c>
      <c r="N185" s="329">
        <f t="shared" si="108"/>
        <v>44984</v>
      </c>
      <c r="O185" s="329">
        <f t="shared" si="115"/>
        <v>44984</v>
      </c>
      <c r="P185" s="329">
        <f>M185</f>
        <v>44984</v>
      </c>
      <c r="Q185" s="329">
        <f>M185</f>
        <v>44984</v>
      </c>
      <c r="R185" s="160">
        <v>4</v>
      </c>
      <c r="S185" s="160">
        <f t="shared" si="91"/>
        <v>2</v>
      </c>
      <c r="T185" s="160" t="s">
        <v>1922</v>
      </c>
      <c r="U185" s="322" t="str">
        <f t="shared" si="92"/>
        <v>TACHES</v>
      </c>
      <c r="V185" s="160" t="s">
        <v>2088</v>
      </c>
      <c r="W185" s="189" t="s">
        <v>355</v>
      </c>
      <c r="X185" s="360" t="s">
        <v>2020</v>
      </c>
      <c r="Y185" s="189" t="s">
        <v>337</v>
      </c>
      <c r="Z185" s="360" t="s">
        <v>2020</v>
      </c>
      <c r="AA185" s="189" t="s">
        <v>340</v>
      </c>
      <c r="AB185" s="360" t="s">
        <v>2020</v>
      </c>
      <c r="AC185" s="189" t="s">
        <v>266</v>
      </c>
      <c r="AD185" s="360" t="s">
        <v>2020</v>
      </c>
      <c r="AE185" s="189" t="s">
        <v>244</v>
      </c>
      <c r="AF185" s="360" t="s">
        <v>2020</v>
      </c>
      <c r="AG185" s="189" t="s">
        <v>296</v>
      </c>
      <c r="AH185" s="360" t="s">
        <v>2020</v>
      </c>
      <c r="AI185" s="189" t="s">
        <v>298</v>
      </c>
      <c r="AJ185" s="360" t="s">
        <v>2020</v>
      </c>
      <c r="AK185" s="189" t="s">
        <v>299</v>
      </c>
      <c r="AL185" s="360" t="s">
        <v>2020</v>
      </c>
      <c r="AM185" s="189" t="s">
        <v>300</v>
      </c>
      <c r="AN185" s="360" t="s">
        <v>2020</v>
      </c>
      <c r="AO185" s="189" t="s">
        <v>301</v>
      </c>
      <c r="AP185" s="360" t="s">
        <v>2020</v>
      </c>
      <c r="AQ185" s="192" t="s">
        <v>302</v>
      </c>
      <c r="AR185" s="360" t="s">
        <v>2020</v>
      </c>
      <c r="AS185" s="295" t="s">
        <v>287</v>
      </c>
      <c r="AT185" s="360"/>
      <c r="AU185" s="322"/>
      <c r="AV185" s="360" t="s">
        <v>2089</v>
      </c>
      <c r="AW185" s="160">
        <f t="shared" si="93"/>
        <v>2</v>
      </c>
      <c r="AX185" s="360" t="s">
        <v>2091</v>
      </c>
      <c r="AY185" s="160" t="str">
        <f t="shared" si="94"/>
        <v>tache2</v>
      </c>
      <c r="AZ185" s="360" t="s">
        <v>2091</v>
      </c>
      <c r="BA185" s="160" t="str">
        <f t="shared" si="95"/>
        <v>tache2</v>
      </c>
      <c r="BB185" s="360" t="s">
        <v>2091</v>
      </c>
      <c r="BC185" s="160" t="str">
        <f t="shared" si="96"/>
        <v>Vitale</v>
      </c>
      <c r="BD185" s="360" t="s">
        <v>2091</v>
      </c>
      <c r="BE185" s="160" t="str">
        <f t="shared" si="97"/>
        <v>Terminer</v>
      </c>
      <c r="BF185" s="360" t="s">
        <v>2091</v>
      </c>
      <c r="BG185" s="160" t="str">
        <f t="shared" si="98"/>
        <v>Initialisation</v>
      </c>
      <c r="BH185" s="360" t="s">
        <v>2091</v>
      </c>
      <c r="BI185" s="371" t="str">
        <f t="shared" ca="1" si="99"/>
        <v>2023/02/27</v>
      </c>
      <c r="BJ185" s="360" t="s">
        <v>2091</v>
      </c>
      <c r="BK185" s="329" t="str">
        <f t="shared" ca="1" si="100"/>
        <v>2023/02/27</v>
      </c>
      <c r="BL185" s="360" t="s">
        <v>2091</v>
      </c>
      <c r="BM185" s="329" t="str">
        <f t="shared" ca="1" si="101"/>
        <v>2023/02/27</v>
      </c>
      <c r="BN185" s="360" t="s">
        <v>2091</v>
      </c>
      <c r="BO185" s="329" t="str">
        <f t="shared" ca="1" si="102"/>
        <v>2023/02/27</v>
      </c>
      <c r="BP185" s="360" t="s">
        <v>2091</v>
      </c>
      <c r="BQ185" s="329" t="str">
        <f t="shared" ca="1" si="103"/>
        <v>2023/02/27</v>
      </c>
      <c r="BR185" s="360" t="s">
        <v>2093</v>
      </c>
      <c r="BS185" s="160">
        <f t="shared" si="104"/>
        <v>4</v>
      </c>
      <c r="BT185" s="160" t="s">
        <v>2021</v>
      </c>
      <c r="BU185" s="322" t="str">
        <f t="shared" ca="1" si="105"/>
        <v>INSERT INTO TACHES(numTache,nameTache,descriptionTache,prioTache,stateTache,categoryTache,dateCreateTache,dateInProgressTache,dateToTestTache,dateEndThTache,dateEndRealTache,idProjet) VALUES ('2','tache2','tache2','Vitale','Terminer','Initialisation','2023/02/27','2023/02/27','2023/02/27','2023/02/27','2023/02/27',4);</v>
      </c>
      <c r="BV185" s="322" t="s">
        <v>2432</v>
      </c>
    </row>
    <row r="186" spans="6:74" ht="20.05" customHeight="1" outlineLevel="1" thickBot="1" x14ac:dyDescent="0.35">
      <c r="F186" s="160">
        <f t="shared" si="114"/>
        <v>57</v>
      </c>
      <c r="G186" s="160">
        <f t="shared" si="114"/>
        <v>3</v>
      </c>
      <c r="H186" s="160" t="s">
        <v>2120</v>
      </c>
      <c r="I186" s="160" t="str">
        <f t="shared" si="90"/>
        <v>tache3</v>
      </c>
      <c r="J186" s="160" t="s">
        <v>1867</v>
      </c>
      <c r="K186" s="160" t="s">
        <v>2375</v>
      </c>
      <c r="L186" s="160" t="s">
        <v>1877</v>
      </c>
      <c r="M186" s="329">
        <f>Q185</f>
        <v>44984</v>
      </c>
      <c r="N186" s="329">
        <f t="shared" si="108"/>
        <v>44984</v>
      </c>
      <c r="O186" s="329">
        <f t="shared" si="115"/>
        <v>44984</v>
      </c>
      <c r="P186" s="329">
        <f>M186</f>
        <v>44984</v>
      </c>
      <c r="Q186" s="329">
        <f>M186</f>
        <v>44984</v>
      </c>
      <c r="R186" s="160">
        <v>4</v>
      </c>
      <c r="S186" s="160">
        <f t="shared" si="91"/>
        <v>2</v>
      </c>
      <c r="T186" s="160" t="s">
        <v>1922</v>
      </c>
      <c r="U186" s="322" t="str">
        <f t="shared" si="92"/>
        <v>TACHES</v>
      </c>
      <c r="V186" s="160" t="s">
        <v>2088</v>
      </c>
      <c r="W186" s="189" t="s">
        <v>355</v>
      </c>
      <c r="X186" s="360" t="s">
        <v>2020</v>
      </c>
      <c r="Y186" s="189" t="s">
        <v>337</v>
      </c>
      <c r="Z186" s="360" t="s">
        <v>2020</v>
      </c>
      <c r="AA186" s="189" t="s">
        <v>340</v>
      </c>
      <c r="AB186" s="360" t="s">
        <v>2020</v>
      </c>
      <c r="AC186" s="189" t="s">
        <v>266</v>
      </c>
      <c r="AD186" s="360" t="s">
        <v>2020</v>
      </c>
      <c r="AE186" s="189" t="s">
        <v>244</v>
      </c>
      <c r="AF186" s="360" t="s">
        <v>2020</v>
      </c>
      <c r="AG186" s="189" t="s">
        <v>296</v>
      </c>
      <c r="AH186" s="360" t="s">
        <v>2020</v>
      </c>
      <c r="AI186" s="189" t="s">
        <v>298</v>
      </c>
      <c r="AJ186" s="360" t="s">
        <v>2020</v>
      </c>
      <c r="AK186" s="189" t="s">
        <v>299</v>
      </c>
      <c r="AL186" s="360" t="s">
        <v>2020</v>
      </c>
      <c r="AM186" s="189" t="s">
        <v>300</v>
      </c>
      <c r="AN186" s="360" t="s">
        <v>2020</v>
      </c>
      <c r="AO186" s="189" t="s">
        <v>301</v>
      </c>
      <c r="AP186" s="360" t="s">
        <v>2020</v>
      </c>
      <c r="AQ186" s="192" t="s">
        <v>302</v>
      </c>
      <c r="AR186" s="360" t="s">
        <v>2020</v>
      </c>
      <c r="AS186" s="295" t="s">
        <v>287</v>
      </c>
      <c r="AT186" s="360"/>
      <c r="AU186" s="322"/>
      <c r="AV186" s="360" t="s">
        <v>2089</v>
      </c>
      <c r="AW186" s="160">
        <f t="shared" si="93"/>
        <v>3</v>
      </c>
      <c r="AX186" s="360" t="s">
        <v>2091</v>
      </c>
      <c r="AY186" s="160" t="str">
        <f t="shared" si="94"/>
        <v>tache3</v>
      </c>
      <c r="AZ186" s="360" t="s">
        <v>2091</v>
      </c>
      <c r="BA186" s="160" t="str">
        <f t="shared" si="95"/>
        <v>tache3</v>
      </c>
      <c r="BB186" s="360" t="s">
        <v>2091</v>
      </c>
      <c r="BC186" s="160" t="str">
        <f t="shared" si="96"/>
        <v>Vitale</v>
      </c>
      <c r="BD186" s="360" t="s">
        <v>2091</v>
      </c>
      <c r="BE186" s="160" t="str">
        <f t="shared" si="97"/>
        <v>Terminer</v>
      </c>
      <c r="BF186" s="360" t="s">
        <v>2091</v>
      </c>
      <c r="BG186" s="160" t="str">
        <f t="shared" si="98"/>
        <v>Analyse</v>
      </c>
      <c r="BH186" s="360" t="s">
        <v>2091</v>
      </c>
      <c r="BI186" s="371" t="str">
        <f t="shared" ca="1" si="99"/>
        <v>2023/02/27</v>
      </c>
      <c r="BJ186" s="360" t="s">
        <v>2091</v>
      </c>
      <c r="BK186" s="329" t="str">
        <f t="shared" ca="1" si="100"/>
        <v>2023/02/27</v>
      </c>
      <c r="BL186" s="360" t="s">
        <v>2091</v>
      </c>
      <c r="BM186" s="329" t="str">
        <f t="shared" ca="1" si="101"/>
        <v>2023/02/27</v>
      </c>
      <c r="BN186" s="360" t="s">
        <v>2091</v>
      </c>
      <c r="BO186" s="329" t="str">
        <f t="shared" ca="1" si="102"/>
        <v>2023/02/27</v>
      </c>
      <c r="BP186" s="360" t="s">
        <v>2091</v>
      </c>
      <c r="BQ186" s="329" t="str">
        <f t="shared" ca="1" si="103"/>
        <v>2023/02/27</v>
      </c>
      <c r="BR186" s="360" t="s">
        <v>2093</v>
      </c>
      <c r="BS186" s="160">
        <f t="shared" si="104"/>
        <v>4</v>
      </c>
      <c r="BT186" s="160" t="s">
        <v>2021</v>
      </c>
      <c r="BU186" s="322" t="str">
        <f t="shared" ca="1" si="105"/>
        <v>INSERT INTO TACHES(numTache,nameTache,descriptionTache,prioTache,stateTache,categoryTache,dateCreateTache,dateInProgressTache,dateToTestTache,dateEndThTache,dateEndRealTache,idProjet) VALUES ('3','tache3','tache3','Vitale','Terminer','Analyse','2023/02/27','2023/02/27','2023/02/27','2023/02/27','2023/02/27',4);</v>
      </c>
      <c r="BV186" s="322" t="s">
        <v>2433</v>
      </c>
    </row>
    <row r="187" spans="6:74" ht="20.05" customHeight="1" outlineLevel="1" thickBot="1" x14ac:dyDescent="0.35">
      <c r="F187" s="160">
        <f t="shared" si="114"/>
        <v>58</v>
      </c>
      <c r="G187" s="160">
        <f t="shared" si="114"/>
        <v>4</v>
      </c>
      <c r="H187" s="160" t="s">
        <v>2121</v>
      </c>
      <c r="I187" s="160" t="str">
        <f t="shared" si="90"/>
        <v>tache4</v>
      </c>
      <c r="J187" s="160" t="s">
        <v>1867</v>
      </c>
      <c r="K187" s="160" t="s">
        <v>2375</v>
      </c>
      <c r="L187" s="160" t="s">
        <v>1877</v>
      </c>
      <c r="M187" s="329">
        <f>Q186+1</f>
        <v>44985</v>
      </c>
      <c r="N187" s="329">
        <f t="shared" si="108"/>
        <v>44985</v>
      </c>
      <c r="O187" s="329">
        <f t="shared" si="115"/>
        <v>44985</v>
      </c>
      <c r="P187" s="329">
        <f>M187</f>
        <v>44985</v>
      </c>
      <c r="Q187" s="329">
        <f>M187</f>
        <v>44985</v>
      </c>
      <c r="R187" s="160">
        <v>4</v>
      </c>
      <c r="S187" s="160">
        <f t="shared" si="91"/>
        <v>2</v>
      </c>
      <c r="T187" s="160" t="s">
        <v>1922</v>
      </c>
      <c r="U187" s="322" t="str">
        <f t="shared" si="92"/>
        <v>TACHES</v>
      </c>
      <c r="V187" s="160" t="s">
        <v>2088</v>
      </c>
      <c r="W187" s="189" t="s">
        <v>355</v>
      </c>
      <c r="X187" s="360" t="s">
        <v>2020</v>
      </c>
      <c r="Y187" s="189" t="s">
        <v>337</v>
      </c>
      <c r="Z187" s="360" t="s">
        <v>2020</v>
      </c>
      <c r="AA187" s="189" t="s">
        <v>340</v>
      </c>
      <c r="AB187" s="360" t="s">
        <v>2020</v>
      </c>
      <c r="AC187" s="189" t="s">
        <v>266</v>
      </c>
      <c r="AD187" s="360" t="s">
        <v>2020</v>
      </c>
      <c r="AE187" s="189" t="s">
        <v>244</v>
      </c>
      <c r="AF187" s="360" t="s">
        <v>2020</v>
      </c>
      <c r="AG187" s="189" t="s">
        <v>296</v>
      </c>
      <c r="AH187" s="360" t="s">
        <v>2020</v>
      </c>
      <c r="AI187" s="189" t="s">
        <v>298</v>
      </c>
      <c r="AJ187" s="360" t="s">
        <v>2020</v>
      </c>
      <c r="AK187" s="189" t="s">
        <v>299</v>
      </c>
      <c r="AL187" s="360" t="s">
        <v>2020</v>
      </c>
      <c r="AM187" s="189" t="s">
        <v>300</v>
      </c>
      <c r="AN187" s="360" t="s">
        <v>2020</v>
      </c>
      <c r="AO187" s="189" t="s">
        <v>301</v>
      </c>
      <c r="AP187" s="360" t="s">
        <v>2020</v>
      </c>
      <c r="AQ187" s="192" t="s">
        <v>302</v>
      </c>
      <c r="AR187" s="360" t="s">
        <v>2020</v>
      </c>
      <c r="AS187" s="295" t="s">
        <v>287</v>
      </c>
      <c r="AT187" s="360"/>
      <c r="AU187" s="322"/>
      <c r="AV187" s="360" t="s">
        <v>2089</v>
      </c>
      <c r="AW187" s="160">
        <f t="shared" si="93"/>
        <v>4</v>
      </c>
      <c r="AX187" s="360" t="s">
        <v>2091</v>
      </c>
      <c r="AY187" s="160" t="str">
        <f t="shared" si="94"/>
        <v>tache4</v>
      </c>
      <c r="AZ187" s="360" t="s">
        <v>2091</v>
      </c>
      <c r="BA187" s="160" t="str">
        <f t="shared" si="95"/>
        <v>tache4</v>
      </c>
      <c r="BB187" s="360" t="s">
        <v>2091</v>
      </c>
      <c r="BC187" s="160" t="str">
        <f t="shared" si="96"/>
        <v>Vitale</v>
      </c>
      <c r="BD187" s="360" t="s">
        <v>2091</v>
      </c>
      <c r="BE187" s="160" t="str">
        <f t="shared" si="97"/>
        <v>Terminer</v>
      </c>
      <c r="BF187" s="360" t="s">
        <v>2091</v>
      </c>
      <c r="BG187" s="160" t="str">
        <f t="shared" si="98"/>
        <v>Analyse</v>
      </c>
      <c r="BH187" s="360" t="s">
        <v>2091</v>
      </c>
      <c r="BI187" s="371" t="str">
        <f t="shared" ca="1" si="99"/>
        <v>2023/02/28</v>
      </c>
      <c r="BJ187" s="360" t="s">
        <v>2091</v>
      </c>
      <c r="BK187" s="329" t="str">
        <f t="shared" ca="1" si="100"/>
        <v>2023/02/28</v>
      </c>
      <c r="BL187" s="360" t="s">
        <v>2091</v>
      </c>
      <c r="BM187" s="329" t="str">
        <f t="shared" ca="1" si="101"/>
        <v>2023/02/28</v>
      </c>
      <c r="BN187" s="360" t="s">
        <v>2091</v>
      </c>
      <c r="BO187" s="329" t="str">
        <f t="shared" ca="1" si="102"/>
        <v>2023/02/28</v>
      </c>
      <c r="BP187" s="360" t="s">
        <v>2091</v>
      </c>
      <c r="BQ187" s="329" t="str">
        <f t="shared" ca="1" si="103"/>
        <v>2023/02/28</v>
      </c>
      <c r="BR187" s="360" t="s">
        <v>2093</v>
      </c>
      <c r="BS187" s="160">
        <f t="shared" si="104"/>
        <v>4</v>
      </c>
      <c r="BT187" s="160" t="s">
        <v>2021</v>
      </c>
      <c r="BU187" s="322" t="str">
        <f t="shared" ca="1" si="105"/>
        <v>INSERT INTO TACHES(numTache,nameTache,descriptionTache,prioTache,stateTache,categoryTache,dateCreateTache,dateInProgressTache,dateToTestTache,dateEndThTache,dateEndRealTache,idProjet) VALUES ('4','tache4','tache4','Vitale','Terminer','Analyse','2023/02/28','2023/02/28','2023/02/28','2023/02/28','2023/02/28',4);</v>
      </c>
      <c r="BV187" s="322" t="s">
        <v>2434</v>
      </c>
    </row>
    <row r="188" spans="6:74" ht="78.3" customHeight="1" outlineLevel="1" thickBot="1" x14ac:dyDescent="0.35">
      <c r="F188" s="160">
        <f t="shared" si="114"/>
        <v>59</v>
      </c>
      <c r="G188" s="160">
        <f t="shared" si="114"/>
        <v>5</v>
      </c>
      <c r="H188" s="160" t="s">
        <v>2122</v>
      </c>
      <c r="I188" s="160" t="str">
        <f t="shared" si="90"/>
        <v>tache5</v>
      </c>
      <c r="J188" s="160" t="s">
        <v>1867</v>
      </c>
      <c r="K188" s="160" t="s">
        <v>2375</v>
      </c>
      <c r="L188" s="160" t="s">
        <v>1878</v>
      </c>
      <c r="M188" s="329">
        <f>Q187</f>
        <v>44985</v>
      </c>
      <c r="N188" s="329">
        <f t="shared" si="108"/>
        <v>44985</v>
      </c>
      <c r="O188" s="329">
        <f t="shared" si="115"/>
        <v>44985</v>
      </c>
      <c r="P188" s="329">
        <f>O188+0</f>
        <v>44985</v>
      </c>
      <c r="Q188" s="329">
        <f>P188</f>
        <v>44985</v>
      </c>
      <c r="R188" s="160">
        <v>4</v>
      </c>
      <c r="S188" s="160">
        <f t="shared" si="91"/>
        <v>2</v>
      </c>
      <c r="T188" s="160" t="s">
        <v>1922</v>
      </c>
      <c r="U188" s="322" t="str">
        <f t="shared" si="92"/>
        <v>TACHES</v>
      </c>
      <c r="V188" s="160" t="s">
        <v>2088</v>
      </c>
      <c r="W188" s="189" t="s">
        <v>355</v>
      </c>
      <c r="X188" s="360" t="s">
        <v>2020</v>
      </c>
      <c r="Y188" s="189" t="s">
        <v>337</v>
      </c>
      <c r="Z188" s="360" t="s">
        <v>2020</v>
      </c>
      <c r="AA188" s="189" t="s">
        <v>340</v>
      </c>
      <c r="AB188" s="360" t="s">
        <v>2020</v>
      </c>
      <c r="AC188" s="189" t="s">
        <v>266</v>
      </c>
      <c r="AD188" s="360" t="s">
        <v>2020</v>
      </c>
      <c r="AE188" s="189" t="s">
        <v>244</v>
      </c>
      <c r="AF188" s="360" t="s">
        <v>2020</v>
      </c>
      <c r="AG188" s="189" t="s">
        <v>296</v>
      </c>
      <c r="AH188" s="360" t="s">
        <v>2020</v>
      </c>
      <c r="AI188" s="189" t="s">
        <v>298</v>
      </c>
      <c r="AJ188" s="360" t="s">
        <v>2020</v>
      </c>
      <c r="AK188" s="189" t="s">
        <v>299</v>
      </c>
      <c r="AL188" s="360" t="s">
        <v>2020</v>
      </c>
      <c r="AM188" s="189" t="s">
        <v>300</v>
      </c>
      <c r="AN188" s="360" t="s">
        <v>2020</v>
      </c>
      <c r="AO188" s="189" t="s">
        <v>301</v>
      </c>
      <c r="AP188" s="360" t="s">
        <v>2020</v>
      </c>
      <c r="AQ188" s="192" t="s">
        <v>302</v>
      </c>
      <c r="AR188" s="360" t="s">
        <v>2020</v>
      </c>
      <c r="AS188" s="295" t="s">
        <v>287</v>
      </c>
      <c r="AT188" s="360"/>
      <c r="AU188" s="322"/>
      <c r="AV188" s="360" t="s">
        <v>2089</v>
      </c>
      <c r="AW188" s="160">
        <f t="shared" si="93"/>
        <v>5</v>
      </c>
      <c r="AX188" s="360" t="s">
        <v>2091</v>
      </c>
      <c r="AY188" s="160" t="str">
        <f t="shared" si="94"/>
        <v>tache5</v>
      </c>
      <c r="AZ188" s="360" t="s">
        <v>2091</v>
      </c>
      <c r="BA188" s="160" t="str">
        <f t="shared" si="95"/>
        <v>tache5</v>
      </c>
      <c r="BB188" s="360" t="s">
        <v>2091</v>
      </c>
      <c r="BC188" s="160" t="str">
        <f t="shared" si="96"/>
        <v>Vitale</v>
      </c>
      <c r="BD188" s="360" t="s">
        <v>2091</v>
      </c>
      <c r="BE188" s="160" t="str">
        <f t="shared" si="97"/>
        <v>Terminer</v>
      </c>
      <c r="BF188" s="360" t="s">
        <v>2091</v>
      </c>
      <c r="BG188" s="160" t="str">
        <f t="shared" si="98"/>
        <v>Conception</v>
      </c>
      <c r="BH188" s="360" t="s">
        <v>2091</v>
      </c>
      <c r="BI188" s="371" t="str">
        <f t="shared" ca="1" si="99"/>
        <v>2023/02/28</v>
      </c>
      <c r="BJ188" s="360" t="s">
        <v>2091</v>
      </c>
      <c r="BK188" s="329" t="str">
        <f t="shared" ca="1" si="100"/>
        <v>2023/02/28</v>
      </c>
      <c r="BL188" s="360" t="s">
        <v>2091</v>
      </c>
      <c r="BM188" s="329" t="str">
        <f t="shared" ca="1" si="101"/>
        <v>2023/02/28</v>
      </c>
      <c r="BN188" s="360" t="s">
        <v>2091</v>
      </c>
      <c r="BO188" s="329" t="str">
        <f t="shared" ca="1" si="102"/>
        <v>2023/02/28</v>
      </c>
      <c r="BP188" s="360" t="s">
        <v>2091</v>
      </c>
      <c r="BQ188" s="329" t="str">
        <f t="shared" ca="1" si="103"/>
        <v>2023/02/28</v>
      </c>
      <c r="BR188" s="360" t="s">
        <v>2093</v>
      </c>
      <c r="BS188" s="160">
        <f t="shared" si="104"/>
        <v>4</v>
      </c>
      <c r="BT188" s="160" t="s">
        <v>2021</v>
      </c>
      <c r="BU188" s="322" t="str">
        <f t="shared" ca="1" si="105"/>
        <v>INSERT INTO TACHES(numTache,nameTache,descriptionTache,prioTache,stateTache,categoryTache,dateCreateTache,dateInProgressTache,dateToTestTache,dateEndThTache,dateEndRealTache,idProjet) VALUES ('5','tache5','tache5','Vitale','Terminer','Conception','2023/02/28','2023/02/28','2023/02/28','2023/02/28','2023/02/28',4);</v>
      </c>
      <c r="BV188" s="322" t="s">
        <v>2435</v>
      </c>
    </row>
    <row r="189" spans="6:74" ht="90.35" customHeight="1" outlineLevel="1" thickBot="1" x14ac:dyDescent="0.35">
      <c r="F189" s="160">
        <f t="shared" si="114"/>
        <v>60</v>
      </c>
      <c r="G189" s="160">
        <f t="shared" si="114"/>
        <v>6</v>
      </c>
      <c r="H189" s="160" t="s">
        <v>2123</v>
      </c>
      <c r="I189" s="160" t="str">
        <f t="shared" si="90"/>
        <v>tache6</v>
      </c>
      <c r="J189" s="160" t="s">
        <v>1867</v>
      </c>
      <c r="K189" s="160" t="s">
        <v>2375</v>
      </c>
      <c r="L189" s="160" t="s">
        <v>1879</v>
      </c>
      <c r="M189" s="329">
        <f>Q188+1</f>
        <v>44986</v>
      </c>
      <c r="N189" s="329">
        <f t="shared" si="108"/>
        <v>44986</v>
      </c>
      <c r="O189" s="329">
        <f>N189+0</f>
        <v>44986</v>
      </c>
      <c r="P189" s="329">
        <f>O189+0</f>
        <v>44986</v>
      </c>
      <c r="Q189" s="329">
        <f>P189</f>
        <v>44986</v>
      </c>
      <c r="R189" s="160">
        <v>4</v>
      </c>
      <c r="S189" s="160">
        <f t="shared" si="91"/>
        <v>2</v>
      </c>
      <c r="T189" s="160" t="s">
        <v>1922</v>
      </c>
      <c r="U189" s="322" t="str">
        <f t="shared" si="92"/>
        <v>TACHES</v>
      </c>
      <c r="V189" s="160" t="s">
        <v>2088</v>
      </c>
      <c r="W189" s="189" t="s">
        <v>355</v>
      </c>
      <c r="X189" s="360" t="s">
        <v>2020</v>
      </c>
      <c r="Y189" s="189" t="s">
        <v>337</v>
      </c>
      <c r="Z189" s="360" t="s">
        <v>2020</v>
      </c>
      <c r="AA189" s="189" t="s">
        <v>340</v>
      </c>
      <c r="AB189" s="360" t="s">
        <v>2020</v>
      </c>
      <c r="AC189" s="189" t="s">
        <v>266</v>
      </c>
      <c r="AD189" s="360" t="s">
        <v>2020</v>
      </c>
      <c r="AE189" s="189" t="s">
        <v>244</v>
      </c>
      <c r="AF189" s="360" t="s">
        <v>2020</v>
      </c>
      <c r="AG189" s="189" t="s">
        <v>296</v>
      </c>
      <c r="AH189" s="360" t="s">
        <v>2020</v>
      </c>
      <c r="AI189" s="189" t="s">
        <v>298</v>
      </c>
      <c r="AJ189" s="360" t="s">
        <v>2020</v>
      </c>
      <c r="AK189" s="189" t="s">
        <v>299</v>
      </c>
      <c r="AL189" s="360" t="s">
        <v>2020</v>
      </c>
      <c r="AM189" s="189" t="s">
        <v>300</v>
      </c>
      <c r="AN189" s="360" t="s">
        <v>2020</v>
      </c>
      <c r="AO189" s="189" t="s">
        <v>301</v>
      </c>
      <c r="AP189" s="360" t="s">
        <v>2020</v>
      </c>
      <c r="AQ189" s="192" t="s">
        <v>302</v>
      </c>
      <c r="AR189" s="360" t="s">
        <v>2020</v>
      </c>
      <c r="AS189" s="295" t="s">
        <v>287</v>
      </c>
      <c r="AT189" s="360"/>
      <c r="AU189" s="322"/>
      <c r="AV189" s="360" t="s">
        <v>2089</v>
      </c>
      <c r="AW189" s="160">
        <f t="shared" si="93"/>
        <v>6</v>
      </c>
      <c r="AX189" s="360" t="s">
        <v>2091</v>
      </c>
      <c r="AY189" s="160" t="str">
        <f t="shared" si="94"/>
        <v>tache6</v>
      </c>
      <c r="AZ189" s="360" t="s">
        <v>2091</v>
      </c>
      <c r="BA189" s="160" t="str">
        <f t="shared" si="95"/>
        <v>tache6</v>
      </c>
      <c r="BB189" s="360" t="s">
        <v>2091</v>
      </c>
      <c r="BC189" s="160" t="str">
        <f t="shared" si="96"/>
        <v>Vitale</v>
      </c>
      <c r="BD189" s="360" t="s">
        <v>2091</v>
      </c>
      <c r="BE189" s="160" t="str">
        <f t="shared" si="97"/>
        <v>Terminer</v>
      </c>
      <c r="BF189" s="360" t="s">
        <v>2091</v>
      </c>
      <c r="BG189" s="160" t="str">
        <f t="shared" si="98"/>
        <v>Realisation</v>
      </c>
      <c r="BH189" s="360" t="s">
        <v>2091</v>
      </c>
      <c r="BI189" s="371" t="str">
        <f t="shared" ca="1" si="99"/>
        <v>2023/03/01</v>
      </c>
      <c r="BJ189" s="360" t="s">
        <v>2091</v>
      </c>
      <c r="BK189" s="329" t="str">
        <f t="shared" ca="1" si="100"/>
        <v>2023/03/01</v>
      </c>
      <c r="BL189" s="360" t="s">
        <v>2091</v>
      </c>
      <c r="BM189" s="329" t="str">
        <f t="shared" ca="1" si="101"/>
        <v>2023/03/01</v>
      </c>
      <c r="BN189" s="360" t="s">
        <v>2091</v>
      </c>
      <c r="BO189" s="329" t="str">
        <f t="shared" ca="1" si="102"/>
        <v>2023/03/01</v>
      </c>
      <c r="BP189" s="360" t="s">
        <v>2091</v>
      </c>
      <c r="BQ189" s="329" t="str">
        <f t="shared" ca="1" si="103"/>
        <v>2023/03/01</v>
      </c>
      <c r="BR189" s="360" t="s">
        <v>2093</v>
      </c>
      <c r="BS189" s="160">
        <f t="shared" si="104"/>
        <v>4</v>
      </c>
      <c r="BT189" s="160" t="s">
        <v>2021</v>
      </c>
      <c r="BU189" s="322" t="str">
        <f t="shared" ca="1" si="105"/>
        <v>INSERT INTO TACHES(numTache,nameTache,descriptionTache,prioTache,stateTache,categoryTache,dateCreateTache,dateInProgressTache,dateToTestTache,dateEndThTache,dateEndRealTache,idProjet) VALUES ('6','tache6','tache6','Vitale','Terminer','Realisation','2023/03/01','2023/03/01','2023/03/01','2023/03/01','2023/03/01',4);</v>
      </c>
      <c r="BV189" s="322" t="s">
        <v>2436</v>
      </c>
    </row>
    <row r="190" spans="6:74" ht="90.35" customHeight="1" outlineLevel="1" thickBot="1" x14ac:dyDescent="0.35">
      <c r="F190" s="160">
        <f t="shared" si="114"/>
        <v>61</v>
      </c>
      <c r="G190" s="160">
        <f t="shared" si="114"/>
        <v>7</v>
      </c>
      <c r="H190" s="160" t="s">
        <v>2124</v>
      </c>
      <c r="I190" s="160" t="str">
        <f t="shared" si="90"/>
        <v>tache7</v>
      </c>
      <c r="J190" s="160" t="s">
        <v>1867</v>
      </c>
      <c r="K190" s="160" t="s">
        <v>2375</v>
      </c>
      <c r="L190" s="160" t="s">
        <v>1879</v>
      </c>
      <c r="M190" s="329">
        <f>Q189+1</f>
        <v>44987</v>
      </c>
      <c r="N190" s="329">
        <f t="shared" si="108"/>
        <v>44987</v>
      </c>
      <c r="O190" s="329">
        <f>N190+0</f>
        <v>44987</v>
      </c>
      <c r="P190" s="329">
        <f>O190+0</f>
        <v>44987</v>
      </c>
      <c r="Q190" s="329">
        <f>P190</f>
        <v>44987</v>
      </c>
      <c r="R190" s="160">
        <v>4</v>
      </c>
      <c r="S190" s="160">
        <f t="shared" si="91"/>
        <v>2</v>
      </c>
      <c r="T190" s="160" t="s">
        <v>1922</v>
      </c>
      <c r="U190" s="322" t="str">
        <f t="shared" si="92"/>
        <v>TACHES</v>
      </c>
      <c r="V190" s="160" t="s">
        <v>2088</v>
      </c>
      <c r="W190" s="189" t="s">
        <v>355</v>
      </c>
      <c r="X190" s="360" t="s">
        <v>2020</v>
      </c>
      <c r="Y190" s="189" t="s">
        <v>337</v>
      </c>
      <c r="Z190" s="360" t="s">
        <v>2020</v>
      </c>
      <c r="AA190" s="189" t="s">
        <v>340</v>
      </c>
      <c r="AB190" s="360" t="s">
        <v>2020</v>
      </c>
      <c r="AC190" s="189" t="s">
        <v>266</v>
      </c>
      <c r="AD190" s="360" t="s">
        <v>2020</v>
      </c>
      <c r="AE190" s="189" t="s">
        <v>244</v>
      </c>
      <c r="AF190" s="360" t="s">
        <v>2020</v>
      </c>
      <c r="AG190" s="189" t="s">
        <v>296</v>
      </c>
      <c r="AH190" s="360" t="s">
        <v>2020</v>
      </c>
      <c r="AI190" s="189" t="s">
        <v>298</v>
      </c>
      <c r="AJ190" s="360" t="s">
        <v>2020</v>
      </c>
      <c r="AK190" s="189" t="s">
        <v>299</v>
      </c>
      <c r="AL190" s="360" t="s">
        <v>2020</v>
      </c>
      <c r="AM190" s="189" t="s">
        <v>300</v>
      </c>
      <c r="AN190" s="360" t="s">
        <v>2020</v>
      </c>
      <c r="AO190" s="189" t="s">
        <v>301</v>
      </c>
      <c r="AP190" s="360" t="s">
        <v>2020</v>
      </c>
      <c r="AQ190" s="192" t="s">
        <v>302</v>
      </c>
      <c r="AR190" s="360" t="s">
        <v>2020</v>
      </c>
      <c r="AS190" s="295" t="s">
        <v>287</v>
      </c>
      <c r="AT190" s="360"/>
      <c r="AU190" s="322"/>
      <c r="AV190" s="360" t="s">
        <v>2089</v>
      </c>
      <c r="AW190" s="160">
        <f t="shared" si="93"/>
        <v>7</v>
      </c>
      <c r="AX190" s="360" t="s">
        <v>2091</v>
      </c>
      <c r="AY190" s="160" t="str">
        <f t="shared" si="94"/>
        <v>tache7</v>
      </c>
      <c r="AZ190" s="360" t="s">
        <v>2091</v>
      </c>
      <c r="BA190" s="160" t="str">
        <f t="shared" si="95"/>
        <v>tache7</v>
      </c>
      <c r="BB190" s="360" t="s">
        <v>2091</v>
      </c>
      <c r="BC190" s="160" t="str">
        <f t="shared" si="96"/>
        <v>Vitale</v>
      </c>
      <c r="BD190" s="360" t="s">
        <v>2091</v>
      </c>
      <c r="BE190" s="160" t="str">
        <f t="shared" si="97"/>
        <v>Terminer</v>
      </c>
      <c r="BF190" s="360" t="s">
        <v>2091</v>
      </c>
      <c r="BG190" s="160" t="str">
        <f t="shared" si="98"/>
        <v>Realisation</v>
      </c>
      <c r="BH190" s="360" t="s">
        <v>2091</v>
      </c>
      <c r="BI190" s="371" t="str">
        <f t="shared" ca="1" si="99"/>
        <v>2023/03/02</v>
      </c>
      <c r="BJ190" s="360" t="s">
        <v>2091</v>
      </c>
      <c r="BK190" s="329" t="str">
        <f t="shared" ca="1" si="100"/>
        <v>2023/03/02</v>
      </c>
      <c r="BL190" s="360" t="s">
        <v>2091</v>
      </c>
      <c r="BM190" s="329" t="str">
        <f t="shared" ca="1" si="101"/>
        <v>2023/03/02</v>
      </c>
      <c r="BN190" s="360" t="s">
        <v>2091</v>
      </c>
      <c r="BO190" s="329" t="str">
        <f t="shared" ca="1" si="102"/>
        <v>2023/03/02</v>
      </c>
      <c r="BP190" s="360" t="s">
        <v>2091</v>
      </c>
      <c r="BQ190" s="329" t="str">
        <f t="shared" ca="1" si="103"/>
        <v>2023/03/02</v>
      </c>
      <c r="BR190" s="360" t="s">
        <v>2093</v>
      </c>
      <c r="BS190" s="160">
        <f t="shared" si="104"/>
        <v>4</v>
      </c>
      <c r="BT190" s="160" t="s">
        <v>2021</v>
      </c>
      <c r="BU190" s="322" t="str">
        <f t="shared" ca="1" si="105"/>
        <v>INSERT INTO TACHES(numTache,nameTache,descriptionTache,prioTache,stateTache,categoryTache,dateCreateTache,dateInProgressTache,dateToTestTache,dateEndThTache,dateEndRealTache,idProjet) VALUES ('7','tache7','tache7','Vitale','Terminer','Realisation','2023/03/02','2023/03/02','2023/03/02','2023/03/02','2023/03/02',4);</v>
      </c>
      <c r="BV190" s="322" t="s">
        <v>2437</v>
      </c>
    </row>
    <row r="191" spans="6:74" ht="20.05" customHeight="1" outlineLevel="1" thickBot="1" x14ac:dyDescent="0.35">
      <c r="F191" s="160">
        <f t="shared" si="114"/>
        <v>62</v>
      </c>
      <c r="G191" s="160">
        <f t="shared" si="114"/>
        <v>8</v>
      </c>
      <c r="H191" s="160" t="s">
        <v>2125</v>
      </c>
      <c r="I191" s="160" t="str">
        <f t="shared" si="90"/>
        <v>tache8</v>
      </c>
      <c r="J191" s="160" t="s">
        <v>1869</v>
      </c>
      <c r="K191" s="160" t="s">
        <v>2375</v>
      </c>
      <c r="L191" s="160" t="s">
        <v>1879</v>
      </c>
      <c r="M191" s="329">
        <f>Q198+1</f>
        <v>44993</v>
      </c>
      <c r="N191" s="329">
        <f t="shared" si="108"/>
        <v>44993</v>
      </c>
      <c r="O191" s="329">
        <f>M191</f>
        <v>44993</v>
      </c>
      <c r="P191" s="329">
        <f>M191</f>
        <v>44993</v>
      </c>
      <c r="Q191" s="329">
        <f>M191</f>
        <v>44993</v>
      </c>
      <c r="R191" s="160">
        <v>4</v>
      </c>
      <c r="S191" s="160">
        <f t="shared" si="91"/>
        <v>2</v>
      </c>
      <c r="T191" s="160" t="s">
        <v>1922</v>
      </c>
      <c r="U191" s="322" t="str">
        <f t="shared" si="92"/>
        <v>TACHES</v>
      </c>
      <c r="V191" s="160" t="s">
        <v>2088</v>
      </c>
      <c r="W191" s="189" t="s">
        <v>355</v>
      </c>
      <c r="X191" s="360" t="s">
        <v>2020</v>
      </c>
      <c r="Y191" s="189" t="s">
        <v>337</v>
      </c>
      <c r="Z191" s="360" t="s">
        <v>2020</v>
      </c>
      <c r="AA191" s="189" t="s">
        <v>340</v>
      </c>
      <c r="AB191" s="360" t="s">
        <v>2020</v>
      </c>
      <c r="AC191" s="189" t="s">
        <v>266</v>
      </c>
      <c r="AD191" s="360" t="s">
        <v>2020</v>
      </c>
      <c r="AE191" s="189" t="s">
        <v>244</v>
      </c>
      <c r="AF191" s="360" t="s">
        <v>2020</v>
      </c>
      <c r="AG191" s="189" t="s">
        <v>296</v>
      </c>
      <c r="AH191" s="360" t="s">
        <v>2020</v>
      </c>
      <c r="AI191" s="189" t="s">
        <v>298</v>
      </c>
      <c r="AJ191" s="360" t="s">
        <v>2020</v>
      </c>
      <c r="AK191" s="189" t="s">
        <v>299</v>
      </c>
      <c r="AL191" s="360" t="s">
        <v>2020</v>
      </c>
      <c r="AM191" s="189" t="s">
        <v>300</v>
      </c>
      <c r="AN191" s="360" t="s">
        <v>2020</v>
      </c>
      <c r="AO191" s="189" t="s">
        <v>301</v>
      </c>
      <c r="AP191" s="360" t="s">
        <v>2020</v>
      </c>
      <c r="AQ191" s="192" t="s">
        <v>302</v>
      </c>
      <c r="AR191" s="360" t="s">
        <v>2020</v>
      </c>
      <c r="AS191" s="295" t="s">
        <v>287</v>
      </c>
      <c r="AT191" s="360"/>
      <c r="AU191" s="322"/>
      <c r="AV191" s="360" t="s">
        <v>2089</v>
      </c>
      <c r="AW191" s="160">
        <f t="shared" si="93"/>
        <v>8</v>
      </c>
      <c r="AX191" s="360" t="s">
        <v>2091</v>
      </c>
      <c r="AY191" s="160" t="str">
        <f t="shared" si="94"/>
        <v>tache8</v>
      </c>
      <c r="AZ191" s="360" t="s">
        <v>2091</v>
      </c>
      <c r="BA191" s="160" t="str">
        <f t="shared" si="95"/>
        <v>tache8</v>
      </c>
      <c r="BB191" s="360" t="s">
        <v>2091</v>
      </c>
      <c r="BC191" s="160" t="str">
        <f t="shared" si="96"/>
        <v>Utile</v>
      </c>
      <c r="BD191" s="360" t="s">
        <v>2091</v>
      </c>
      <c r="BE191" s="160" t="str">
        <f t="shared" si="97"/>
        <v>Terminer</v>
      </c>
      <c r="BF191" s="360" t="s">
        <v>2091</v>
      </c>
      <c r="BG191" s="160" t="str">
        <f t="shared" si="98"/>
        <v>Realisation</v>
      </c>
      <c r="BH191" s="360" t="s">
        <v>2091</v>
      </c>
      <c r="BI191" s="371" t="str">
        <f t="shared" ca="1" si="99"/>
        <v>2023/03/08</v>
      </c>
      <c r="BJ191" s="360" t="s">
        <v>2091</v>
      </c>
      <c r="BK191" s="329" t="str">
        <f t="shared" ca="1" si="100"/>
        <v>2023/03/08</v>
      </c>
      <c r="BL191" s="360" t="s">
        <v>2091</v>
      </c>
      <c r="BM191" s="329" t="str">
        <f t="shared" ca="1" si="101"/>
        <v>2023/03/08</v>
      </c>
      <c r="BN191" s="360" t="s">
        <v>2091</v>
      </c>
      <c r="BO191" s="329" t="str">
        <f t="shared" ca="1" si="102"/>
        <v>2023/03/08</v>
      </c>
      <c r="BP191" s="360" t="s">
        <v>2091</v>
      </c>
      <c r="BQ191" s="329" t="str">
        <f t="shared" ca="1" si="103"/>
        <v>2023/03/08</v>
      </c>
      <c r="BR191" s="360" t="s">
        <v>2093</v>
      </c>
      <c r="BS191" s="160">
        <f t="shared" si="104"/>
        <v>4</v>
      </c>
      <c r="BT191" s="160" t="s">
        <v>2021</v>
      </c>
      <c r="BU191" s="322" t="str">
        <f t="shared" ca="1" si="105"/>
        <v>INSERT INTO TACHES(numTache,nameTache,descriptionTache,prioTache,stateTache,categoryTache,dateCreateTache,dateInProgressTache,dateToTestTache,dateEndThTache,dateEndRealTache,idProjet) VALUES ('8','tache8','tache8','Utile','Terminer','Realisation','2023/03/08','2023/03/08','2023/03/08','2023/03/08','2023/03/08',4);</v>
      </c>
      <c r="BV191" s="322" t="s">
        <v>2438</v>
      </c>
    </row>
    <row r="192" spans="6:74" ht="20.05" customHeight="1" outlineLevel="1" thickBot="1" x14ac:dyDescent="0.35">
      <c r="F192" s="160">
        <f t="shared" si="114"/>
        <v>63</v>
      </c>
      <c r="G192" s="160">
        <f t="shared" si="114"/>
        <v>9</v>
      </c>
      <c r="H192" s="160" t="s">
        <v>2126</v>
      </c>
      <c r="I192" s="160" t="str">
        <f t="shared" si="90"/>
        <v>tache9</v>
      </c>
      <c r="J192" s="160" t="s">
        <v>1868</v>
      </c>
      <c r="K192" s="160" t="s">
        <v>2375</v>
      </c>
      <c r="L192" s="160" t="s">
        <v>1879</v>
      </c>
      <c r="M192" s="329">
        <f>Q200</f>
        <v>44991</v>
      </c>
      <c r="N192" s="329">
        <f t="shared" si="108"/>
        <v>44991</v>
      </c>
      <c r="O192" s="329">
        <f>M192</f>
        <v>44991</v>
      </c>
      <c r="P192" s="329">
        <f>M192</f>
        <v>44991</v>
      </c>
      <c r="Q192" s="329">
        <f>M192</f>
        <v>44991</v>
      </c>
      <c r="R192" s="160">
        <v>4</v>
      </c>
      <c r="S192" s="160">
        <f t="shared" si="91"/>
        <v>2</v>
      </c>
      <c r="T192" s="160" t="s">
        <v>1922</v>
      </c>
      <c r="U192" s="322" t="str">
        <f t="shared" si="92"/>
        <v>TACHES</v>
      </c>
      <c r="V192" s="160" t="s">
        <v>2088</v>
      </c>
      <c r="W192" s="189" t="s">
        <v>355</v>
      </c>
      <c r="X192" s="360" t="s">
        <v>2020</v>
      </c>
      <c r="Y192" s="189" t="s">
        <v>337</v>
      </c>
      <c r="Z192" s="360" t="s">
        <v>2020</v>
      </c>
      <c r="AA192" s="189" t="s">
        <v>340</v>
      </c>
      <c r="AB192" s="360" t="s">
        <v>2020</v>
      </c>
      <c r="AC192" s="189" t="s">
        <v>266</v>
      </c>
      <c r="AD192" s="360" t="s">
        <v>2020</v>
      </c>
      <c r="AE192" s="189" t="s">
        <v>244</v>
      </c>
      <c r="AF192" s="360" t="s">
        <v>2020</v>
      </c>
      <c r="AG192" s="189" t="s">
        <v>296</v>
      </c>
      <c r="AH192" s="360" t="s">
        <v>2020</v>
      </c>
      <c r="AI192" s="189" t="s">
        <v>298</v>
      </c>
      <c r="AJ192" s="360" t="s">
        <v>2020</v>
      </c>
      <c r="AK192" s="189" t="s">
        <v>299</v>
      </c>
      <c r="AL192" s="360" t="s">
        <v>2020</v>
      </c>
      <c r="AM192" s="189" t="s">
        <v>300</v>
      </c>
      <c r="AN192" s="360" t="s">
        <v>2020</v>
      </c>
      <c r="AO192" s="189" t="s">
        <v>301</v>
      </c>
      <c r="AP192" s="360" t="s">
        <v>2020</v>
      </c>
      <c r="AQ192" s="192" t="s">
        <v>302</v>
      </c>
      <c r="AR192" s="360" t="s">
        <v>2020</v>
      </c>
      <c r="AS192" s="295" t="s">
        <v>287</v>
      </c>
      <c r="AT192" s="360"/>
      <c r="AU192" s="322"/>
      <c r="AV192" s="360" t="s">
        <v>2089</v>
      </c>
      <c r="AW192" s="160">
        <f t="shared" si="93"/>
        <v>9</v>
      </c>
      <c r="AX192" s="360" t="s">
        <v>2091</v>
      </c>
      <c r="AY192" s="160" t="str">
        <f t="shared" si="94"/>
        <v>tache9</v>
      </c>
      <c r="AZ192" s="360" t="s">
        <v>2091</v>
      </c>
      <c r="BA192" s="160" t="str">
        <f t="shared" si="95"/>
        <v>tache9</v>
      </c>
      <c r="BB192" s="360" t="s">
        <v>2091</v>
      </c>
      <c r="BC192" s="160" t="str">
        <f t="shared" si="96"/>
        <v>Importante</v>
      </c>
      <c r="BD192" s="360" t="s">
        <v>2091</v>
      </c>
      <c r="BE192" s="160" t="str">
        <f t="shared" si="97"/>
        <v>Terminer</v>
      </c>
      <c r="BF192" s="360" t="s">
        <v>2091</v>
      </c>
      <c r="BG192" s="160" t="str">
        <f t="shared" si="98"/>
        <v>Realisation</v>
      </c>
      <c r="BH192" s="360" t="s">
        <v>2091</v>
      </c>
      <c r="BI192" s="371" t="str">
        <f t="shared" ca="1" si="99"/>
        <v>2023/03/06</v>
      </c>
      <c r="BJ192" s="360" t="s">
        <v>2091</v>
      </c>
      <c r="BK192" s="329" t="str">
        <f t="shared" ca="1" si="100"/>
        <v>2023/03/06</v>
      </c>
      <c r="BL192" s="360" t="s">
        <v>2091</v>
      </c>
      <c r="BM192" s="329" t="str">
        <f t="shared" ca="1" si="101"/>
        <v>2023/03/06</v>
      </c>
      <c r="BN192" s="360" t="s">
        <v>2091</v>
      </c>
      <c r="BO192" s="329" t="str">
        <f t="shared" ca="1" si="102"/>
        <v>2023/03/06</v>
      </c>
      <c r="BP192" s="360" t="s">
        <v>2091</v>
      </c>
      <c r="BQ192" s="329" t="str">
        <f t="shared" ca="1" si="103"/>
        <v>2023/03/06</v>
      </c>
      <c r="BR192" s="360" t="s">
        <v>2093</v>
      </c>
      <c r="BS192" s="160">
        <f t="shared" si="104"/>
        <v>4</v>
      </c>
      <c r="BT192" s="160" t="s">
        <v>2021</v>
      </c>
      <c r="BU192" s="322" t="str">
        <f t="shared" ca="1" si="105"/>
        <v>INSERT INTO TACHES(numTache,nameTache,descriptionTache,prioTache,stateTache,categoryTache,dateCreateTache,dateInProgressTache,dateToTestTache,dateEndThTache,dateEndRealTache,idProjet) VALUES ('9','tache9','tache9','Importante','Terminer','Realisation','2023/03/06','2023/03/06','2023/03/06','2023/03/06','2023/03/06',4);</v>
      </c>
      <c r="BV192" s="322" t="s">
        <v>2439</v>
      </c>
    </row>
    <row r="193" spans="6:74" ht="20.05" customHeight="1" outlineLevel="1" thickBot="1" x14ac:dyDescent="0.35">
      <c r="F193" s="160">
        <f t="shared" si="114"/>
        <v>64</v>
      </c>
      <c r="G193" s="160">
        <f t="shared" si="114"/>
        <v>10</v>
      </c>
      <c r="H193" s="160" t="s">
        <v>2127</v>
      </c>
      <c r="I193" s="160" t="str">
        <f t="shared" si="90"/>
        <v>tache10</v>
      </c>
      <c r="J193" s="160" t="s">
        <v>1867</v>
      </c>
      <c r="K193" s="160" t="s">
        <v>2375</v>
      </c>
      <c r="L193" s="160" t="s">
        <v>1879</v>
      </c>
      <c r="M193" s="329">
        <f>Q190+1</f>
        <v>44988</v>
      </c>
      <c r="N193" s="329">
        <f t="shared" si="108"/>
        <v>44988</v>
      </c>
      <c r="O193" s="329">
        <f>M193</f>
        <v>44988</v>
      </c>
      <c r="P193" s="329">
        <f>M193</f>
        <v>44988</v>
      </c>
      <c r="Q193" s="329">
        <f>P193+0</f>
        <v>44988</v>
      </c>
      <c r="R193" s="160">
        <v>4</v>
      </c>
      <c r="S193" s="160">
        <f t="shared" si="91"/>
        <v>2</v>
      </c>
      <c r="T193" s="160" t="s">
        <v>1922</v>
      </c>
      <c r="U193" s="322" t="str">
        <f t="shared" si="92"/>
        <v>TACHES</v>
      </c>
      <c r="V193" s="160" t="s">
        <v>2088</v>
      </c>
      <c r="W193" s="189" t="s">
        <v>355</v>
      </c>
      <c r="X193" s="360" t="s">
        <v>2020</v>
      </c>
      <c r="Y193" s="189" t="s">
        <v>337</v>
      </c>
      <c r="Z193" s="360" t="s">
        <v>2020</v>
      </c>
      <c r="AA193" s="189" t="s">
        <v>340</v>
      </c>
      <c r="AB193" s="360" t="s">
        <v>2020</v>
      </c>
      <c r="AC193" s="189" t="s">
        <v>266</v>
      </c>
      <c r="AD193" s="360" t="s">
        <v>2020</v>
      </c>
      <c r="AE193" s="189" t="s">
        <v>244</v>
      </c>
      <c r="AF193" s="360" t="s">
        <v>2020</v>
      </c>
      <c r="AG193" s="189" t="s">
        <v>296</v>
      </c>
      <c r="AH193" s="360" t="s">
        <v>2020</v>
      </c>
      <c r="AI193" s="189" t="s">
        <v>298</v>
      </c>
      <c r="AJ193" s="360" t="s">
        <v>2020</v>
      </c>
      <c r="AK193" s="189" t="s">
        <v>299</v>
      </c>
      <c r="AL193" s="360" t="s">
        <v>2020</v>
      </c>
      <c r="AM193" s="189" t="s">
        <v>300</v>
      </c>
      <c r="AN193" s="360" t="s">
        <v>2020</v>
      </c>
      <c r="AO193" s="189" t="s">
        <v>301</v>
      </c>
      <c r="AP193" s="360" t="s">
        <v>2020</v>
      </c>
      <c r="AQ193" s="192" t="s">
        <v>302</v>
      </c>
      <c r="AR193" s="360" t="s">
        <v>2020</v>
      </c>
      <c r="AS193" s="295" t="s">
        <v>287</v>
      </c>
      <c r="AT193" s="360"/>
      <c r="AU193" s="322"/>
      <c r="AV193" s="360" t="s">
        <v>2089</v>
      </c>
      <c r="AW193" s="160">
        <f t="shared" si="93"/>
        <v>10</v>
      </c>
      <c r="AX193" s="360" t="s">
        <v>2091</v>
      </c>
      <c r="AY193" s="160" t="str">
        <f t="shared" si="94"/>
        <v>tache10</v>
      </c>
      <c r="AZ193" s="360" t="s">
        <v>2091</v>
      </c>
      <c r="BA193" s="160" t="str">
        <f t="shared" si="95"/>
        <v>tache10</v>
      </c>
      <c r="BB193" s="360" t="s">
        <v>2091</v>
      </c>
      <c r="BC193" s="160" t="str">
        <f t="shared" si="96"/>
        <v>Vitale</v>
      </c>
      <c r="BD193" s="360" t="s">
        <v>2091</v>
      </c>
      <c r="BE193" s="160" t="str">
        <f t="shared" si="97"/>
        <v>Terminer</v>
      </c>
      <c r="BF193" s="360" t="s">
        <v>2091</v>
      </c>
      <c r="BG193" s="160" t="str">
        <f t="shared" si="98"/>
        <v>Realisation</v>
      </c>
      <c r="BH193" s="360" t="s">
        <v>2091</v>
      </c>
      <c r="BI193" s="371" t="str">
        <f t="shared" ca="1" si="99"/>
        <v>2023/03/03</v>
      </c>
      <c r="BJ193" s="360" t="s">
        <v>2091</v>
      </c>
      <c r="BK193" s="329" t="str">
        <f t="shared" ca="1" si="100"/>
        <v>2023/03/03</v>
      </c>
      <c r="BL193" s="360" t="s">
        <v>2091</v>
      </c>
      <c r="BM193" s="329" t="str">
        <f t="shared" ca="1" si="101"/>
        <v>2023/03/03</v>
      </c>
      <c r="BN193" s="360" t="s">
        <v>2091</v>
      </c>
      <c r="BO193" s="329" t="str">
        <f t="shared" ca="1" si="102"/>
        <v>2023/03/03</v>
      </c>
      <c r="BP193" s="360" t="s">
        <v>2091</v>
      </c>
      <c r="BQ193" s="329" t="str">
        <f t="shared" ca="1" si="103"/>
        <v>2023/03/03</v>
      </c>
      <c r="BR193" s="360" t="s">
        <v>2093</v>
      </c>
      <c r="BS193" s="160">
        <f t="shared" si="104"/>
        <v>4</v>
      </c>
      <c r="BT193" s="160" t="s">
        <v>2021</v>
      </c>
      <c r="BU193" s="322" t="str">
        <f t="shared" ca="1" si="105"/>
        <v>INSERT INTO TACHES(numTache,nameTache,descriptionTache,prioTache,stateTache,categoryTache,dateCreateTache,dateInProgressTache,dateToTestTache,dateEndThTache,dateEndRealTache,idProjet) VALUES ('10','tache10','tache10','Vitale','Terminer','Realisation','2023/03/03','2023/03/03','2023/03/03','2023/03/03','2023/03/03',4);</v>
      </c>
      <c r="BV193" s="322" t="s">
        <v>2440</v>
      </c>
    </row>
    <row r="194" spans="6:74" ht="20.05" customHeight="1" outlineLevel="1" thickBot="1" x14ac:dyDescent="0.35">
      <c r="F194" s="160">
        <f t="shared" si="114"/>
        <v>65</v>
      </c>
      <c r="G194" s="160">
        <f t="shared" si="114"/>
        <v>11</v>
      </c>
      <c r="H194" s="160" t="s">
        <v>2128</v>
      </c>
      <c r="I194" s="160" t="str">
        <f t="shared" ref="I194:I256" si="116">H194</f>
        <v>tache11</v>
      </c>
      <c r="J194" s="160" t="s">
        <v>1867</v>
      </c>
      <c r="K194" s="160" t="s">
        <v>2375</v>
      </c>
      <c r="L194" s="160" t="s">
        <v>1879</v>
      </c>
      <c r="M194" s="329">
        <f>Q193</f>
        <v>44988</v>
      </c>
      <c r="N194" s="329">
        <f t="shared" si="108"/>
        <v>44988</v>
      </c>
      <c r="O194" s="329">
        <f>M194</f>
        <v>44988</v>
      </c>
      <c r="P194" s="329">
        <f>M194</f>
        <v>44988</v>
      </c>
      <c r="Q194" s="329">
        <f>P194+0</f>
        <v>44988</v>
      </c>
      <c r="R194" s="160">
        <v>4</v>
      </c>
      <c r="S194" s="160">
        <f t="shared" si="91"/>
        <v>2</v>
      </c>
      <c r="T194" s="160" t="s">
        <v>1922</v>
      </c>
      <c r="U194" s="322" t="str">
        <f t="shared" si="92"/>
        <v>TACHES</v>
      </c>
      <c r="V194" s="160" t="s">
        <v>2088</v>
      </c>
      <c r="W194" s="189" t="s">
        <v>355</v>
      </c>
      <c r="X194" s="360" t="s">
        <v>2020</v>
      </c>
      <c r="Y194" s="189" t="s">
        <v>337</v>
      </c>
      <c r="Z194" s="360" t="s">
        <v>2020</v>
      </c>
      <c r="AA194" s="189" t="s">
        <v>340</v>
      </c>
      <c r="AB194" s="360" t="s">
        <v>2020</v>
      </c>
      <c r="AC194" s="189" t="s">
        <v>266</v>
      </c>
      <c r="AD194" s="360" t="s">
        <v>2020</v>
      </c>
      <c r="AE194" s="189" t="s">
        <v>244</v>
      </c>
      <c r="AF194" s="360" t="s">
        <v>2020</v>
      </c>
      <c r="AG194" s="189" t="s">
        <v>296</v>
      </c>
      <c r="AH194" s="360" t="s">
        <v>2020</v>
      </c>
      <c r="AI194" s="189" t="s">
        <v>298</v>
      </c>
      <c r="AJ194" s="360" t="s">
        <v>2020</v>
      </c>
      <c r="AK194" s="189" t="s">
        <v>299</v>
      </c>
      <c r="AL194" s="360" t="s">
        <v>2020</v>
      </c>
      <c r="AM194" s="189" t="s">
        <v>300</v>
      </c>
      <c r="AN194" s="360" t="s">
        <v>2020</v>
      </c>
      <c r="AO194" s="189" t="s">
        <v>301</v>
      </c>
      <c r="AP194" s="360" t="s">
        <v>2020</v>
      </c>
      <c r="AQ194" s="192" t="s">
        <v>302</v>
      </c>
      <c r="AR194" s="360" t="s">
        <v>2020</v>
      </c>
      <c r="AS194" s="295" t="s">
        <v>287</v>
      </c>
      <c r="AT194" s="360"/>
      <c r="AU194" s="322"/>
      <c r="AV194" s="360" t="s">
        <v>2089</v>
      </c>
      <c r="AW194" s="160">
        <f t="shared" si="93"/>
        <v>11</v>
      </c>
      <c r="AX194" s="360" t="s">
        <v>2091</v>
      </c>
      <c r="AY194" s="160" t="str">
        <f t="shared" si="94"/>
        <v>tache11</v>
      </c>
      <c r="AZ194" s="360" t="s">
        <v>2091</v>
      </c>
      <c r="BA194" s="160" t="str">
        <f t="shared" si="95"/>
        <v>tache11</v>
      </c>
      <c r="BB194" s="360" t="s">
        <v>2091</v>
      </c>
      <c r="BC194" s="160" t="str">
        <f t="shared" si="96"/>
        <v>Vitale</v>
      </c>
      <c r="BD194" s="360" t="s">
        <v>2091</v>
      </c>
      <c r="BE194" s="160" t="str">
        <f t="shared" si="97"/>
        <v>Terminer</v>
      </c>
      <c r="BF194" s="360" t="s">
        <v>2091</v>
      </c>
      <c r="BG194" s="160" t="str">
        <f t="shared" si="98"/>
        <v>Realisation</v>
      </c>
      <c r="BH194" s="360" t="s">
        <v>2091</v>
      </c>
      <c r="BI194" s="371" t="str">
        <f t="shared" ca="1" si="99"/>
        <v>2023/03/03</v>
      </c>
      <c r="BJ194" s="360" t="s">
        <v>2091</v>
      </c>
      <c r="BK194" s="329" t="str">
        <f t="shared" ca="1" si="100"/>
        <v>2023/03/03</v>
      </c>
      <c r="BL194" s="360" t="s">
        <v>2091</v>
      </c>
      <c r="BM194" s="329" t="str">
        <f t="shared" ca="1" si="101"/>
        <v>2023/03/03</v>
      </c>
      <c r="BN194" s="360" t="s">
        <v>2091</v>
      </c>
      <c r="BO194" s="329" t="str">
        <f t="shared" ca="1" si="102"/>
        <v>2023/03/03</v>
      </c>
      <c r="BP194" s="360" t="s">
        <v>2091</v>
      </c>
      <c r="BQ194" s="329" t="str">
        <f t="shared" ca="1" si="103"/>
        <v>2023/03/03</v>
      </c>
      <c r="BR194" s="360" t="s">
        <v>2093</v>
      </c>
      <c r="BS194" s="160">
        <f t="shared" si="104"/>
        <v>4</v>
      </c>
      <c r="BT194" s="160" t="s">
        <v>2021</v>
      </c>
      <c r="BU194" s="322" t="str">
        <f t="shared" ca="1" si="105"/>
        <v>INSERT INTO TACHES(numTache,nameTache,descriptionTache,prioTache,stateTache,categoryTache,dateCreateTache,dateInProgressTache,dateToTestTache,dateEndThTache,dateEndRealTache,idProjet) VALUES ('11','tache11','tache11','Vitale','Terminer','Realisation','2023/03/03','2023/03/03','2023/03/03','2023/03/03','2023/03/03',4);</v>
      </c>
      <c r="BV194" s="322" t="s">
        <v>2441</v>
      </c>
    </row>
    <row r="195" spans="6:74" ht="20.05" customHeight="1" outlineLevel="1" thickBot="1" x14ac:dyDescent="0.35">
      <c r="F195" s="160">
        <f t="shared" si="114"/>
        <v>66</v>
      </c>
      <c r="G195" s="160">
        <f t="shared" si="114"/>
        <v>12</v>
      </c>
      <c r="H195" s="160" t="s">
        <v>2129</v>
      </c>
      <c r="I195" s="160" t="str">
        <f t="shared" si="116"/>
        <v>tache12</v>
      </c>
      <c r="J195" s="160" t="s">
        <v>1867</v>
      </c>
      <c r="K195" s="160" t="s">
        <v>2375</v>
      </c>
      <c r="L195" s="160" t="s">
        <v>1879</v>
      </c>
      <c r="M195" s="329">
        <f>Q194</f>
        <v>44988</v>
      </c>
      <c r="N195" s="329">
        <f t="shared" si="108"/>
        <v>44988</v>
      </c>
      <c r="O195" s="329">
        <f>N195+0</f>
        <v>44988</v>
      </c>
      <c r="P195" s="329">
        <f>O195+0</f>
        <v>44988</v>
      </c>
      <c r="Q195" s="329">
        <f>P195</f>
        <v>44988</v>
      </c>
      <c r="R195" s="160">
        <v>4</v>
      </c>
      <c r="S195" s="160">
        <f t="shared" ref="S195:S256" si="117">NETWORKDAYS(N195,Q195)+1</f>
        <v>2</v>
      </c>
      <c r="T195" s="160" t="s">
        <v>1922</v>
      </c>
      <c r="U195" s="322" t="str">
        <f t="shared" ref="U195:U256" si="118">U194</f>
        <v>TACHES</v>
      </c>
      <c r="V195" s="160" t="s">
        <v>2088</v>
      </c>
      <c r="W195" s="189" t="s">
        <v>355</v>
      </c>
      <c r="X195" s="360" t="s">
        <v>2020</v>
      </c>
      <c r="Y195" s="189" t="s">
        <v>337</v>
      </c>
      <c r="Z195" s="360" t="s">
        <v>2020</v>
      </c>
      <c r="AA195" s="189" t="s">
        <v>340</v>
      </c>
      <c r="AB195" s="360" t="s">
        <v>2020</v>
      </c>
      <c r="AC195" s="189" t="s">
        <v>266</v>
      </c>
      <c r="AD195" s="360" t="s">
        <v>2020</v>
      </c>
      <c r="AE195" s="189" t="s">
        <v>244</v>
      </c>
      <c r="AF195" s="360" t="s">
        <v>2020</v>
      </c>
      <c r="AG195" s="189" t="s">
        <v>296</v>
      </c>
      <c r="AH195" s="360" t="s">
        <v>2020</v>
      </c>
      <c r="AI195" s="189" t="s">
        <v>298</v>
      </c>
      <c r="AJ195" s="360" t="s">
        <v>2020</v>
      </c>
      <c r="AK195" s="189" t="s">
        <v>299</v>
      </c>
      <c r="AL195" s="360" t="s">
        <v>2020</v>
      </c>
      <c r="AM195" s="189" t="s">
        <v>300</v>
      </c>
      <c r="AN195" s="360" t="s">
        <v>2020</v>
      </c>
      <c r="AO195" s="189" t="s">
        <v>301</v>
      </c>
      <c r="AP195" s="360" t="s">
        <v>2020</v>
      </c>
      <c r="AQ195" s="192" t="s">
        <v>302</v>
      </c>
      <c r="AR195" s="360" t="s">
        <v>2020</v>
      </c>
      <c r="AS195" s="295" t="s">
        <v>287</v>
      </c>
      <c r="AT195" s="360"/>
      <c r="AU195" s="322"/>
      <c r="AV195" s="360" t="s">
        <v>2089</v>
      </c>
      <c r="AW195" s="160">
        <f t="shared" ref="AW195:AW256" si="119">G195</f>
        <v>12</v>
      </c>
      <c r="AX195" s="360" t="s">
        <v>2091</v>
      </c>
      <c r="AY195" s="160" t="str">
        <f t="shared" ref="AY195:AY256" si="120">H195</f>
        <v>tache12</v>
      </c>
      <c r="AZ195" s="360" t="s">
        <v>2091</v>
      </c>
      <c r="BA195" s="160" t="str">
        <f t="shared" ref="BA195:BA256" si="121">I195</f>
        <v>tache12</v>
      </c>
      <c r="BB195" s="360" t="s">
        <v>2091</v>
      </c>
      <c r="BC195" s="160" t="str">
        <f t="shared" ref="BC195:BC256" si="122">J195</f>
        <v>Vitale</v>
      </c>
      <c r="BD195" s="360" t="s">
        <v>2091</v>
      </c>
      <c r="BE195" s="160" t="str">
        <f t="shared" ref="BE195:BE256" si="123">K195</f>
        <v>Terminer</v>
      </c>
      <c r="BF195" s="360" t="s">
        <v>2091</v>
      </c>
      <c r="BG195" s="160" t="str">
        <f t="shared" ref="BG195:BG256" si="124">L195</f>
        <v>Realisation</v>
      </c>
      <c r="BH195" s="360" t="s">
        <v>2091</v>
      </c>
      <c r="BI195" s="371" t="str">
        <f t="shared" ref="BI195:BI255" ca="1" si="125">IF(AND(M195&lt;=TODAY(),M195&lt;&gt;""),TEXT(M195,"aaaa/mm/jj"),"")</f>
        <v>2023/03/03</v>
      </c>
      <c r="BJ195" s="360" t="s">
        <v>2091</v>
      </c>
      <c r="BK195" s="329" t="str">
        <f t="shared" ref="BK195:BK256" ca="1" si="126">IF(AND(N195&lt;=TODAY(),N195&lt;&gt;""),TEXT(N195,"aaaa/mm/jj"),"")</f>
        <v>2023/03/03</v>
      </c>
      <c r="BL195" s="360" t="s">
        <v>2091</v>
      </c>
      <c r="BM195" s="329" t="str">
        <f t="shared" ref="BM195:BM256" ca="1" si="127">IF(AND(O195&lt;=TODAY(),O195&lt;&gt;""),TEXT(O195,"aaaa/mm/jj"),"")</f>
        <v>2023/03/03</v>
      </c>
      <c r="BN195" s="360" t="s">
        <v>2091</v>
      </c>
      <c r="BO195" s="329" t="str">
        <f t="shared" ref="BO195:BO256" ca="1" si="128">IF(AND(P195&lt;=TODAY(),P195&lt;&gt;""),TEXT(P195,"aaaa/mm/jj"),"")</f>
        <v>2023/03/03</v>
      </c>
      <c r="BP195" s="360" t="s">
        <v>2091</v>
      </c>
      <c r="BQ195" s="329" t="str">
        <f t="shared" ref="BQ195:BQ256" ca="1" si="129">IF(AND(Q195&lt;=TODAY(),Q195&lt;&gt;""),TEXT(Q195,"aaaa/mm/jj"),"")</f>
        <v>2023/03/03</v>
      </c>
      <c r="BR195" s="360" t="s">
        <v>2093</v>
      </c>
      <c r="BS195" s="160">
        <f t="shared" ref="BS195:BS256" si="130">R195</f>
        <v>4</v>
      </c>
      <c r="BT195" s="160" t="s">
        <v>2021</v>
      </c>
      <c r="BU195" s="322" t="str">
        <f t="shared" ref="BU195:BU256" ca="1" si="131">T195&amp;U195&amp;V195&amp;W195&amp;X195&amp;Y195&amp;Z195&amp;AA195&amp;AB195&amp;AC195&amp;AD195&amp;AE195&amp;AF195&amp;AG195&amp;AH195&amp;AI195&amp;AJ195&amp;AK195&amp;AL195&amp;AM195&amp;AN195&amp;AO195&amp;AP195&amp;AQ195&amp;AR195&amp;AS195&amp;AV195&amp;AW195&amp;AX195&amp;AY195&amp;AZ195&amp;BA195&amp;BB195&amp;BC195&amp;BD195&amp;BE195&amp;BF195&amp;BG195&amp;BH195&amp;BI195&amp;BJ195&amp;BK195&amp;BL195&amp;BM195&amp;BN195&amp;BO195&amp;BP195&amp;BQ195&amp;BR195&amp;BS195&amp;BT195</f>
        <v>INSERT INTO TACHES(numTache,nameTache,descriptionTache,prioTache,stateTache,categoryTache,dateCreateTache,dateInProgressTache,dateToTestTache,dateEndThTache,dateEndRealTache,idProjet) VALUES ('12','tache12','tache12','Vitale','Terminer','Realisation','2023/03/03','2023/03/03','2023/03/03','2023/03/03','2023/03/03',4);</v>
      </c>
      <c r="BV195" s="322" t="s">
        <v>2442</v>
      </c>
    </row>
    <row r="196" spans="6:74" ht="15.65" outlineLevel="1" thickBot="1" x14ac:dyDescent="0.35">
      <c r="F196" s="160">
        <f t="shared" ref="F196:G211" si="132">F195+1</f>
        <v>67</v>
      </c>
      <c r="G196" s="160">
        <f t="shared" si="132"/>
        <v>13</v>
      </c>
      <c r="H196" s="160" t="s">
        <v>2130</v>
      </c>
      <c r="I196" s="160" t="str">
        <f t="shared" si="116"/>
        <v>tache13</v>
      </c>
      <c r="J196" s="160" t="s">
        <v>1867</v>
      </c>
      <c r="K196" s="160" t="s">
        <v>2375</v>
      </c>
      <c r="L196" s="160" t="s">
        <v>1879</v>
      </c>
      <c r="M196" s="329">
        <f>Q195+1</f>
        <v>44989</v>
      </c>
      <c r="N196" s="329">
        <f t="shared" si="108"/>
        <v>44989</v>
      </c>
      <c r="O196" s="329">
        <f>M196</f>
        <v>44989</v>
      </c>
      <c r="P196" s="329">
        <f>M196</f>
        <v>44989</v>
      </c>
      <c r="Q196" s="329">
        <f>M196</f>
        <v>44989</v>
      </c>
      <c r="R196" s="160">
        <v>4</v>
      </c>
      <c r="S196" s="160">
        <f t="shared" si="117"/>
        <v>1</v>
      </c>
      <c r="T196" s="160" t="s">
        <v>1922</v>
      </c>
      <c r="U196" s="322" t="str">
        <f t="shared" si="118"/>
        <v>TACHES</v>
      </c>
      <c r="V196" s="160" t="s">
        <v>2088</v>
      </c>
      <c r="W196" s="189" t="s">
        <v>355</v>
      </c>
      <c r="X196" s="360" t="s">
        <v>2020</v>
      </c>
      <c r="Y196" s="189" t="s">
        <v>337</v>
      </c>
      <c r="Z196" s="360" t="s">
        <v>2020</v>
      </c>
      <c r="AA196" s="189" t="s">
        <v>340</v>
      </c>
      <c r="AB196" s="360" t="s">
        <v>2020</v>
      </c>
      <c r="AC196" s="189" t="s">
        <v>266</v>
      </c>
      <c r="AD196" s="360" t="s">
        <v>2020</v>
      </c>
      <c r="AE196" s="189" t="s">
        <v>244</v>
      </c>
      <c r="AF196" s="360" t="s">
        <v>2020</v>
      </c>
      <c r="AG196" s="189" t="s">
        <v>296</v>
      </c>
      <c r="AH196" s="360" t="s">
        <v>2020</v>
      </c>
      <c r="AI196" s="189" t="s">
        <v>298</v>
      </c>
      <c r="AJ196" s="360" t="s">
        <v>2020</v>
      </c>
      <c r="AK196" s="189" t="s">
        <v>299</v>
      </c>
      <c r="AL196" s="360" t="s">
        <v>2020</v>
      </c>
      <c r="AM196" s="189" t="s">
        <v>300</v>
      </c>
      <c r="AN196" s="360" t="s">
        <v>2020</v>
      </c>
      <c r="AO196" s="189" t="s">
        <v>301</v>
      </c>
      <c r="AP196" s="360" t="s">
        <v>2020</v>
      </c>
      <c r="AQ196" s="192" t="s">
        <v>302</v>
      </c>
      <c r="AR196" s="360" t="s">
        <v>2020</v>
      </c>
      <c r="AS196" s="295" t="s">
        <v>287</v>
      </c>
      <c r="AT196" s="360"/>
      <c r="AU196" s="322"/>
      <c r="AV196" s="360" t="s">
        <v>2089</v>
      </c>
      <c r="AW196" s="160">
        <f t="shared" si="119"/>
        <v>13</v>
      </c>
      <c r="AX196" s="360" t="s">
        <v>2091</v>
      </c>
      <c r="AY196" s="160" t="str">
        <f t="shared" si="120"/>
        <v>tache13</v>
      </c>
      <c r="AZ196" s="360" t="s">
        <v>2091</v>
      </c>
      <c r="BA196" s="160" t="str">
        <f t="shared" si="121"/>
        <v>tache13</v>
      </c>
      <c r="BB196" s="360" t="s">
        <v>2091</v>
      </c>
      <c r="BC196" s="160" t="str">
        <f t="shared" si="122"/>
        <v>Vitale</v>
      </c>
      <c r="BD196" s="360" t="s">
        <v>2091</v>
      </c>
      <c r="BE196" s="160" t="str">
        <f t="shared" si="123"/>
        <v>Terminer</v>
      </c>
      <c r="BF196" s="360" t="s">
        <v>2091</v>
      </c>
      <c r="BG196" s="160" t="str">
        <f t="shared" si="124"/>
        <v>Realisation</v>
      </c>
      <c r="BH196" s="360" t="s">
        <v>2091</v>
      </c>
      <c r="BI196" s="371" t="str">
        <f t="shared" ca="1" si="125"/>
        <v>2023/03/04</v>
      </c>
      <c r="BJ196" s="360" t="s">
        <v>2091</v>
      </c>
      <c r="BK196" s="329" t="str">
        <f t="shared" ca="1" si="126"/>
        <v>2023/03/04</v>
      </c>
      <c r="BL196" s="360" t="s">
        <v>2091</v>
      </c>
      <c r="BM196" s="329" t="str">
        <f t="shared" ca="1" si="127"/>
        <v>2023/03/04</v>
      </c>
      <c r="BN196" s="360" t="s">
        <v>2091</v>
      </c>
      <c r="BO196" s="329" t="str">
        <f t="shared" ca="1" si="128"/>
        <v>2023/03/04</v>
      </c>
      <c r="BP196" s="360" t="s">
        <v>2091</v>
      </c>
      <c r="BQ196" s="329" t="str">
        <f t="shared" ca="1" si="129"/>
        <v>2023/03/04</v>
      </c>
      <c r="BR196" s="360" t="s">
        <v>2093</v>
      </c>
      <c r="BS196" s="160">
        <f t="shared" si="130"/>
        <v>4</v>
      </c>
      <c r="BT196" s="160" t="s">
        <v>2021</v>
      </c>
      <c r="BU196" s="322" t="str">
        <f t="shared" ca="1" si="131"/>
        <v>INSERT INTO TACHES(numTache,nameTache,descriptionTache,prioTache,stateTache,categoryTache,dateCreateTache,dateInProgressTache,dateToTestTache,dateEndThTache,dateEndRealTache,idProjet) VALUES ('13','tache13','tache13','Vitale','Terminer','Realisation','2023/03/04','2023/03/04','2023/03/04','2023/03/04','2023/03/04',4);</v>
      </c>
      <c r="BV196" s="322" t="s">
        <v>2443</v>
      </c>
    </row>
    <row r="197" spans="6:74" ht="28.05" customHeight="1" outlineLevel="1" thickBot="1" x14ac:dyDescent="0.35">
      <c r="F197" s="160">
        <f t="shared" si="132"/>
        <v>68</v>
      </c>
      <c r="G197" s="160">
        <f t="shared" si="132"/>
        <v>14</v>
      </c>
      <c r="H197" s="160" t="s">
        <v>2131</v>
      </c>
      <c r="I197" s="160" t="str">
        <f t="shared" si="116"/>
        <v>tache14</v>
      </c>
      <c r="J197" s="160" t="s">
        <v>1867</v>
      </c>
      <c r="K197" s="160" t="s">
        <v>2375</v>
      </c>
      <c r="L197" s="160" t="s">
        <v>1879</v>
      </c>
      <c r="M197" s="329">
        <f>Q196+1</f>
        <v>44990</v>
      </c>
      <c r="N197" s="329">
        <f t="shared" si="108"/>
        <v>44990</v>
      </c>
      <c r="O197" s="329">
        <f>M197</f>
        <v>44990</v>
      </c>
      <c r="P197" s="329">
        <f>M197</f>
        <v>44990</v>
      </c>
      <c r="Q197" s="329">
        <f>M197</f>
        <v>44990</v>
      </c>
      <c r="R197" s="160">
        <v>4</v>
      </c>
      <c r="S197" s="160">
        <f t="shared" si="117"/>
        <v>1</v>
      </c>
      <c r="T197" s="160" t="s">
        <v>1922</v>
      </c>
      <c r="U197" s="322" t="str">
        <f t="shared" si="118"/>
        <v>TACHES</v>
      </c>
      <c r="V197" s="160" t="s">
        <v>2088</v>
      </c>
      <c r="W197" s="189" t="s">
        <v>355</v>
      </c>
      <c r="X197" s="360" t="s">
        <v>2020</v>
      </c>
      <c r="Y197" s="189" t="s">
        <v>337</v>
      </c>
      <c r="Z197" s="360" t="s">
        <v>2020</v>
      </c>
      <c r="AA197" s="189" t="s">
        <v>340</v>
      </c>
      <c r="AB197" s="360" t="s">
        <v>2020</v>
      </c>
      <c r="AC197" s="189" t="s">
        <v>266</v>
      </c>
      <c r="AD197" s="360" t="s">
        <v>2020</v>
      </c>
      <c r="AE197" s="189" t="s">
        <v>244</v>
      </c>
      <c r="AF197" s="360" t="s">
        <v>2020</v>
      </c>
      <c r="AG197" s="189" t="s">
        <v>296</v>
      </c>
      <c r="AH197" s="360" t="s">
        <v>2020</v>
      </c>
      <c r="AI197" s="189" t="s">
        <v>298</v>
      </c>
      <c r="AJ197" s="360" t="s">
        <v>2020</v>
      </c>
      <c r="AK197" s="189" t="s">
        <v>299</v>
      </c>
      <c r="AL197" s="360" t="s">
        <v>2020</v>
      </c>
      <c r="AM197" s="189" t="s">
        <v>300</v>
      </c>
      <c r="AN197" s="360" t="s">
        <v>2020</v>
      </c>
      <c r="AO197" s="189" t="s">
        <v>301</v>
      </c>
      <c r="AP197" s="360" t="s">
        <v>2020</v>
      </c>
      <c r="AQ197" s="192" t="s">
        <v>302</v>
      </c>
      <c r="AR197" s="360" t="s">
        <v>2020</v>
      </c>
      <c r="AS197" s="295" t="s">
        <v>287</v>
      </c>
      <c r="AT197" s="360"/>
      <c r="AU197" s="322"/>
      <c r="AV197" s="360" t="s">
        <v>2089</v>
      </c>
      <c r="AW197" s="160">
        <f t="shared" si="119"/>
        <v>14</v>
      </c>
      <c r="AX197" s="360" t="s">
        <v>2091</v>
      </c>
      <c r="AY197" s="160" t="str">
        <f t="shared" si="120"/>
        <v>tache14</v>
      </c>
      <c r="AZ197" s="360" t="s">
        <v>2091</v>
      </c>
      <c r="BA197" s="160" t="str">
        <f t="shared" si="121"/>
        <v>tache14</v>
      </c>
      <c r="BB197" s="360" t="s">
        <v>2091</v>
      </c>
      <c r="BC197" s="160" t="str">
        <f t="shared" si="122"/>
        <v>Vitale</v>
      </c>
      <c r="BD197" s="360" t="s">
        <v>2091</v>
      </c>
      <c r="BE197" s="160" t="str">
        <f t="shared" si="123"/>
        <v>Terminer</v>
      </c>
      <c r="BF197" s="360" t="s">
        <v>2091</v>
      </c>
      <c r="BG197" s="160" t="str">
        <f t="shared" si="124"/>
        <v>Realisation</v>
      </c>
      <c r="BH197" s="360" t="s">
        <v>2091</v>
      </c>
      <c r="BI197" s="371" t="str">
        <f t="shared" ca="1" si="125"/>
        <v>2023/03/05</v>
      </c>
      <c r="BJ197" s="360" t="s">
        <v>2091</v>
      </c>
      <c r="BK197" s="329" t="str">
        <f t="shared" ca="1" si="126"/>
        <v>2023/03/05</v>
      </c>
      <c r="BL197" s="360" t="s">
        <v>2091</v>
      </c>
      <c r="BM197" s="329" t="str">
        <f t="shared" ca="1" si="127"/>
        <v>2023/03/05</v>
      </c>
      <c r="BN197" s="360" t="s">
        <v>2091</v>
      </c>
      <c r="BO197" s="329" t="str">
        <f t="shared" ca="1" si="128"/>
        <v>2023/03/05</v>
      </c>
      <c r="BP197" s="360" t="s">
        <v>2091</v>
      </c>
      <c r="BQ197" s="329" t="str">
        <f t="shared" ca="1" si="129"/>
        <v>2023/03/05</v>
      </c>
      <c r="BR197" s="360" t="s">
        <v>2093</v>
      </c>
      <c r="BS197" s="160">
        <f t="shared" si="130"/>
        <v>4</v>
      </c>
      <c r="BT197" s="160" t="s">
        <v>2021</v>
      </c>
      <c r="BU197" s="322" t="str">
        <f t="shared" ca="1" si="131"/>
        <v>INSERT INTO TACHES(numTache,nameTache,descriptionTache,prioTache,stateTache,categoryTache,dateCreateTache,dateInProgressTache,dateToTestTache,dateEndThTache,dateEndRealTache,idProjet) VALUES ('14','tache14','tache14','Vitale','Terminer','Realisation','2023/03/05','2023/03/05','2023/03/05','2023/03/05','2023/03/05',4);</v>
      </c>
      <c r="BV197" s="322" t="s">
        <v>2444</v>
      </c>
    </row>
    <row r="198" spans="6:74" ht="30.05" customHeight="1" outlineLevel="1" thickBot="1" x14ac:dyDescent="0.35">
      <c r="F198" s="160">
        <f t="shared" si="132"/>
        <v>69</v>
      </c>
      <c r="G198" s="160">
        <f t="shared" si="132"/>
        <v>15</v>
      </c>
      <c r="H198" s="160" t="s">
        <v>2132</v>
      </c>
      <c r="I198" s="160" t="str">
        <f t="shared" si="116"/>
        <v>tache15</v>
      </c>
      <c r="J198" s="160" t="s">
        <v>1868</v>
      </c>
      <c r="K198" s="160" t="s">
        <v>2375</v>
      </c>
      <c r="L198" s="160" t="s">
        <v>1879</v>
      </c>
      <c r="M198" s="329">
        <f>Q192+1</f>
        <v>44992</v>
      </c>
      <c r="N198" s="329">
        <f t="shared" si="108"/>
        <v>44992</v>
      </c>
      <c r="O198" s="329">
        <f>M198</f>
        <v>44992</v>
      </c>
      <c r="P198" s="329">
        <f>M198</f>
        <v>44992</v>
      </c>
      <c r="Q198" s="329">
        <f>M198</f>
        <v>44992</v>
      </c>
      <c r="R198" s="160">
        <v>4</v>
      </c>
      <c r="S198" s="160">
        <f t="shared" si="117"/>
        <v>2</v>
      </c>
      <c r="T198" s="160" t="s">
        <v>1922</v>
      </c>
      <c r="U198" s="322" t="str">
        <f t="shared" si="118"/>
        <v>TACHES</v>
      </c>
      <c r="V198" s="160" t="s">
        <v>2088</v>
      </c>
      <c r="W198" s="189" t="s">
        <v>355</v>
      </c>
      <c r="X198" s="360" t="s">
        <v>2020</v>
      </c>
      <c r="Y198" s="189" t="s">
        <v>337</v>
      </c>
      <c r="Z198" s="360" t="s">
        <v>2020</v>
      </c>
      <c r="AA198" s="189" t="s">
        <v>340</v>
      </c>
      <c r="AB198" s="360" t="s">
        <v>2020</v>
      </c>
      <c r="AC198" s="189" t="s">
        <v>266</v>
      </c>
      <c r="AD198" s="360" t="s">
        <v>2020</v>
      </c>
      <c r="AE198" s="189" t="s">
        <v>244</v>
      </c>
      <c r="AF198" s="360" t="s">
        <v>2020</v>
      </c>
      <c r="AG198" s="189" t="s">
        <v>296</v>
      </c>
      <c r="AH198" s="360" t="s">
        <v>2020</v>
      </c>
      <c r="AI198" s="189" t="s">
        <v>298</v>
      </c>
      <c r="AJ198" s="360" t="s">
        <v>2020</v>
      </c>
      <c r="AK198" s="189" t="s">
        <v>299</v>
      </c>
      <c r="AL198" s="360" t="s">
        <v>2020</v>
      </c>
      <c r="AM198" s="189" t="s">
        <v>300</v>
      </c>
      <c r="AN198" s="360" t="s">
        <v>2020</v>
      </c>
      <c r="AO198" s="189" t="s">
        <v>301</v>
      </c>
      <c r="AP198" s="360" t="s">
        <v>2020</v>
      </c>
      <c r="AQ198" s="192" t="s">
        <v>302</v>
      </c>
      <c r="AR198" s="360" t="s">
        <v>2020</v>
      </c>
      <c r="AS198" s="295" t="s">
        <v>287</v>
      </c>
      <c r="AT198" s="360"/>
      <c r="AU198" s="322"/>
      <c r="AV198" s="360" t="s">
        <v>2089</v>
      </c>
      <c r="AW198" s="160">
        <f t="shared" si="119"/>
        <v>15</v>
      </c>
      <c r="AX198" s="360" t="s">
        <v>2091</v>
      </c>
      <c r="AY198" s="160" t="str">
        <f t="shared" si="120"/>
        <v>tache15</v>
      </c>
      <c r="AZ198" s="360" t="s">
        <v>2091</v>
      </c>
      <c r="BA198" s="160" t="str">
        <f t="shared" si="121"/>
        <v>tache15</v>
      </c>
      <c r="BB198" s="360" t="s">
        <v>2091</v>
      </c>
      <c r="BC198" s="160" t="str">
        <f t="shared" si="122"/>
        <v>Importante</v>
      </c>
      <c r="BD198" s="360" t="s">
        <v>2091</v>
      </c>
      <c r="BE198" s="160" t="str">
        <f t="shared" si="123"/>
        <v>Terminer</v>
      </c>
      <c r="BF198" s="360" t="s">
        <v>2091</v>
      </c>
      <c r="BG198" s="160" t="str">
        <f t="shared" si="124"/>
        <v>Realisation</v>
      </c>
      <c r="BH198" s="360" t="s">
        <v>2091</v>
      </c>
      <c r="BI198" s="371" t="str">
        <f t="shared" ca="1" si="125"/>
        <v>2023/03/07</v>
      </c>
      <c r="BJ198" s="360" t="s">
        <v>2091</v>
      </c>
      <c r="BK198" s="329" t="str">
        <f t="shared" ca="1" si="126"/>
        <v>2023/03/07</v>
      </c>
      <c r="BL198" s="360" t="s">
        <v>2091</v>
      </c>
      <c r="BM198" s="329" t="str">
        <f t="shared" ca="1" si="127"/>
        <v>2023/03/07</v>
      </c>
      <c r="BN198" s="360" t="s">
        <v>2091</v>
      </c>
      <c r="BO198" s="329" t="str">
        <f t="shared" ca="1" si="128"/>
        <v>2023/03/07</v>
      </c>
      <c r="BP198" s="360" t="s">
        <v>2091</v>
      </c>
      <c r="BQ198" s="329" t="str">
        <f t="shared" ca="1" si="129"/>
        <v>2023/03/07</v>
      </c>
      <c r="BR198" s="360" t="s">
        <v>2093</v>
      </c>
      <c r="BS198" s="160">
        <f t="shared" si="130"/>
        <v>4</v>
      </c>
      <c r="BT198" s="160" t="s">
        <v>2021</v>
      </c>
      <c r="BU198" s="322" t="str">
        <f t="shared" ca="1" si="131"/>
        <v>INSERT INTO TACHES(numTache,nameTache,descriptionTache,prioTache,stateTache,categoryTache,dateCreateTache,dateInProgressTache,dateToTestTache,dateEndThTache,dateEndRealTache,idProjet) VALUES ('15','tache15','tache15','Importante','Terminer','Realisation','2023/03/07','2023/03/07','2023/03/07','2023/03/07','2023/03/07',4);</v>
      </c>
      <c r="BV198" s="322" t="s">
        <v>2445</v>
      </c>
    </row>
    <row r="199" spans="6:74" ht="20.05" customHeight="1" outlineLevel="1" thickBot="1" x14ac:dyDescent="0.35">
      <c r="F199" s="160">
        <f t="shared" si="132"/>
        <v>70</v>
      </c>
      <c r="G199" s="160">
        <f t="shared" si="132"/>
        <v>16</v>
      </c>
      <c r="H199" s="160" t="s">
        <v>2133</v>
      </c>
      <c r="I199" s="160" t="str">
        <f t="shared" si="116"/>
        <v>tache16</v>
      </c>
      <c r="J199" s="160" t="s">
        <v>1870</v>
      </c>
      <c r="K199" s="160" t="s">
        <v>2375</v>
      </c>
      <c r="L199" s="160" t="s">
        <v>1879</v>
      </c>
      <c r="M199" s="329">
        <f>Q191+1</f>
        <v>44994</v>
      </c>
      <c r="N199" s="329">
        <f t="shared" si="108"/>
        <v>44994</v>
      </c>
      <c r="O199" s="329">
        <f>N199+0</f>
        <v>44994</v>
      </c>
      <c r="P199" s="329">
        <f>O199</f>
        <v>44994</v>
      </c>
      <c r="Q199" s="329">
        <f>P199</f>
        <v>44994</v>
      </c>
      <c r="R199" s="160">
        <v>4</v>
      </c>
      <c r="S199" s="160">
        <f t="shared" si="117"/>
        <v>2</v>
      </c>
      <c r="T199" s="160" t="s">
        <v>1922</v>
      </c>
      <c r="U199" s="322" t="str">
        <f t="shared" si="118"/>
        <v>TACHES</v>
      </c>
      <c r="V199" s="160" t="s">
        <v>2088</v>
      </c>
      <c r="W199" s="189" t="s">
        <v>355</v>
      </c>
      <c r="X199" s="360" t="s">
        <v>2020</v>
      </c>
      <c r="Y199" s="189" t="s">
        <v>337</v>
      </c>
      <c r="Z199" s="360" t="s">
        <v>2020</v>
      </c>
      <c r="AA199" s="189" t="s">
        <v>340</v>
      </c>
      <c r="AB199" s="360" t="s">
        <v>2020</v>
      </c>
      <c r="AC199" s="189" t="s">
        <v>266</v>
      </c>
      <c r="AD199" s="360" t="s">
        <v>2020</v>
      </c>
      <c r="AE199" s="189" t="s">
        <v>244</v>
      </c>
      <c r="AF199" s="360" t="s">
        <v>2020</v>
      </c>
      <c r="AG199" s="189" t="s">
        <v>296</v>
      </c>
      <c r="AH199" s="360" t="s">
        <v>2020</v>
      </c>
      <c r="AI199" s="189" t="s">
        <v>298</v>
      </c>
      <c r="AJ199" s="360" t="s">
        <v>2020</v>
      </c>
      <c r="AK199" s="189" t="s">
        <v>299</v>
      </c>
      <c r="AL199" s="360" t="s">
        <v>2020</v>
      </c>
      <c r="AM199" s="189" t="s">
        <v>300</v>
      </c>
      <c r="AN199" s="360" t="s">
        <v>2020</v>
      </c>
      <c r="AO199" s="189" t="s">
        <v>301</v>
      </c>
      <c r="AP199" s="360" t="s">
        <v>2020</v>
      </c>
      <c r="AQ199" s="192" t="s">
        <v>302</v>
      </c>
      <c r="AR199" s="360" t="s">
        <v>2020</v>
      </c>
      <c r="AS199" s="295" t="s">
        <v>287</v>
      </c>
      <c r="AT199" s="360"/>
      <c r="AU199" s="322"/>
      <c r="AV199" s="360" t="s">
        <v>2089</v>
      </c>
      <c r="AW199" s="160">
        <f t="shared" si="119"/>
        <v>16</v>
      </c>
      <c r="AX199" s="360" t="s">
        <v>2091</v>
      </c>
      <c r="AY199" s="160" t="str">
        <f t="shared" si="120"/>
        <v>tache16</v>
      </c>
      <c r="AZ199" s="360" t="s">
        <v>2091</v>
      </c>
      <c r="BA199" s="160" t="str">
        <f t="shared" si="121"/>
        <v>tache16</v>
      </c>
      <c r="BB199" s="360" t="s">
        <v>2091</v>
      </c>
      <c r="BC199" s="160" t="str">
        <f t="shared" si="122"/>
        <v>Confort</v>
      </c>
      <c r="BD199" s="360" t="s">
        <v>2091</v>
      </c>
      <c r="BE199" s="160" t="str">
        <f t="shared" si="123"/>
        <v>Terminer</v>
      </c>
      <c r="BF199" s="360" t="s">
        <v>2091</v>
      </c>
      <c r="BG199" s="160" t="str">
        <f t="shared" si="124"/>
        <v>Realisation</v>
      </c>
      <c r="BH199" s="360" t="s">
        <v>2091</v>
      </c>
      <c r="BI199" s="371" t="str">
        <f t="shared" ca="1" si="125"/>
        <v>2023/03/09</v>
      </c>
      <c r="BJ199" s="360" t="s">
        <v>2091</v>
      </c>
      <c r="BK199" s="329" t="str">
        <f t="shared" ca="1" si="126"/>
        <v>2023/03/09</v>
      </c>
      <c r="BL199" s="360" t="s">
        <v>2091</v>
      </c>
      <c r="BM199" s="329" t="str">
        <f t="shared" ca="1" si="127"/>
        <v>2023/03/09</v>
      </c>
      <c r="BN199" s="360" t="s">
        <v>2091</v>
      </c>
      <c r="BO199" s="329" t="str">
        <f t="shared" ca="1" si="128"/>
        <v>2023/03/09</v>
      </c>
      <c r="BP199" s="360" t="s">
        <v>2091</v>
      </c>
      <c r="BQ199" s="329" t="str">
        <f t="shared" ca="1" si="129"/>
        <v>2023/03/09</v>
      </c>
      <c r="BR199" s="360" t="s">
        <v>2093</v>
      </c>
      <c r="BS199" s="160">
        <f t="shared" si="130"/>
        <v>4</v>
      </c>
      <c r="BT199" s="160" t="s">
        <v>2021</v>
      </c>
      <c r="BU199" s="322" t="str">
        <f t="shared" ca="1" si="131"/>
        <v>INSERT INTO TACHES(numTache,nameTache,descriptionTache,prioTache,stateTache,categoryTache,dateCreateTache,dateInProgressTache,dateToTestTache,dateEndThTache,dateEndRealTache,idProjet) VALUES ('16','tache16','tache16','Confort','Terminer','Realisation','2023/03/09','2023/03/09','2023/03/09','2023/03/09','2023/03/09',4);</v>
      </c>
      <c r="BV199" s="322" t="s">
        <v>2446</v>
      </c>
    </row>
    <row r="200" spans="6:74" ht="20.05" customHeight="1" outlineLevel="1" thickBot="1" x14ac:dyDescent="0.35">
      <c r="F200" s="160">
        <f t="shared" si="132"/>
        <v>71</v>
      </c>
      <c r="G200" s="160">
        <f t="shared" si="132"/>
        <v>17</v>
      </c>
      <c r="H200" s="160" t="s">
        <v>2134</v>
      </c>
      <c r="I200" s="160" t="str">
        <f t="shared" si="116"/>
        <v>tache17</v>
      </c>
      <c r="J200" s="160" t="s">
        <v>1867</v>
      </c>
      <c r="K200" s="160" t="s">
        <v>2375</v>
      </c>
      <c r="L200" s="160" t="s">
        <v>1879</v>
      </c>
      <c r="M200" s="329">
        <f>Q197+1</f>
        <v>44991</v>
      </c>
      <c r="N200" s="329">
        <f t="shared" si="108"/>
        <v>44991</v>
      </c>
      <c r="O200" s="329">
        <f t="shared" ref="O200:O206" si="133">M200</f>
        <v>44991</v>
      </c>
      <c r="P200" s="329">
        <f>M200</f>
        <v>44991</v>
      </c>
      <c r="Q200" s="329">
        <f>P200+0</f>
        <v>44991</v>
      </c>
      <c r="R200" s="160">
        <v>4</v>
      </c>
      <c r="S200" s="160">
        <f t="shared" si="117"/>
        <v>2</v>
      </c>
      <c r="T200" s="160" t="s">
        <v>1922</v>
      </c>
      <c r="U200" s="322" t="str">
        <f t="shared" si="118"/>
        <v>TACHES</v>
      </c>
      <c r="V200" s="160" t="s">
        <v>2088</v>
      </c>
      <c r="W200" s="189" t="s">
        <v>355</v>
      </c>
      <c r="X200" s="360" t="s">
        <v>2020</v>
      </c>
      <c r="Y200" s="189" t="s">
        <v>337</v>
      </c>
      <c r="Z200" s="360" t="s">
        <v>2020</v>
      </c>
      <c r="AA200" s="189" t="s">
        <v>340</v>
      </c>
      <c r="AB200" s="360" t="s">
        <v>2020</v>
      </c>
      <c r="AC200" s="189" t="s">
        <v>266</v>
      </c>
      <c r="AD200" s="360" t="s">
        <v>2020</v>
      </c>
      <c r="AE200" s="189" t="s">
        <v>244</v>
      </c>
      <c r="AF200" s="360" t="s">
        <v>2020</v>
      </c>
      <c r="AG200" s="189" t="s">
        <v>296</v>
      </c>
      <c r="AH200" s="360" t="s">
        <v>2020</v>
      </c>
      <c r="AI200" s="189" t="s">
        <v>298</v>
      </c>
      <c r="AJ200" s="360" t="s">
        <v>2020</v>
      </c>
      <c r="AK200" s="189" t="s">
        <v>299</v>
      </c>
      <c r="AL200" s="360" t="s">
        <v>2020</v>
      </c>
      <c r="AM200" s="189" t="s">
        <v>300</v>
      </c>
      <c r="AN200" s="360" t="s">
        <v>2020</v>
      </c>
      <c r="AO200" s="189" t="s">
        <v>301</v>
      </c>
      <c r="AP200" s="360" t="s">
        <v>2020</v>
      </c>
      <c r="AQ200" s="192" t="s">
        <v>302</v>
      </c>
      <c r="AR200" s="360" t="s">
        <v>2020</v>
      </c>
      <c r="AS200" s="295" t="s">
        <v>287</v>
      </c>
      <c r="AT200" s="360"/>
      <c r="AU200" s="322"/>
      <c r="AV200" s="360" t="s">
        <v>2089</v>
      </c>
      <c r="AW200" s="160">
        <f t="shared" si="119"/>
        <v>17</v>
      </c>
      <c r="AX200" s="360" t="s">
        <v>2091</v>
      </c>
      <c r="AY200" s="160" t="str">
        <f t="shared" si="120"/>
        <v>tache17</v>
      </c>
      <c r="AZ200" s="360" t="s">
        <v>2091</v>
      </c>
      <c r="BA200" s="160" t="str">
        <f t="shared" si="121"/>
        <v>tache17</v>
      </c>
      <c r="BB200" s="360" t="s">
        <v>2091</v>
      </c>
      <c r="BC200" s="160" t="str">
        <f t="shared" si="122"/>
        <v>Vitale</v>
      </c>
      <c r="BD200" s="360" t="s">
        <v>2091</v>
      </c>
      <c r="BE200" s="160" t="str">
        <f t="shared" si="123"/>
        <v>Terminer</v>
      </c>
      <c r="BF200" s="360" t="s">
        <v>2091</v>
      </c>
      <c r="BG200" s="160" t="str">
        <f t="shared" si="124"/>
        <v>Realisation</v>
      </c>
      <c r="BH200" s="360" t="s">
        <v>2091</v>
      </c>
      <c r="BI200" s="371" t="str">
        <f t="shared" ca="1" si="125"/>
        <v>2023/03/06</v>
      </c>
      <c r="BJ200" s="360" t="s">
        <v>2091</v>
      </c>
      <c r="BK200" s="329" t="str">
        <f t="shared" ca="1" si="126"/>
        <v>2023/03/06</v>
      </c>
      <c r="BL200" s="360" t="s">
        <v>2091</v>
      </c>
      <c r="BM200" s="329" t="str">
        <f t="shared" ca="1" si="127"/>
        <v>2023/03/06</v>
      </c>
      <c r="BN200" s="360" t="s">
        <v>2091</v>
      </c>
      <c r="BO200" s="329" t="str">
        <f t="shared" ca="1" si="128"/>
        <v>2023/03/06</v>
      </c>
      <c r="BP200" s="360" t="s">
        <v>2091</v>
      </c>
      <c r="BQ200" s="329" t="str">
        <f t="shared" ca="1" si="129"/>
        <v>2023/03/06</v>
      </c>
      <c r="BR200" s="360" t="s">
        <v>2093</v>
      </c>
      <c r="BS200" s="160">
        <f t="shared" si="130"/>
        <v>4</v>
      </c>
      <c r="BT200" s="160" t="s">
        <v>2021</v>
      </c>
      <c r="BU200" s="322" t="str">
        <f t="shared" ca="1" si="131"/>
        <v>INSERT INTO TACHES(numTache,nameTache,descriptionTache,prioTache,stateTache,categoryTache,dateCreateTache,dateInProgressTache,dateToTestTache,dateEndThTache,dateEndRealTache,idProjet) VALUES ('17','tache17','tache17','Vitale','Terminer','Realisation','2023/03/06','2023/03/06','2023/03/06','2023/03/06','2023/03/06',4);</v>
      </c>
      <c r="BV200" s="322" t="s">
        <v>2447</v>
      </c>
    </row>
    <row r="201" spans="6:74" ht="28.2" customHeight="1" thickBot="1" x14ac:dyDescent="0.35">
      <c r="F201" s="160">
        <f t="shared" si="132"/>
        <v>72</v>
      </c>
      <c r="G201" s="160">
        <f t="shared" si="132"/>
        <v>18</v>
      </c>
      <c r="H201" s="160" t="s">
        <v>2135</v>
      </c>
      <c r="I201" s="160" t="str">
        <f t="shared" si="116"/>
        <v>tache18</v>
      </c>
      <c r="J201" s="160" t="s">
        <v>1867</v>
      </c>
      <c r="K201" s="160" t="s">
        <v>2375</v>
      </c>
      <c r="L201" s="160" t="s">
        <v>1880</v>
      </c>
      <c r="M201" s="329">
        <f>Q199+1</f>
        <v>44995</v>
      </c>
      <c r="N201" s="329">
        <f t="shared" si="108"/>
        <v>44995</v>
      </c>
      <c r="O201" s="329">
        <f t="shared" si="133"/>
        <v>44995</v>
      </c>
      <c r="P201" s="329">
        <f>O201+0</f>
        <v>44995</v>
      </c>
      <c r="Q201" s="329">
        <f>P201</f>
        <v>44995</v>
      </c>
      <c r="R201" s="160">
        <v>4</v>
      </c>
      <c r="S201" s="160">
        <f t="shared" si="117"/>
        <v>2</v>
      </c>
      <c r="T201" s="160" t="s">
        <v>1922</v>
      </c>
      <c r="U201" s="322" t="str">
        <f t="shared" si="118"/>
        <v>TACHES</v>
      </c>
      <c r="V201" s="160" t="s">
        <v>2088</v>
      </c>
      <c r="W201" s="189" t="s">
        <v>355</v>
      </c>
      <c r="X201" s="360" t="s">
        <v>2020</v>
      </c>
      <c r="Y201" s="189" t="s">
        <v>337</v>
      </c>
      <c r="Z201" s="360" t="s">
        <v>2020</v>
      </c>
      <c r="AA201" s="189" t="s">
        <v>340</v>
      </c>
      <c r="AB201" s="360" t="s">
        <v>2020</v>
      </c>
      <c r="AC201" s="189" t="s">
        <v>266</v>
      </c>
      <c r="AD201" s="360" t="s">
        <v>2020</v>
      </c>
      <c r="AE201" s="189" t="s">
        <v>244</v>
      </c>
      <c r="AF201" s="360" t="s">
        <v>2020</v>
      </c>
      <c r="AG201" s="189" t="s">
        <v>296</v>
      </c>
      <c r="AH201" s="360" t="s">
        <v>2020</v>
      </c>
      <c r="AI201" s="189" t="s">
        <v>298</v>
      </c>
      <c r="AJ201" s="360" t="s">
        <v>2020</v>
      </c>
      <c r="AK201" s="189" t="s">
        <v>299</v>
      </c>
      <c r="AL201" s="360" t="s">
        <v>2020</v>
      </c>
      <c r="AM201" s="189" t="s">
        <v>300</v>
      </c>
      <c r="AN201" s="360" t="s">
        <v>2020</v>
      </c>
      <c r="AO201" s="189" t="s">
        <v>301</v>
      </c>
      <c r="AP201" s="360" t="s">
        <v>2020</v>
      </c>
      <c r="AQ201" s="192" t="s">
        <v>302</v>
      </c>
      <c r="AR201" s="360" t="s">
        <v>2020</v>
      </c>
      <c r="AS201" s="295" t="s">
        <v>287</v>
      </c>
      <c r="AT201" s="360"/>
      <c r="AU201" s="322"/>
      <c r="AV201" s="360" t="s">
        <v>2089</v>
      </c>
      <c r="AW201" s="160">
        <f t="shared" si="119"/>
        <v>18</v>
      </c>
      <c r="AX201" s="360" t="s">
        <v>2091</v>
      </c>
      <c r="AY201" s="160" t="str">
        <f t="shared" si="120"/>
        <v>tache18</v>
      </c>
      <c r="AZ201" s="360" t="s">
        <v>2091</v>
      </c>
      <c r="BA201" s="160" t="str">
        <f t="shared" si="121"/>
        <v>tache18</v>
      </c>
      <c r="BB201" s="360" t="s">
        <v>2091</v>
      </c>
      <c r="BC201" s="160" t="str">
        <f t="shared" si="122"/>
        <v>Vitale</v>
      </c>
      <c r="BD201" s="360" t="s">
        <v>2091</v>
      </c>
      <c r="BE201" s="160" t="str">
        <f t="shared" si="123"/>
        <v>Terminer</v>
      </c>
      <c r="BF201" s="360" t="s">
        <v>2091</v>
      </c>
      <c r="BG201" s="160" t="str">
        <f t="shared" si="124"/>
        <v>Exploitation</v>
      </c>
      <c r="BH201" s="360" t="s">
        <v>2091</v>
      </c>
      <c r="BI201" s="371" t="str">
        <f t="shared" ca="1" si="125"/>
        <v>2023/03/10</v>
      </c>
      <c r="BJ201" s="360" t="s">
        <v>2091</v>
      </c>
      <c r="BK201" s="329" t="str">
        <f t="shared" ca="1" si="126"/>
        <v>2023/03/10</v>
      </c>
      <c r="BL201" s="360" t="s">
        <v>2091</v>
      </c>
      <c r="BM201" s="329" t="str">
        <f t="shared" ca="1" si="127"/>
        <v>2023/03/10</v>
      </c>
      <c r="BN201" s="360" t="s">
        <v>2091</v>
      </c>
      <c r="BO201" s="329" t="str">
        <f t="shared" ca="1" si="128"/>
        <v>2023/03/10</v>
      </c>
      <c r="BP201" s="360" t="s">
        <v>2091</v>
      </c>
      <c r="BQ201" s="329" t="str">
        <f t="shared" ca="1" si="129"/>
        <v>2023/03/10</v>
      </c>
      <c r="BR201" s="360" t="s">
        <v>2093</v>
      </c>
      <c r="BS201" s="160">
        <f t="shared" si="130"/>
        <v>4</v>
      </c>
      <c r="BT201" s="160" t="s">
        <v>2021</v>
      </c>
      <c r="BU201" s="322" t="str">
        <f t="shared" ca="1" si="131"/>
        <v>INSERT INTO TACHES(numTache,nameTache,descriptionTache,prioTache,stateTache,categoryTache,dateCreateTache,dateInProgressTache,dateToTestTache,dateEndThTache,dateEndRealTache,idProjet) VALUES ('18','tache18','tache18','Vitale','Terminer','Exploitation','2023/03/10','2023/03/10','2023/03/10','2023/03/10','2023/03/10',4);</v>
      </c>
      <c r="BV201" s="322" t="s">
        <v>2448</v>
      </c>
    </row>
    <row r="202" spans="6:74" ht="20.05" customHeight="1" outlineLevel="1" thickBot="1" x14ac:dyDescent="0.35">
      <c r="F202" s="160">
        <f t="shared" si="132"/>
        <v>73</v>
      </c>
      <c r="G202" s="160">
        <v>1</v>
      </c>
      <c r="H202" s="160" t="s">
        <v>2118</v>
      </c>
      <c r="I202" s="160" t="str">
        <f t="shared" si="116"/>
        <v>tache1</v>
      </c>
      <c r="J202" s="160" t="s">
        <v>1867</v>
      </c>
      <c r="K202" s="160" t="s">
        <v>2375</v>
      </c>
      <c r="L202" s="160" t="s">
        <v>1876</v>
      </c>
      <c r="M202" s="329">
        <v>44998</v>
      </c>
      <c r="N202" s="329">
        <f>M202</f>
        <v>44998</v>
      </c>
      <c r="O202" s="329">
        <f t="shared" si="133"/>
        <v>44998</v>
      </c>
      <c r="P202" s="329">
        <f>M202</f>
        <v>44998</v>
      </c>
      <c r="Q202" s="329">
        <f>M202</f>
        <v>44998</v>
      </c>
      <c r="R202" s="160">
        <v>5</v>
      </c>
      <c r="S202" s="160">
        <f t="shared" si="117"/>
        <v>2</v>
      </c>
      <c r="T202" s="160" t="s">
        <v>1922</v>
      </c>
      <c r="U202" s="322" t="str">
        <f t="shared" si="118"/>
        <v>TACHES</v>
      </c>
      <c r="V202" s="160" t="s">
        <v>2088</v>
      </c>
      <c r="W202" s="189" t="s">
        <v>355</v>
      </c>
      <c r="X202" s="360" t="s">
        <v>2020</v>
      </c>
      <c r="Y202" s="189" t="s">
        <v>337</v>
      </c>
      <c r="Z202" s="360" t="s">
        <v>2020</v>
      </c>
      <c r="AA202" s="189" t="s">
        <v>340</v>
      </c>
      <c r="AB202" s="360" t="s">
        <v>2020</v>
      </c>
      <c r="AC202" s="189" t="s">
        <v>266</v>
      </c>
      <c r="AD202" s="360" t="s">
        <v>2020</v>
      </c>
      <c r="AE202" s="189" t="s">
        <v>244</v>
      </c>
      <c r="AF202" s="360" t="s">
        <v>2020</v>
      </c>
      <c r="AG202" s="189" t="s">
        <v>296</v>
      </c>
      <c r="AH202" s="360" t="s">
        <v>2020</v>
      </c>
      <c r="AI202" s="189" t="s">
        <v>298</v>
      </c>
      <c r="AJ202" s="360" t="s">
        <v>2020</v>
      </c>
      <c r="AK202" s="189" t="s">
        <v>299</v>
      </c>
      <c r="AL202" s="360" t="s">
        <v>2020</v>
      </c>
      <c r="AM202" s="189" t="s">
        <v>300</v>
      </c>
      <c r="AN202" s="360" t="s">
        <v>2020</v>
      </c>
      <c r="AO202" s="189" t="s">
        <v>301</v>
      </c>
      <c r="AP202" s="360" t="s">
        <v>2020</v>
      </c>
      <c r="AQ202" s="192" t="s">
        <v>302</v>
      </c>
      <c r="AR202" s="360" t="s">
        <v>2020</v>
      </c>
      <c r="AS202" s="295" t="s">
        <v>287</v>
      </c>
      <c r="AT202" s="360"/>
      <c r="AU202" s="322"/>
      <c r="AV202" s="360" t="s">
        <v>2089</v>
      </c>
      <c r="AW202" s="160">
        <f t="shared" si="119"/>
        <v>1</v>
      </c>
      <c r="AX202" s="360" t="s">
        <v>2091</v>
      </c>
      <c r="AY202" s="160" t="str">
        <f t="shared" si="120"/>
        <v>tache1</v>
      </c>
      <c r="AZ202" s="360" t="s">
        <v>2091</v>
      </c>
      <c r="BA202" s="160" t="str">
        <f t="shared" si="121"/>
        <v>tache1</v>
      </c>
      <c r="BB202" s="360" t="s">
        <v>2091</v>
      </c>
      <c r="BC202" s="160" t="str">
        <f t="shared" si="122"/>
        <v>Vitale</v>
      </c>
      <c r="BD202" s="360" t="s">
        <v>2091</v>
      </c>
      <c r="BE202" s="160" t="str">
        <f t="shared" si="123"/>
        <v>Terminer</v>
      </c>
      <c r="BF202" s="360" t="s">
        <v>2091</v>
      </c>
      <c r="BG202" s="160" t="str">
        <f t="shared" si="124"/>
        <v>Initialisation</v>
      </c>
      <c r="BH202" s="360" t="s">
        <v>2091</v>
      </c>
      <c r="BI202" s="371" t="str">
        <f t="shared" ca="1" si="125"/>
        <v>2023/03/13</v>
      </c>
      <c r="BJ202" s="360" t="s">
        <v>2091</v>
      </c>
      <c r="BK202" s="329" t="str">
        <f t="shared" ca="1" si="126"/>
        <v>2023/03/13</v>
      </c>
      <c r="BL202" s="360" t="s">
        <v>2091</v>
      </c>
      <c r="BM202" s="329" t="str">
        <f t="shared" ca="1" si="127"/>
        <v>2023/03/13</v>
      </c>
      <c r="BN202" s="360" t="s">
        <v>2091</v>
      </c>
      <c r="BO202" s="329" t="str">
        <f t="shared" ca="1" si="128"/>
        <v>2023/03/13</v>
      </c>
      <c r="BP202" s="360" t="s">
        <v>2091</v>
      </c>
      <c r="BQ202" s="329" t="str">
        <f t="shared" ca="1" si="129"/>
        <v>2023/03/13</v>
      </c>
      <c r="BR202" s="360" t="s">
        <v>2093</v>
      </c>
      <c r="BS202" s="160">
        <f t="shared" si="130"/>
        <v>5</v>
      </c>
      <c r="BT202" s="160" t="s">
        <v>2021</v>
      </c>
      <c r="BU202" s="322" t="str">
        <f t="shared" ca="1" si="131"/>
        <v>INSERT INTO TACHES(numTache,nameTache,descriptionTache,prioTache,stateTache,categoryTache,dateCreateTache,dateInProgressTache,dateToTestTache,dateEndThTache,dateEndRealTache,idProjet) VALUES ('1','tache1','tache1','Vitale','Terminer','Initialisation','2023/03/13','2023/03/13','2023/03/13','2023/03/13','2023/03/13',5);</v>
      </c>
      <c r="BV202" s="322" t="s">
        <v>2449</v>
      </c>
    </row>
    <row r="203" spans="6:74" ht="20.05" customHeight="1" outlineLevel="1" thickBot="1" x14ac:dyDescent="0.35">
      <c r="F203" s="160">
        <f t="shared" si="132"/>
        <v>74</v>
      </c>
      <c r="G203" s="160">
        <f>G202+1</f>
        <v>2</v>
      </c>
      <c r="H203" s="160" t="s">
        <v>2119</v>
      </c>
      <c r="I203" s="160" t="str">
        <f t="shared" si="116"/>
        <v>tache2</v>
      </c>
      <c r="J203" s="160" t="s">
        <v>1867</v>
      </c>
      <c r="K203" s="160" t="s">
        <v>2375</v>
      </c>
      <c r="L203" s="160" t="s">
        <v>1876</v>
      </c>
      <c r="M203" s="329">
        <f>Q202</f>
        <v>44998</v>
      </c>
      <c r="N203" s="329">
        <f t="shared" si="108"/>
        <v>44998</v>
      </c>
      <c r="O203" s="329">
        <f t="shared" si="133"/>
        <v>44998</v>
      </c>
      <c r="P203" s="329">
        <f>M203</f>
        <v>44998</v>
      </c>
      <c r="Q203" s="329">
        <f>M203</f>
        <v>44998</v>
      </c>
      <c r="R203" s="160">
        <f>R202</f>
        <v>5</v>
      </c>
      <c r="S203" s="160">
        <f t="shared" si="117"/>
        <v>2</v>
      </c>
      <c r="T203" s="160" t="s">
        <v>1922</v>
      </c>
      <c r="U203" s="322" t="str">
        <f t="shared" si="118"/>
        <v>TACHES</v>
      </c>
      <c r="V203" s="160" t="s">
        <v>2088</v>
      </c>
      <c r="W203" s="189" t="s">
        <v>355</v>
      </c>
      <c r="X203" s="360" t="s">
        <v>2020</v>
      </c>
      <c r="Y203" s="189" t="s">
        <v>337</v>
      </c>
      <c r="Z203" s="360" t="s">
        <v>2020</v>
      </c>
      <c r="AA203" s="189" t="s">
        <v>340</v>
      </c>
      <c r="AB203" s="360" t="s">
        <v>2020</v>
      </c>
      <c r="AC203" s="189" t="s">
        <v>266</v>
      </c>
      <c r="AD203" s="360" t="s">
        <v>2020</v>
      </c>
      <c r="AE203" s="189" t="s">
        <v>244</v>
      </c>
      <c r="AF203" s="360" t="s">
        <v>2020</v>
      </c>
      <c r="AG203" s="189" t="s">
        <v>296</v>
      </c>
      <c r="AH203" s="360" t="s">
        <v>2020</v>
      </c>
      <c r="AI203" s="189" t="s">
        <v>298</v>
      </c>
      <c r="AJ203" s="360" t="s">
        <v>2020</v>
      </c>
      <c r="AK203" s="189" t="s">
        <v>299</v>
      </c>
      <c r="AL203" s="360" t="s">
        <v>2020</v>
      </c>
      <c r="AM203" s="189" t="s">
        <v>300</v>
      </c>
      <c r="AN203" s="360" t="s">
        <v>2020</v>
      </c>
      <c r="AO203" s="189" t="s">
        <v>301</v>
      </c>
      <c r="AP203" s="360" t="s">
        <v>2020</v>
      </c>
      <c r="AQ203" s="192" t="s">
        <v>302</v>
      </c>
      <c r="AR203" s="360" t="s">
        <v>2020</v>
      </c>
      <c r="AS203" s="295" t="s">
        <v>287</v>
      </c>
      <c r="AT203" s="360"/>
      <c r="AU203" s="322"/>
      <c r="AV203" s="360" t="s">
        <v>2089</v>
      </c>
      <c r="AW203" s="160">
        <f t="shared" si="119"/>
        <v>2</v>
      </c>
      <c r="AX203" s="360" t="s">
        <v>2091</v>
      </c>
      <c r="AY203" s="160" t="str">
        <f t="shared" si="120"/>
        <v>tache2</v>
      </c>
      <c r="AZ203" s="360" t="s">
        <v>2091</v>
      </c>
      <c r="BA203" s="160" t="str">
        <f t="shared" si="121"/>
        <v>tache2</v>
      </c>
      <c r="BB203" s="360" t="s">
        <v>2091</v>
      </c>
      <c r="BC203" s="160" t="str">
        <f t="shared" si="122"/>
        <v>Vitale</v>
      </c>
      <c r="BD203" s="360" t="s">
        <v>2091</v>
      </c>
      <c r="BE203" s="160" t="str">
        <f t="shared" si="123"/>
        <v>Terminer</v>
      </c>
      <c r="BF203" s="360" t="s">
        <v>2091</v>
      </c>
      <c r="BG203" s="160" t="str">
        <f t="shared" si="124"/>
        <v>Initialisation</v>
      </c>
      <c r="BH203" s="360" t="s">
        <v>2091</v>
      </c>
      <c r="BI203" s="371" t="str">
        <f t="shared" ca="1" si="125"/>
        <v>2023/03/13</v>
      </c>
      <c r="BJ203" s="360" t="s">
        <v>2091</v>
      </c>
      <c r="BK203" s="329" t="str">
        <f t="shared" ca="1" si="126"/>
        <v>2023/03/13</v>
      </c>
      <c r="BL203" s="360" t="s">
        <v>2091</v>
      </c>
      <c r="BM203" s="329" t="str">
        <f t="shared" ca="1" si="127"/>
        <v>2023/03/13</v>
      </c>
      <c r="BN203" s="360" t="s">
        <v>2091</v>
      </c>
      <c r="BO203" s="329" t="str">
        <f t="shared" ca="1" si="128"/>
        <v>2023/03/13</v>
      </c>
      <c r="BP203" s="360" t="s">
        <v>2091</v>
      </c>
      <c r="BQ203" s="329" t="str">
        <f t="shared" ca="1" si="129"/>
        <v>2023/03/13</v>
      </c>
      <c r="BR203" s="360" t="s">
        <v>2093</v>
      </c>
      <c r="BS203" s="160">
        <f t="shared" si="130"/>
        <v>5</v>
      </c>
      <c r="BT203" s="160" t="s">
        <v>2021</v>
      </c>
      <c r="BU203" s="322" t="str">
        <f t="shared" ca="1" si="131"/>
        <v>INSERT INTO TACHES(numTache,nameTache,descriptionTache,prioTache,stateTache,categoryTache,dateCreateTache,dateInProgressTache,dateToTestTache,dateEndThTache,dateEndRealTache,idProjet) VALUES ('2','tache2','tache2','Vitale','Terminer','Initialisation','2023/03/13','2023/03/13','2023/03/13','2023/03/13','2023/03/13',5);</v>
      </c>
      <c r="BV203" s="322" t="s">
        <v>2450</v>
      </c>
    </row>
    <row r="204" spans="6:74" ht="20.05" customHeight="1" outlineLevel="1" thickBot="1" x14ac:dyDescent="0.35">
      <c r="F204" s="160">
        <f t="shared" si="132"/>
        <v>75</v>
      </c>
      <c r="G204" s="160">
        <f t="shared" si="132"/>
        <v>3</v>
      </c>
      <c r="H204" s="160" t="s">
        <v>2120</v>
      </c>
      <c r="I204" s="160" t="str">
        <f t="shared" si="116"/>
        <v>tache3</v>
      </c>
      <c r="J204" s="160" t="s">
        <v>1867</v>
      </c>
      <c r="K204" s="160" t="s">
        <v>2375</v>
      </c>
      <c r="L204" s="160" t="s">
        <v>1877</v>
      </c>
      <c r="M204" s="329">
        <f>Q203</f>
        <v>44998</v>
      </c>
      <c r="N204" s="329">
        <f t="shared" si="108"/>
        <v>44998</v>
      </c>
      <c r="O204" s="329">
        <f t="shared" si="133"/>
        <v>44998</v>
      </c>
      <c r="P204" s="329">
        <f>M204</f>
        <v>44998</v>
      </c>
      <c r="Q204" s="329">
        <f>M204</f>
        <v>44998</v>
      </c>
      <c r="R204" s="160">
        <f t="shared" ref="R204:R219" si="134">R203</f>
        <v>5</v>
      </c>
      <c r="S204" s="160">
        <f t="shared" si="117"/>
        <v>2</v>
      </c>
      <c r="T204" s="160" t="s">
        <v>1922</v>
      </c>
      <c r="U204" s="322" t="str">
        <f t="shared" si="118"/>
        <v>TACHES</v>
      </c>
      <c r="V204" s="160" t="s">
        <v>2088</v>
      </c>
      <c r="W204" s="189" t="s">
        <v>355</v>
      </c>
      <c r="X204" s="360" t="s">
        <v>2020</v>
      </c>
      <c r="Y204" s="189" t="s">
        <v>337</v>
      </c>
      <c r="Z204" s="360" t="s">
        <v>2020</v>
      </c>
      <c r="AA204" s="189" t="s">
        <v>340</v>
      </c>
      <c r="AB204" s="360" t="s">
        <v>2020</v>
      </c>
      <c r="AC204" s="189" t="s">
        <v>266</v>
      </c>
      <c r="AD204" s="360" t="s">
        <v>2020</v>
      </c>
      <c r="AE204" s="189" t="s">
        <v>244</v>
      </c>
      <c r="AF204" s="360" t="s">
        <v>2020</v>
      </c>
      <c r="AG204" s="189" t="s">
        <v>296</v>
      </c>
      <c r="AH204" s="360" t="s">
        <v>2020</v>
      </c>
      <c r="AI204" s="189" t="s">
        <v>298</v>
      </c>
      <c r="AJ204" s="360" t="s">
        <v>2020</v>
      </c>
      <c r="AK204" s="189" t="s">
        <v>299</v>
      </c>
      <c r="AL204" s="360" t="s">
        <v>2020</v>
      </c>
      <c r="AM204" s="189" t="s">
        <v>300</v>
      </c>
      <c r="AN204" s="360" t="s">
        <v>2020</v>
      </c>
      <c r="AO204" s="189" t="s">
        <v>301</v>
      </c>
      <c r="AP204" s="360" t="s">
        <v>2020</v>
      </c>
      <c r="AQ204" s="192" t="s">
        <v>302</v>
      </c>
      <c r="AR204" s="360" t="s">
        <v>2020</v>
      </c>
      <c r="AS204" s="295" t="s">
        <v>287</v>
      </c>
      <c r="AT204" s="360"/>
      <c r="AU204" s="322"/>
      <c r="AV204" s="360" t="s">
        <v>2089</v>
      </c>
      <c r="AW204" s="160">
        <f t="shared" si="119"/>
        <v>3</v>
      </c>
      <c r="AX204" s="360" t="s">
        <v>2091</v>
      </c>
      <c r="AY204" s="160" t="str">
        <f t="shared" si="120"/>
        <v>tache3</v>
      </c>
      <c r="AZ204" s="360" t="s">
        <v>2091</v>
      </c>
      <c r="BA204" s="160" t="str">
        <f t="shared" si="121"/>
        <v>tache3</v>
      </c>
      <c r="BB204" s="360" t="s">
        <v>2091</v>
      </c>
      <c r="BC204" s="160" t="str">
        <f t="shared" si="122"/>
        <v>Vitale</v>
      </c>
      <c r="BD204" s="360" t="s">
        <v>2091</v>
      </c>
      <c r="BE204" s="160" t="str">
        <f t="shared" si="123"/>
        <v>Terminer</v>
      </c>
      <c r="BF204" s="360" t="s">
        <v>2091</v>
      </c>
      <c r="BG204" s="160" t="str">
        <f t="shared" si="124"/>
        <v>Analyse</v>
      </c>
      <c r="BH204" s="360" t="s">
        <v>2091</v>
      </c>
      <c r="BI204" s="371" t="str">
        <f t="shared" ca="1" si="125"/>
        <v>2023/03/13</v>
      </c>
      <c r="BJ204" s="360" t="s">
        <v>2091</v>
      </c>
      <c r="BK204" s="329" t="str">
        <f t="shared" ca="1" si="126"/>
        <v>2023/03/13</v>
      </c>
      <c r="BL204" s="360" t="s">
        <v>2091</v>
      </c>
      <c r="BM204" s="329" t="str">
        <f t="shared" ca="1" si="127"/>
        <v>2023/03/13</v>
      </c>
      <c r="BN204" s="360" t="s">
        <v>2091</v>
      </c>
      <c r="BO204" s="329" t="str">
        <f t="shared" ca="1" si="128"/>
        <v>2023/03/13</v>
      </c>
      <c r="BP204" s="360" t="s">
        <v>2091</v>
      </c>
      <c r="BQ204" s="329" t="str">
        <f t="shared" ca="1" si="129"/>
        <v>2023/03/13</v>
      </c>
      <c r="BR204" s="360" t="s">
        <v>2093</v>
      </c>
      <c r="BS204" s="160">
        <f t="shared" si="130"/>
        <v>5</v>
      </c>
      <c r="BT204" s="160" t="s">
        <v>2021</v>
      </c>
      <c r="BU204" s="322" t="str">
        <f t="shared" ca="1" si="131"/>
        <v>INSERT INTO TACHES(numTache,nameTache,descriptionTache,prioTache,stateTache,categoryTache,dateCreateTache,dateInProgressTache,dateToTestTache,dateEndThTache,dateEndRealTache,idProjet) VALUES ('3','tache3','tache3','Vitale','Terminer','Analyse','2023/03/13','2023/03/13','2023/03/13','2023/03/13','2023/03/13',5);</v>
      </c>
      <c r="BV204" s="322" t="s">
        <v>2451</v>
      </c>
    </row>
    <row r="205" spans="6:74" ht="20.05" customHeight="1" outlineLevel="1" thickBot="1" x14ac:dyDescent="0.35">
      <c r="F205" s="160">
        <f t="shared" si="132"/>
        <v>76</v>
      </c>
      <c r="G205" s="160">
        <f t="shared" si="132"/>
        <v>4</v>
      </c>
      <c r="H205" s="160" t="s">
        <v>2121</v>
      </c>
      <c r="I205" s="160" t="str">
        <f t="shared" si="116"/>
        <v>tache4</v>
      </c>
      <c r="J205" s="160" t="s">
        <v>1867</v>
      </c>
      <c r="K205" s="160" t="s">
        <v>2375</v>
      </c>
      <c r="L205" s="160" t="s">
        <v>1877</v>
      </c>
      <c r="M205" s="329">
        <f>Q204+1</f>
        <v>44999</v>
      </c>
      <c r="N205" s="329">
        <f t="shared" si="108"/>
        <v>44999</v>
      </c>
      <c r="O205" s="329">
        <f t="shared" si="133"/>
        <v>44999</v>
      </c>
      <c r="P205" s="329">
        <f>M205</f>
        <v>44999</v>
      </c>
      <c r="Q205" s="329">
        <f>M205</f>
        <v>44999</v>
      </c>
      <c r="R205" s="160">
        <f t="shared" si="134"/>
        <v>5</v>
      </c>
      <c r="S205" s="160">
        <f t="shared" si="117"/>
        <v>2</v>
      </c>
      <c r="T205" s="160" t="s">
        <v>1922</v>
      </c>
      <c r="U205" s="322" t="str">
        <f t="shared" si="118"/>
        <v>TACHES</v>
      </c>
      <c r="V205" s="160" t="s">
        <v>2088</v>
      </c>
      <c r="W205" s="189" t="s">
        <v>355</v>
      </c>
      <c r="X205" s="360" t="s">
        <v>2020</v>
      </c>
      <c r="Y205" s="189" t="s">
        <v>337</v>
      </c>
      <c r="Z205" s="360" t="s">
        <v>2020</v>
      </c>
      <c r="AA205" s="189" t="s">
        <v>340</v>
      </c>
      <c r="AB205" s="360" t="s">
        <v>2020</v>
      </c>
      <c r="AC205" s="189" t="s">
        <v>266</v>
      </c>
      <c r="AD205" s="360" t="s">
        <v>2020</v>
      </c>
      <c r="AE205" s="189" t="s">
        <v>244</v>
      </c>
      <c r="AF205" s="360" t="s">
        <v>2020</v>
      </c>
      <c r="AG205" s="189" t="s">
        <v>296</v>
      </c>
      <c r="AH205" s="360" t="s">
        <v>2020</v>
      </c>
      <c r="AI205" s="189" t="s">
        <v>298</v>
      </c>
      <c r="AJ205" s="360" t="s">
        <v>2020</v>
      </c>
      <c r="AK205" s="189" t="s">
        <v>299</v>
      </c>
      <c r="AL205" s="360" t="s">
        <v>2020</v>
      </c>
      <c r="AM205" s="189" t="s">
        <v>300</v>
      </c>
      <c r="AN205" s="360" t="s">
        <v>2020</v>
      </c>
      <c r="AO205" s="189" t="s">
        <v>301</v>
      </c>
      <c r="AP205" s="360" t="s">
        <v>2020</v>
      </c>
      <c r="AQ205" s="192" t="s">
        <v>302</v>
      </c>
      <c r="AR205" s="360" t="s">
        <v>2020</v>
      </c>
      <c r="AS205" s="295" t="s">
        <v>287</v>
      </c>
      <c r="AT205" s="360"/>
      <c r="AU205" s="322"/>
      <c r="AV205" s="360" t="s">
        <v>2089</v>
      </c>
      <c r="AW205" s="160">
        <f t="shared" si="119"/>
        <v>4</v>
      </c>
      <c r="AX205" s="360" t="s">
        <v>2091</v>
      </c>
      <c r="AY205" s="160" t="str">
        <f t="shared" si="120"/>
        <v>tache4</v>
      </c>
      <c r="AZ205" s="360" t="s">
        <v>2091</v>
      </c>
      <c r="BA205" s="160" t="str">
        <f t="shared" si="121"/>
        <v>tache4</v>
      </c>
      <c r="BB205" s="360" t="s">
        <v>2091</v>
      </c>
      <c r="BC205" s="160" t="str">
        <f t="shared" si="122"/>
        <v>Vitale</v>
      </c>
      <c r="BD205" s="360" t="s">
        <v>2091</v>
      </c>
      <c r="BE205" s="160" t="str">
        <f t="shared" si="123"/>
        <v>Terminer</v>
      </c>
      <c r="BF205" s="360" t="s">
        <v>2091</v>
      </c>
      <c r="BG205" s="160" t="str">
        <f t="shared" si="124"/>
        <v>Analyse</v>
      </c>
      <c r="BH205" s="360" t="s">
        <v>2091</v>
      </c>
      <c r="BI205" s="371" t="str">
        <f t="shared" ca="1" si="125"/>
        <v>2023/03/14</v>
      </c>
      <c r="BJ205" s="360" t="s">
        <v>2091</v>
      </c>
      <c r="BK205" s="329" t="str">
        <f t="shared" ca="1" si="126"/>
        <v>2023/03/14</v>
      </c>
      <c r="BL205" s="360" t="s">
        <v>2091</v>
      </c>
      <c r="BM205" s="329" t="str">
        <f t="shared" ca="1" si="127"/>
        <v>2023/03/14</v>
      </c>
      <c r="BN205" s="360" t="s">
        <v>2091</v>
      </c>
      <c r="BO205" s="329" t="str">
        <f t="shared" ca="1" si="128"/>
        <v>2023/03/14</v>
      </c>
      <c r="BP205" s="360" t="s">
        <v>2091</v>
      </c>
      <c r="BQ205" s="329" t="str">
        <f t="shared" ca="1" si="129"/>
        <v>2023/03/14</v>
      </c>
      <c r="BR205" s="360" t="s">
        <v>2093</v>
      </c>
      <c r="BS205" s="160">
        <f t="shared" si="130"/>
        <v>5</v>
      </c>
      <c r="BT205" s="160" t="s">
        <v>2021</v>
      </c>
      <c r="BU205" s="322" t="str">
        <f t="shared" ca="1" si="131"/>
        <v>INSERT INTO TACHES(numTache,nameTache,descriptionTache,prioTache,stateTache,categoryTache,dateCreateTache,dateInProgressTache,dateToTestTache,dateEndThTache,dateEndRealTache,idProjet) VALUES ('4','tache4','tache4','Vitale','Terminer','Analyse','2023/03/14','2023/03/14','2023/03/14','2023/03/14','2023/03/14',5);</v>
      </c>
      <c r="BV205" s="322" t="s">
        <v>2452</v>
      </c>
    </row>
    <row r="206" spans="6:74" ht="78.3" customHeight="1" outlineLevel="1" thickBot="1" x14ac:dyDescent="0.35">
      <c r="F206" s="160">
        <f t="shared" si="132"/>
        <v>77</v>
      </c>
      <c r="G206" s="160">
        <f t="shared" si="132"/>
        <v>5</v>
      </c>
      <c r="H206" s="160" t="s">
        <v>2122</v>
      </c>
      <c r="I206" s="160" t="str">
        <f t="shared" si="116"/>
        <v>tache5</v>
      </c>
      <c r="J206" s="160" t="s">
        <v>1867</v>
      </c>
      <c r="K206" s="160" t="s">
        <v>2375</v>
      </c>
      <c r="L206" s="160" t="s">
        <v>1878</v>
      </c>
      <c r="M206" s="329">
        <f>Q205</f>
        <v>44999</v>
      </c>
      <c r="N206" s="329">
        <f t="shared" si="108"/>
        <v>44999</v>
      </c>
      <c r="O206" s="329">
        <f t="shared" si="133"/>
        <v>44999</v>
      </c>
      <c r="P206" s="329">
        <f>O206+1</f>
        <v>45000</v>
      </c>
      <c r="Q206" s="329">
        <f>P206</f>
        <v>45000</v>
      </c>
      <c r="R206" s="160">
        <f t="shared" si="134"/>
        <v>5</v>
      </c>
      <c r="S206" s="160">
        <f t="shared" si="117"/>
        <v>3</v>
      </c>
      <c r="T206" s="160" t="s">
        <v>1922</v>
      </c>
      <c r="U206" s="322" t="str">
        <f t="shared" si="118"/>
        <v>TACHES</v>
      </c>
      <c r="V206" s="160" t="s">
        <v>2088</v>
      </c>
      <c r="W206" s="189" t="s">
        <v>355</v>
      </c>
      <c r="X206" s="360" t="s">
        <v>2020</v>
      </c>
      <c r="Y206" s="189" t="s">
        <v>337</v>
      </c>
      <c r="Z206" s="360" t="s">
        <v>2020</v>
      </c>
      <c r="AA206" s="189" t="s">
        <v>340</v>
      </c>
      <c r="AB206" s="360" t="s">
        <v>2020</v>
      </c>
      <c r="AC206" s="189" t="s">
        <v>266</v>
      </c>
      <c r="AD206" s="360" t="s">
        <v>2020</v>
      </c>
      <c r="AE206" s="189" t="s">
        <v>244</v>
      </c>
      <c r="AF206" s="360" t="s">
        <v>2020</v>
      </c>
      <c r="AG206" s="189" t="s">
        <v>296</v>
      </c>
      <c r="AH206" s="360" t="s">
        <v>2020</v>
      </c>
      <c r="AI206" s="189" t="s">
        <v>298</v>
      </c>
      <c r="AJ206" s="360" t="s">
        <v>2020</v>
      </c>
      <c r="AK206" s="189" t="s">
        <v>299</v>
      </c>
      <c r="AL206" s="360" t="s">
        <v>2020</v>
      </c>
      <c r="AM206" s="189" t="s">
        <v>300</v>
      </c>
      <c r="AN206" s="360" t="s">
        <v>2020</v>
      </c>
      <c r="AO206" s="189" t="s">
        <v>301</v>
      </c>
      <c r="AP206" s="360" t="s">
        <v>2020</v>
      </c>
      <c r="AQ206" s="192" t="s">
        <v>302</v>
      </c>
      <c r="AR206" s="360" t="s">
        <v>2020</v>
      </c>
      <c r="AS206" s="295" t="s">
        <v>287</v>
      </c>
      <c r="AT206" s="360"/>
      <c r="AU206" s="322"/>
      <c r="AV206" s="360" t="s">
        <v>2089</v>
      </c>
      <c r="AW206" s="160">
        <f t="shared" si="119"/>
        <v>5</v>
      </c>
      <c r="AX206" s="360" t="s">
        <v>2091</v>
      </c>
      <c r="AY206" s="160" t="str">
        <f t="shared" si="120"/>
        <v>tache5</v>
      </c>
      <c r="AZ206" s="360" t="s">
        <v>2091</v>
      </c>
      <c r="BA206" s="160" t="str">
        <f t="shared" si="121"/>
        <v>tache5</v>
      </c>
      <c r="BB206" s="360" t="s">
        <v>2091</v>
      </c>
      <c r="BC206" s="160" t="str">
        <f t="shared" si="122"/>
        <v>Vitale</v>
      </c>
      <c r="BD206" s="360" t="s">
        <v>2091</v>
      </c>
      <c r="BE206" s="160" t="str">
        <f t="shared" si="123"/>
        <v>Terminer</v>
      </c>
      <c r="BF206" s="360" t="s">
        <v>2091</v>
      </c>
      <c r="BG206" s="160" t="str">
        <f t="shared" si="124"/>
        <v>Conception</v>
      </c>
      <c r="BH206" s="360" t="s">
        <v>2091</v>
      </c>
      <c r="BI206" s="371" t="str">
        <f t="shared" ca="1" si="125"/>
        <v>2023/03/14</v>
      </c>
      <c r="BJ206" s="360" t="s">
        <v>2091</v>
      </c>
      <c r="BK206" s="329" t="str">
        <f t="shared" ca="1" si="126"/>
        <v>2023/03/14</v>
      </c>
      <c r="BL206" s="360" t="s">
        <v>2091</v>
      </c>
      <c r="BM206" s="329" t="str">
        <f t="shared" ca="1" si="127"/>
        <v>2023/03/14</v>
      </c>
      <c r="BN206" s="360" t="s">
        <v>2091</v>
      </c>
      <c r="BO206" s="329" t="str">
        <f t="shared" ca="1" si="128"/>
        <v>2023/03/15</v>
      </c>
      <c r="BP206" s="360" t="s">
        <v>2091</v>
      </c>
      <c r="BQ206" s="329" t="str">
        <f t="shared" ca="1" si="129"/>
        <v>2023/03/15</v>
      </c>
      <c r="BR206" s="360" t="s">
        <v>2093</v>
      </c>
      <c r="BS206" s="160">
        <f t="shared" si="130"/>
        <v>5</v>
      </c>
      <c r="BT206" s="160" t="s">
        <v>2021</v>
      </c>
      <c r="BU206" s="322" t="str">
        <f t="shared" ca="1" si="131"/>
        <v>INSERT INTO TACHES(numTache,nameTache,descriptionTache,prioTache,stateTache,categoryTache,dateCreateTache,dateInProgressTache,dateToTestTache,dateEndThTache,dateEndRealTache,idProjet) VALUES ('5','tache5','tache5','Vitale','Terminer','Conception','2023/03/14','2023/03/14','2023/03/14','2023/03/15','2023/03/15',5);</v>
      </c>
      <c r="BV206" s="322" t="s">
        <v>2453</v>
      </c>
    </row>
    <row r="207" spans="6:74" ht="90.35" customHeight="1" outlineLevel="1" thickBot="1" x14ac:dyDescent="0.35">
      <c r="F207" s="160">
        <f t="shared" si="132"/>
        <v>78</v>
      </c>
      <c r="G207" s="160">
        <f t="shared" si="132"/>
        <v>6</v>
      </c>
      <c r="H207" s="160" t="s">
        <v>2123</v>
      </c>
      <c r="I207" s="160" t="str">
        <f t="shared" si="116"/>
        <v>tache6</v>
      </c>
      <c r="J207" s="160" t="s">
        <v>1867</v>
      </c>
      <c r="K207" s="160" t="s">
        <v>2375</v>
      </c>
      <c r="L207" s="160" t="s">
        <v>1879</v>
      </c>
      <c r="M207" s="329">
        <f>Q206+1</f>
        <v>45001</v>
      </c>
      <c r="N207" s="329">
        <f t="shared" si="108"/>
        <v>45001</v>
      </c>
      <c r="O207" s="329">
        <f>N207+3</f>
        <v>45004</v>
      </c>
      <c r="P207" s="329">
        <f>O207+0</f>
        <v>45004</v>
      </c>
      <c r="Q207" s="329">
        <f>P207</f>
        <v>45004</v>
      </c>
      <c r="R207" s="160">
        <f t="shared" si="134"/>
        <v>5</v>
      </c>
      <c r="S207" s="160">
        <f t="shared" si="117"/>
        <v>3</v>
      </c>
      <c r="T207" s="160" t="s">
        <v>1922</v>
      </c>
      <c r="U207" s="322" t="str">
        <f t="shared" si="118"/>
        <v>TACHES</v>
      </c>
      <c r="V207" s="160" t="s">
        <v>2088</v>
      </c>
      <c r="W207" s="189" t="s">
        <v>355</v>
      </c>
      <c r="X207" s="360" t="s">
        <v>2020</v>
      </c>
      <c r="Y207" s="189" t="s">
        <v>337</v>
      </c>
      <c r="Z207" s="360" t="s">
        <v>2020</v>
      </c>
      <c r="AA207" s="189" t="s">
        <v>340</v>
      </c>
      <c r="AB207" s="360" t="s">
        <v>2020</v>
      </c>
      <c r="AC207" s="189" t="s">
        <v>266</v>
      </c>
      <c r="AD207" s="360" t="s">
        <v>2020</v>
      </c>
      <c r="AE207" s="189" t="s">
        <v>244</v>
      </c>
      <c r="AF207" s="360" t="s">
        <v>2020</v>
      </c>
      <c r="AG207" s="189" t="s">
        <v>296</v>
      </c>
      <c r="AH207" s="360" t="s">
        <v>2020</v>
      </c>
      <c r="AI207" s="189" t="s">
        <v>298</v>
      </c>
      <c r="AJ207" s="360" t="s">
        <v>2020</v>
      </c>
      <c r="AK207" s="189" t="s">
        <v>299</v>
      </c>
      <c r="AL207" s="360" t="s">
        <v>2020</v>
      </c>
      <c r="AM207" s="189" t="s">
        <v>300</v>
      </c>
      <c r="AN207" s="360" t="s">
        <v>2020</v>
      </c>
      <c r="AO207" s="189" t="s">
        <v>301</v>
      </c>
      <c r="AP207" s="360" t="s">
        <v>2020</v>
      </c>
      <c r="AQ207" s="192" t="s">
        <v>302</v>
      </c>
      <c r="AR207" s="360" t="s">
        <v>2020</v>
      </c>
      <c r="AS207" s="295" t="s">
        <v>287</v>
      </c>
      <c r="AT207" s="360"/>
      <c r="AU207" s="322"/>
      <c r="AV207" s="360" t="s">
        <v>2089</v>
      </c>
      <c r="AW207" s="160">
        <f t="shared" si="119"/>
        <v>6</v>
      </c>
      <c r="AX207" s="360" t="s">
        <v>2091</v>
      </c>
      <c r="AY207" s="160" t="str">
        <f t="shared" si="120"/>
        <v>tache6</v>
      </c>
      <c r="AZ207" s="360" t="s">
        <v>2091</v>
      </c>
      <c r="BA207" s="160" t="str">
        <f t="shared" si="121"/>
        <v>tache6</v>
      </c>
      <c r="BB207" s="360" t="s">
        <v>2091</v>
      </c>
      <c r="BC207" s="160" t="str">
        <f t="shared" si="122"/>
        <v>Vitale</v>
      </c>
      <c r="BD207" s="360" t="s">
        <v>2091</v>
      </c>
      <c r="BE207" s="160" t="str">
        <f t="shared" si="123"/>
        <v>Terminer</v>
      </c>
      <c r="BF207" s="360" t="s">
        <v>2091</v>
      </c>
      <c r="BG207" s="160" t="str">
        <f t="shared" si="124"/>
        <v>Realisation</v>
      </c>
      <c r="BH207" s="360" t="s">
        <v>2091</v>
      </c>
      <c r="BI207" s="371" t="str">
        <f t="shared" ca="1" si="125"/>
        <v>2023/03/16</v>
      </c>
      <c r="BJ207" s="360" t="s">
        <v>2091</v>
      </c>
      <c r="BK207" s="329" t="str">
        <f t="shared" ca="1" si="126"/>
        <v>2023/03/16</v>
      </c>
      <c r="BL207" s="360" t="s">
        <v>2091</v>
      </c>
      <c r="BM207" s="329" t="str">
        <f t="shared" ca="1" si="127"/>
        <v>2023/03/19</v>
      </c>
      <c r="BN207" s="360" t="s">
        <v>2091</v>
      </c>
      <c r="BO207" s="329" t="str">
        <f t="shared" ca="1" si="128"/>
        <v>2023/03/19</v>
      </c>
      <c r="BP207" s="360" t="s">
        <v>2091</v>
      </c>
      <c r="BQ207" s="329" t="str">
        <f t="shared" ca="1" si="129"/>
        <v>2023/03/19</v>
      </c>
      <c r="BR207" s="360" t="s">
        <v>2093</v>
      </c>
      <c r="BS207" s="160">
        <f t="shared" si="130"/>
        <v>5</v>
      </c>
      <c r="BT207" s="160" t="s">
        <v>2021</v>
      </c>
      <c r="BU207" s="322" t="str">
        <f t="shared" ca="1" si="131"/>
        <v>INSERT INTO TACHES(numTache,nameTache,descriptionTache,prioTache,stateTache,categoryTache,dateCreateTache,dateInProgressTache,dateToTestTache,dateEndThTache,dateEndRealTache,idProjet) VALUES ('6','tache6','tache6','Vitale','Terminer','Realisation','2023/03/16','2023/03/16','2023/03/19','2023/03/19','2023/03/19',5);</v>
      </c>
      <c r="BV207" s="322" t="s">
        <v>2454</v>
      </c>
    </row>
    <row r="208" spans="6:74" ht="90.35" customHeight="1" outlineLevel="1" thickBot="1" x14ac:dyDescent="0.35">
      <c r="F208" s="160">
        <f t="shared" si="132"/>
        <v>79</v>
      </c>
      <c r="G208" s="160">
        <f t="shared" si="132"/>
        <v>7</v>
      </c>
      <c r="H208" s="160" t="s">
        <v>2124</v>
      </c>
      <c r="I208" s="160" t="str">
        <f t="shared" si="116"/>
        <v>tache7</v>
      </c>
      <c r="J208" s="160" t="s">
        <v>1867</v>
      </c>
      <c r="K208" s="160" t="s">
        <v>2375</v>
      </c>
      <c r="L208" s="160" t="s">
        <v>1879</v>
      </c>
      <c r="M208" s="329">
        <f>Q207+1</f>
        <v>45005</v>
      </c>
      <c r="N208" s="329">
        <f t="shared" si="108"/>
        <v>45005</v>
      </c>
      <c r="O208" s="329">
        <f>N208+1</f>
        <v>45006</v>
      </c>
      <c r="P208" s="329">
        <f>O208+0</f>
        <v>45006</v>
      </c>
      <c r="Q208" s="329">
        <f>P208</f>
        <v>45006</v>
      </c>
      <c r="R208" s="160">
        <f t="shared" si="134"/>
        <v>5</v>
      </c>
      <c r="S208" s="160">
        <f t="shared" si="117"/>
        <v>3</v>
      </c>
      <c r="T208" s="160" t="s">
        <v>1922</v>
      </c>
      <c r="U208" s="322" t="str">
        <f t="shared" si="118"/>
        <v>TACHES</v>
      </c>
      <c r="V208" s="160" t="s">
        <v>2088</v>
      </c>
      <c r="W208" s="189" t="s">
        <v>355</v>
      </c>
      <c r="X208" s="360" t="s">
        <v>2020</v>
      </c>
      <c r="Y208" s="189" t="s">
        <v>337</v>
      </c>
      <c r="Z208" s="360" t="s">
        <v>2020</v>
      </c>
      <c r="AA208" s="189" t="s">
        <v>340</v>
      </c>
      <c r="AB208" s="360" t="s">
        <v>2020</v>
      </c>
      <c r="AC208" s="189" t="s">
        <v>266</v>
      </c>
      <c r="AD208" s="360" t="s">
        <v>2020</v>
      </c>
      <c r="AE208" s="189" t="s">
        <v>244</v>
      </c>
      <c r="AF208" s="360" t="s">
        <v>2020</v>
      </c>
      <c r="AG208" s="189" t="s">
        <v>296</v>
      </c>
      <c r="AH208" s="360" t="s">
        <v>2020</v>
      </c>
      <c r="AI208" s="189" t="s">
        <v>298</v>
      </c>
      <c r="AJ208" s="360" t="s">
        <v>2020</v>
      </c>
      <c r="AK208" s="189" t="s">
        <v>299</v>
      </c>
      <c r="AL208" s="360" t="s">
        <v>2020</v>
      </c>
      <c r="AM208" s="189" t="s">
        <v>300</v>
      </c>
      <c r="AN208" s="360" t="s">
        <v>2020</v>
      </c>
      <c r="AO208" s="189" t="s">
        <v>301</v>
      </c>
      <c r="AP208" s="360" t="s">
        <v>2020</v>
      </c>
      <c r="AQ208" s="192" t="s">
        <v>302</v>
      </c>
      <c r="AR208" s="360" t="s">
        <v>2020</v>
      </c>
      <c r="AS208" s="295" t="s">
        <v>287</v>
      </c>
      <c r="AT208" s="360"/>
      <c r="AU208" s="322"/>
      <c r="AV208" s="360" t="s">
        <v>2089</v>
      </c>
      <c r="AW208" s="160">
        <f t="shared" si="119"/>
        <v>7</v>
      </c>
      <c r="AX208" s="360" t="s">
        <v>2091</v>
      </c>
      <c r="AY208" s="160" t="str">
        <f t="shared" si="120"/>
        <v>tache7</v>
      </c>
      <c r="AZ208" s="360" t="s">
        <v>2091</v>
      </c>
      <c r="BA208" s="160" t="str">
        <f t="shared" si="121"/>
        <v>tache7</v>
      </c>
      <c r="BB208" s="360" t="s">
        <v>2091</v>
      </c>
      <c r="BC208" s="160" t="str">
        <f t="shared" si="122"/>
        <v>Vitale</v>
      </c>
      <c r="BD208" s="360" t="s">
        <v>2091</v>
      </c>
      <c r="BE208" s="160" t="str">
        <f t="shared" si="123"/>
        <v>Terminer</v>
      </c>
      <c r="BF208" s="360" t="s">
        <v>2091</v>
      </c>
      <c r="BG208" s="160" t="str">
        <f t="shared" si="124"/>
        <v>Realisation</v>
      </c>
      <c r="BH208" s="360" t="s">
        <v>2091</v>
      </c>
      <c r="BI208" s="371" t="str">
        <f t="shared" ca="1" si="125"/>
        <v>2023/03/20</v>
      </c>
      <c r="BJ208" s="360" t="s">
        <v>2091</v>
      </c>
      <c r="BK208" s="329" t="str">
        <f t="shared" ca="1" si="126"/>
        <v>2023/03/20</v>
      </c>
      <c r="BL208" s="360" t="s">
        <v>2091</v>
      </c>
      <c r="BM208" s="329" t="str">
        <f t="shared" ca="1" si="127"/>
        <v>2023/03/21</v>
      </c>
      <c r="BN208" s="360" t="s">
        <v>2091</v>
      </c>
      <c r="BO208" s="329" t="str">
        <f t="shared" ca="1" si="128"/>
        <v>2023/03/21</v>
      </c>
      <c r="BP208" s="360" t="s">
        <v>2091</v>
      </c>
      <c r="BQ208" s="329" t="str">
        <f t="shared" ca="1" si="129"/>
        <v>2023/03/21</v>
      </c>
      <c r="BR208" s="360" t="s">
        <v>2093</v>
      </c>
      <c r="BS208" s="160">
        <f t="shared" si="130"/>
        <v>5</v>
      </c>
      <c r="BT208" s="160" t="s">
        <v>2021</v>
      </c>
      <c r="BU208" s="322" t="str">
        <f t="shared" ca="1" si="131"/>
        <v>INSERT INTO TACHES(numTache,nameTache,descriptionTache,prioTache,stateTache,categoryTache,dateCreateTache,dateInProgressTache,dateToTestTache,dateEndThTache,dateEndRealTache,idProjet) VALUES ('7','tache7','tache7','Vitale','Terminer','Realisation','2023/03/20','2023/03/20','2023/03/21','2023/03/21','2023/03/21',5);</v>
      </c>
      <c r="BV208" s="322" t="s">
        <v>2455</v>
      </c>
    </row>
    <row r="209" spans="6:74" ht="20.05" customHeight="1" outlineLevel="1" thickBot="1" x14ac:dyDescent="0.35">
      <c r="F209" s="160">
        <f t="shared" si="132"/>
        <v>80</v>
      </c>
      <c r="G209" s="160">
        <f t="shared" si="132"/>
        <v>8</v>
      </c>
      <c r="H209" s="160" t="s">
        <v>2125</v>
      </c>
      <c r="I209" s="160" t="str">
        <f t="shared" si="116"/>
        <v>tache8</v>
      </c>
      <c r="J209" s="160" t="s">
        <v>1869</v>
      </c>
      <c r="K209" s="160" t="s">
        <v>2375</v>
      </c>
      <c r="L209" s="160" t="s">
        <v>1879</v>
      </c>
      <c r="M209" s="329">
        <f>Q216+1</f>
        <v>45017</v>
      </c>
      <c r="N209" s="329">
        <f t="shared" si="108"/>
        <v>45017</v>
      </c>
      <c r="O209" s="329">
        <f>M209</f>
        <v>45017</v>
      </c>
      <c r="P209" s="329">
        <f>M209</f>
        <v>45017</v>
      </c>
      <c r="Q209" s="329">
        <f>M209</f>
        <v>45017</v>
      </c>
      <c r="R209" s="160">
        <f t="shared" si="134"/>
        <v>5</v>
      </c>
      <c r="S209" s="160">
        <f t="shared" si="117"/>
        <v>1</v>
      </c>
      <c r="T209" s="160" t="s">
        <v>1922</v>
      </c>
      <c r="U209" s="322" t="str">
        <f t="shared" si="118"/>
        <v>TACHES</v>
      </c>
      <c r="V209" s="160" t="s">
        <v>2088</v>
      </c>
      <c r="W209" s="189" t="s">
        <v>355</v>
      </c>
      <c r="X209" s="360" t="s">
        <v>2020</v>
      </c>
      <c r="Y209" s="189" t="s">
        <v>337</v>
      </c>
      <c r="Z209" s="360" t="s">
        <v>2020</v>
      </c>
      <c r="AA209" s="189" t="s">
        <v>340</v>
      </c>
      <c r="AB209" s="360" t="s">
        <v>2020</v>
      </c>
      <c r="AC209" s="189" t="s">
        <v>266</v>
      </c>
      <c r="AD209" s="360" t="s">
        <v>2020</v>
      </c>
      <c r="AE209" s="189" t="s">
        <v>244</v>
      </c>
      <c r="AF209" s="360" t="s">
        <v>2020</v>
      </c>
      <c r="AG209" s="189" t="s">
        <v>296</v>
      </c>
      <c r="AH209" s="360" t="s">
        <v>2020</v>
      </c>
      <c r="AI209" s="189" t="s">
        <v>298</v>
      </c>
      <c r="AJ209" s="360" t="s">
        <v>2020</v>
      </c>
      <c r="AK209" s="189" t="s">
        <v>299</v>
      </c>
      <c r="AL209" s="360" t="s">
        <v>2020</v>
      </c>
      <c r="AM209" s="189" t="s">
        <v>300</v>
      </c>
      <c r="AN209" s="360" t="s">
        <v>2020</v>
      </c>
      <c r="AO209" s="189" t="s">
        <v>301</v>
      </c>
      <c r="AP209" s="360" t="s">
        <v>2020</v>
      </c>
      <c r="AQ209" s="192" t="s">
        <v>302</v>
      </c>
      <c r="AR209" s="360" t="s">
        <v>2020</v>
      </c>
      <c r="AS209" s="295" t="s">
        <v>287</v>
      </c>
      <c r="AT209" s="360"/>
      <c r="AU209" s="322"/>
      <c r="AV209" s="360" t="s">
        <v>2089</v>
      </c>
      <c r="AW209" s="160">
        <f t="shared" si="119"/>
        <v>8</v>
      </c>
      <c r="AX209" s="360" t="s">
        <v>2091</v>
      </c>
      <c r="AY209" s="160" t="str">
        <f t="shared" si="120"/>
        <v>tache8</v>
      </c>
      <c r="AZ209" s="360" t="s">
        <v>2091</v>
      </c>
      <c r="BA209" s="160" t="str">
        <f t="shared" si="121"/>
        <v>tache8</v>
      </c>
      <c r="BB209" s="360" t="s">
        <v>2091</v>
      </c>
      <c r="BC209" s="160" t="str">
        <f t="shared" si="122"/>
        <v>Utile</v>
      </c>
      <c r="BD209" s="360" t="s">
        <v>2091</v>
      </c>
      <c r="BE209" s="160" t="str">
        <f t="shared" si="123"/>
        <v>Terminer</v>
      </c>
      <c r="BF209" s="360" t="s">
        <v>2091</v>
      </c>
      <c r="BG209" s="160" t="str">
        <f t="shared" si="124"/>
        <v>Realisation</v>
      </c>
      <c r="BH209" s="360" t="s">
        <v>2091</v>
      </c>
      <c r="BI209" s="371" t="str">
        <f t="shared" ca="1" si="125"/>
        <v>2023/04/01</v>
      </c>
      <c r="BJ209" s="360" t="s">
        <v>2091</v>
      </c>
      <c r="BK209" s="329" t="str">
        <f t="shared" ca="1" si="126"/>
        <v>2023/04/01</v>
      </c>
      <c r="BL209" s="360" t="s">
        <v>2091</v>
      </c>
      <c r="BM209" s="329" t="str">
        <f t="shared" ca="1" si="127"/>
        <v>2023/04/01</v>
      </c>
      <c r="BN209" s="360" t="s">
        <v>2091</v>
      </c>
      <c r="BO209" s="329" t="str">
        <f t="shared" ca="1" si="128"/>
        <v>2023/04/01</v>
      </c>
      <c r="BP209" s="360" t="s">
        <v>2091</v>
      </c>
      <c r="BQ209" s="329" t="str">
        <f t="shared" ca="1" si="129"/>
        <v>2023/04/01</v>
      </c>
      <c r="BR209" s="360" t="s">
        <v>2093</v>
      </c>
      <c r="BS209" s="160">
        <f t="shared" si="130"/>
        <v>5</v>
      </c>
      <c r="BT209" s="160" t="s">
        <v>2021</v>
      </c>
      <c r="BU209" s="322" t="str">
        <f t="shared" ca="1" si="131"/>
        <v>INSERT INTO TACHES(numTache,nameTache,descriptionTache,prioTache,stateTache,categoryTache,dateCreateTache,dateInProgressTache,dateToTestTache,dateEndThTache,dateEndRealTache,idProjet) VALUES ('8','tache8','tache8','Utile','Terminer','Realisation','2023/04/01','2023/04/01','2023/04/01','2023/04/01','2023/04/01',5);</v>
      </c>
      <c r="BV209" s="322" t="s">
        <v>2456</v>
      </c>
    </row>
    <row r="210" spans="6:74" ht="20.05" customHeight="1" outlineLevel="1" thickBot="1" x14ac:dyDescent="0.35">
      <c r="F210" s="160">
        <f t="shared" si="132"/>
        <v>81</v>
      </c>
      <c r="G210" s="160">
        <f t="shared" si="132"/>
        <v>9</v>
      </c>
      <c r="H210" s="160" t="s">
        <v>2126</v>
      </c>
      <c r="I210" s="160" t="str">
        <f t="shared" si="116"/>
        <v>tache9</v>
      </c>
      <c r="J210" s="160" t="s">
        <v>1868</v>
      </c>
      <c r="K210" s="160" t="s">
        <v>2375</v>
      </c>
      <c r="L210" s="160" t="s">
        <v>1879</v>
      </c>
      <c r="M210" s="329">
        <f>Q218</f>
        <v>45015</v>
      </c>
      <c r="N210" s="329">
        <f t="shared" si="108"/>
        <v>45015</v>
      </c>
      <c r="O210" s="329">
        <f>M210</f>
        <v>45015</v>
      </c>
      <c r="P210" s="329">
        <f>M210</f>
        <v>45015</v>
      </c>
      <c r="Q210" s="329">
        <f>M210</f>
        <v>45015</v>
      </c>
      <c r="R210" s="160">
        <f t="shared" si="134"/>
        <v>5</v>
      </c>
      <c r="S210" s="160">
        <f t="shared" si="117"/>
        <v>2</v>
      </c>
      <c r="T210" s="160" t="s">
        <v>1922</v>
      </c>
      <c r="U210" s="322" t="str">
        <f t="shared" si="118"/>
        <v>TACHES</v>
      </c>
      <c r="V210" s="160" t="s">
        <v>2088</v>
      </c>
      <c r="W210" s="189" t="s">
        <v>355</v>
      </c>
      <c r="X210" s="360" t="s">
        <v>2020</v>
      </c>
      <c r="Y210" s="189" t="s">
        <v>337</v>
      </c>
      <c r="Z210" s="360" t="s">
        <v>2020</v>
      </c>
      <c r="AA210" s="189" t="s">
        <v>340</v>
      </c>
      <c r="AB210" s="360" t="s">
        <v>2020</v>
      </c>
      <c r="AC210" s="189" t="s">
        <v>266</v>
      </c>
      <c r="AD210" s="360" t="s">
        <v>2020</v>
      </c>
      <c r="AE210" s="189" t="s">
        <v>244</v>
      </c>
      <c r="AF210" s="360" t="s">
        <v>2020</v>
      </c>
      <c r="AG210" s="189" t="s">
        <v>296</v>
      </c>
      <c r="AH210" s="360" t="s">
        <v>2020</v>
      </c>
      <c r="AI210" s="189" t="s">
        <v>298</v>
      </c>
      <c r="AJ210" s="360" t="s">
        <v>2020</v>
      </c>
      <c r="AK210" s="189" t="s">
        <v>299</v>
      </c>
      <c r="AL210" s="360" t="s">
        <v>2020</v>
      </c>
      <c r="AM210" s="189" t="s">
        <v>300</v>
      </c>
      <c r="AN210" s="360" t="s">
        <v>2020</v>
      </c>
      <c r="AO210" s="189" t="s">
        <v>301</v>
      </c>
      <c r="AP210" s="360" t="s">
        <v>2020</v>
      </c>
      <c r="AQ210" s="192" t="s">
        <v>302</v>
      </c>
      <c r="AR210" s="360" t="s">
        <v>2020</v>
      </c>
      <c r="AS210" s="295" t="s">
        <v>287</v>
      </c>
      <c r="AT210" s="360"/>
      <c r="AU210" s="322"/>
      <c r="AV210" s="360" t="s">
        <v>2089</v>
      </c>
      <c r="AW210" s="160">
        <f t="shared" si="119"/>
        <v>9</v>
      </c>
      <c r="AX210" s="360" t="s">
        <v>2091</v>
      </c>
      <c r="AY210" s="160" t="str">
        <f t="shared" si="120"/>
        <v>tache9</v>
      </c>
      <c r="AZ210" s="360" t="s">
        <v>2091</v>
      </c>
      <c r="BA210" s="160" t="str">
        <f t="shared" si="121"/>
        <v>tache9</v>
      </c>
      <c r="BB210" s="360" t="s">
        <v>2091</v>
      </c>
      <c r="BC210" s="160" t="str">
        <f t="shared" si="122"/>
        <v>Importante</v>
      </c>
      <c r="BD210" s="360" t="s">
        <v>2091</v>
      </c>
      <c r="BE210" s="160" t="str">
        <f t="shared" si="123"/>
        <v>Terminer</v>
      </c>
      <c r="BF210" s="360" t="s">
        <v>2091</v>
      </c>
      <c r="BG210" s="160" t="str">
        <f t="shared" si="124"/>
        <v>Realisation</v>
      </c>
      <c r="BH210" s="360" t="s">
        <v>2091</v>
      </c>
      <c r="BI210" s="371" t="str">
        <f t="shared" ca="1" si="125"/>
        <v>2023/03/30</v>
      </c>
      <c r="BJ210" s="360" t="s">
        <v>2091</v>
      </c>
      <c r="BK210" s="329" t="str">
        <f t="shared" ca="1" si="126"/>
        <v>2023/03/30</v>
      </c>
      <c r="BL210" s="360" t="s">
        <v>2091</v>
      </c>
      <c r="BM210" s="329" t="str">
        <f t="shared" ca="1" si="127"/>
        <v>2023/03/30</v>
      </c>
      <c r="BN210" s="360" t="s">
        <v>2091</v>
      </c>
      <c r="BO210" s="329" t="str">
        <f t="shared" ca="1" si="128"/>
        <v>2023/03/30</v>
      </c>
      <c r="BP210" s="360" t="s">
        <v>2091</v>
      </c>
      <c r="BQ210" s="329" t="str">
        <f t="shared" ca="1" si="129"/>
        <v>2023/03/30</v>
      </c>
      <c r="BR210" s="360" t="s">
        <v>2093</v>
      </c>
      <c r="BS210" s="160">
        <f t="shared" si="130"/>
        <v>5</v>
      </c>
      <c r="BT210" s="160" t="s">
        <v>2021</v>
      </c>
      <c r="BU210" s="322" t="str">
        <f t="shared" ca="1" si="131"/>
        <v>INSERT INTO TACHES(numTache,nameTache,descriptionTache,prioTache,stateTache,categoryTache,dateCreateTache,dateInProgressTache,dateToTestTache,dateEndThTache,dateEndRealTache,idProjet) VALUES ('9','tache9','tache9','Importante','Terminer','Realisation','2023/03/30','2023/03/30','2023/03/30','2023/03/30','2023/03/30',5);</v>
      </c>
      <c r="BV210" s="322" t="s">
        <v>2457</v>
      </c>
    </row>
    <row r="211" spans="6:74" ht="20.05" customHeight="1" outlineLevel="1" thickBot="1" x14ac:dyDescent="0.35">
      <c r="F211" s="160">
        <f t="shared" si="132"/>
        <v>82</v>
      </c>
      <c r="G211" s="160">
        <f t="shared" si="132"/>
        <v>10</v>
      </c>
      <c r="H211" s="160" t="s">
        <v>2127</v>
      </c>
      <c r="I211" s="160" t="str">
        <f t="shared" si="116"/>
        <v>tache10</v>
      </c>
      <c r="J211" s="160" t="s">
        <v>1867</v>
      </c>
      <c r="K211" s="160" t="s">
        <v>2375</v>
      </c>
      <c r="L211" s="160" t="s">
        <v>1879</v>
      </c>
      <c r="M211" s="329">
        <f>Q208+1</f>
        <v>45007</v>
      </c>
      <c r="N211" s="329">
        <f t="shared" si="108"/>
        <v>45007</v>
      </c>
      <c r="O211" s="329">
        <f>M211</f>
        <v>45007</v>
      </c>
      <c r="P211" s="329">
        <f>M211</f>
        <v>45007</v>
      </c>
      <c r="Q211" s="329">
        <f>P211+1</f>
        <v>45008</v>
      </c>
      <c r="R211" s="160">
        <f t="shared" si="134"/>
        <v>5</v>
      </c>
      <c r="S211" s="160">
        <f t="shared" si="117"/>
        <v>3</v>
      </c>
      <c r="T211" s="160" t="s">
        <v>1922</v>
      </c>
      <c r="U211" s="322" t="str">
        <f t="shared" si="118"/>
        <v>TACHES</v>
      </c>
      <c r="V211" s="160" t="s">
        <v>2088</v>
      </c>
      <c r="W211" s="189" t="s">
        <v>355</v>
      </c>
      <c r="X211" s="360" t="s">
        <v>2020</v>
      </c>
      <c r="Y211" s="189" t="s">
        <v>337</v>
      </c>
      <c r="Z211" s="360" t="s">
        <v>2020</v>
      </c>
      <c r="AA211" s="189" t="s">
        <v>340</v>
      </c>
      <c r="AB211" s="360" t="s">
        <v>2020</v>
      </c>
      <c r="AC211" s="189" t="s">
        <v>266</v>
      </c>
      <c r="AD211" s="360" t="s">
        <v>2020</v>
      </c>
      <c r="AE211" s="189" t="s">
        <v>244</v>
      </c>
      <c r="AF211" s="360" t="s">
        <v>2020</v>
      </c>
      <c r="AG211" s="189" t="s">
        <v>296</v>
      </c>
      <c r="AH211" s="360" t="s">
        <v>2020</v>
      </c>
      <c r="AI211" s="189" t="s">
        <v>298</v>
      </c>
      <c r="AJ211" s="360" t="s">
        <v>2020</v>
      </c>
      <c r="AK211" s="189" t="s">
        <v>299</v>
      </c>
      <c r="AL211" s="360" t="s">
        <v>2020</v>
      </c>
      <c r="AM211" s="189" t="s">
        <v>300</v>
      </c>
      <c r="AN211" s="360" t="s">
        <v>2020</v>
      </c>
      <c r="AO211" s="189" t="s">
        <v>301</v>
      </c>
      <c r="AP211" s="360" t="s">
        <v>2020</v>
      </c>
      <c r="AQ211" s="192" t="s">
        <v>302</v>
      </c>
      <c r="AR211" s="360" t="s">
        <v>2020</v>
      </c>
      <c r="AS211" s="295" t="s">
        <v>287</v>
      </c>
      <c r="AT211" s="360"/>
      <c r="AU211" s="322"/>
      <c r="AV211" s="360" t="s">
        <v>2089</v>
      </c>
      <c r="AW211" s="160">
        <f t="shared" si="119"/>
        <v>10</v>
      </c>
      <c r="AX211" s="360" t="s">
        <v>2091</v>
      </c>
      <c r="AY211" s="160" t="str">
        <f t="shared" si="120"/>
        <v>tache10</v>
      </c>
      <c r="AZ211" s="360" t="s">
        <v>2091</v>
      </c>
      <c r="BA211" s="160" t="str">
        <f t="shared" si="121"/>
        <v>tache10</v>
      </c>
      <c r="BB211" s="360" t="s">
        <v>2091</v>
      </c>
      <c r="BC211" s="160" t="str">
        <f t="shared" si="122"/>
        <v>Vitale</v>
      </c>
      <c r="BD211" s="360" t="s">
        <v>2091</v>
      </c>
      <c r="BE211" s="160" t="str">
        <f t="shared" si="123"/>
        <v>Terminer</v>
      </c>
      <c r="BF211" s="360" t="s">
        <v>2091</v>
      </c>
      <c r="BG211" s="160" t="str">
        <f t="shared" si="124"/>
        <v>Realisation</v>
      </c>
      <c r="BH211" s="360" t="s">
        <v>2091</v>
      </c>
      <c r="BI211" s="371" t="str">
        <f t="shared" ca="1" si="125"/>
        <v>2023/03/22</v>
      </c>
      <c r="BJ211" s="360" t="s">
        <v>2091</v>
      </c>
      <c r="BK211" s="329" t="str">
        <f t="shared" ca="1" si="126"/>
        <v>2023/03/22</v>
      </c>
      <c r="BL211" s="360" t="s">
        <v>2091</v>
      </c>
      <c r="BM211" s="329" t="str">
        <f t="shared" ca="1" si="127"/>
        <v>2023/03/22</v>
      </c>
      <c r="BN211" s="360" t="s">
        <v>2091</v>
      </c>
      <c r="BO211" s="329" t="str">
        <f t="shared" ca="1" si="128"/>
        <v>2023/03/22</v>
      </c>
      <c r="BP211" s="360" t="s">
        <v>2091</v>
      </c>
      <c r="BQ211" s="329" t="str">
        <f t="shared" ca="1" si="129"/>
        <v>2023/03/23</v>
      </c>
      <c r="BR211" s="360" t="s">
        <v>2093</v>
      </c>
      <c r="BS211" s="160">
        <f t="shared" si="130"/>
        <v>5</v>
      </c>
      <c r="BT211" s="160" t="s">
        <v>2021</v>
      </c>
      <c r="BU211" s="322" t="str">
        <f t="shared" ca="1" si="131"/>
        <v>INSERT INTO TACHES(numTache,nameTache,descriptionTache,prioTache,stateTache,categoryTache,dateCreateTache,dateInProgressTache,dateToTestTache,dateEndThTache,dateEndRealTache,idProjet) VALUES ('10','tache10','tache10','Vitale','Terminer','Realisation','2023/03/22','2023/03/22','2023/03/22','2023/03/22','2023/03/23',5);</v>
      </c>
      <c r="BV211" s="322" t="s">
        <v>2458</v>
      </c>
    </row>
    <row r="212" spans="6:74" ht="20.05" customHeight="1" outlineLevel="1" thickBot="1" x14ac:dyDescent="0.35">
      <c r="F212" s="160">
        <f t="shared" ref="F212:G227" si="135">F211+1</f>
        <v>83</v>
      </c>
      <c r="G212" s="160">
        <f t="shared" si="135"/>
        <v>11</v>
      </c>
      <c r="H212" s="160" t="s">
        <v>2128</v>
      </c>
      <c r="I212" s="160" t="str">
        <f t="shared" si="116"/>
        <v>tache11</v>
      </c>
      <c r="J212" s="160" t="s">
        <v>1867</v>
      </c>
      <c r="K212" s="160" t="s">
        <v>2375</v>
      </c>
      <c r="L212" s="160" t="s">
        <v>1879</v>
      </c>
      <c r="M212" s="329">
        <f>Q211</f>
        <v>45008</v>
      </c>
      <c r="N212" s="329">
        <f t="shared" si="108"/>
        <v>45008</v>
      </c>
      <c r="O212" s="329">
        <f>M212</f>
        <v>45008</v>
      </c>
      <c r="P212" s="329">
        <f>M212</f>
        <v>45008</v>
      </c>
      <c r="Q212" s="329">
        <f>P212+1</f>
        <v>45009</v>
      </c>
      <c r="R212" s="160">
        <f t="shared" si="134"/>
        <v>5</v>
      </c>
      <c r="S212" s="160">
        <f t="shared" si="117"/>
        <v>3</v>
      </c>
      <c r="T212" s="160" t="s">
        <v>1922</v>
      </c>
      <c r="U212" s="322" t="str">
        <f t="shared" si="118"/>
        <v>TACHES</v>
      </c>
      <c r="V212" s="160" t="s">
        <v>2088</v>
      </c>
      <c r="W212" s="189" t="s">
        <v>355</v>
      </c>
      <c r="X212" s="360" t="s">
        <v>2020</v>
      </c>
      <c r="Y212" s="189" t="s">
        <v>337</v>
      </c>
      <c r="Z212" s="360" t="s">
        <v>2020</v>
      </c>
      <c r="AA212" s="189" t="s">
        <v>340</v>
      </c>
      <c r="AB212" s="360" t="s">
        <v>2020</v>
      </c>
      <c r="AC212" s="189" t="s">
        <v>266</v>
      </c>
      <c r="AD212" s="360" t="s">
        <v>2020</v>
      </c>
      <c r="AE212" s="189" t="s">
        <v>244</v>
      </c>
      <c r="AF212" s="360" t="s">
        <v>2020</v>
      </c>
      <c r="AG212" s="189" t="s">
        <v>296</v>
      </c>
      <c r="AH212" s="360" t="s">
        <v>2020</v>
      </c>
      <c r="AI212" s="189" t="s">
        <v>298</v>
      </c>
      <c r="AJ212" s="360" t="s">
        <v>2020</v>
      </c>
      <c r="AK212" s="189" t="s">
        <v>299</v>
      </c>
      <c r="AL212" s="360" t="s">
        <v>2020</v>
      </c>
      <c r="AM212" s="189" t="s">
        <v>300</v>
      </c>
      <c r="AN212" s="360" t="s">
        <v>2020</v>
      </c>
      <c r="AO212" s="189" t="s">
        <v>301</v>
      </c>
      <c r="AP212" s="360" t="s">
        <v>2020</v>
      </c>
      <c r="AQ212" s="192" t="s">
        <v>302</v>
      </c>
      <c r="AR212" s="360" t="s">
        <v>2020</v>
      </c>
      <c r="AS212" s="295" t="s">
        <v>287</v>
      </c>
      <c r="AT212" s="360"/>
      <c r="AU212" s="322"/>
      <c r="AV212" s="360" t="s">
        <v>2089</v>
      </c>
      <c r="AW212" s="160">
        <f t="shared" si="119"/>
        <v>11</v>
      </c>
      <c r="AX212" s="360" t="s">
        <v>2091</v>
      </c>
      <c r="AY212" s="160" t="str">
        <f t="shared" si="120"/>
        <v>tache11</v>
      </c>
      <c r="AZ212" s="360" t="s">
        <v>2091</v>
      </c>
      <c r="BA212" s="160" t="str">
        <f t="shared" si="121"/>
        <v>tache11</v>
      </c>
      <c r="BB212" s="360" t="s">
        <v>2091</v>
      </c>
      <c r="BC212" s="160" t="str">
        <f t="shared" si="122"/>
        <v>Vitale</v>
      </c>
      <c r="BD212" s="360" t="s">
        <v>2091</v>
      </c>
      <c r="BE212" s="160" t="str">
        <f t="shared" si="123"/>
        <v>Terminer</v>
      </c>
      <c r="BF212" s="360" t="s">
        <v>2091</v>
      </c>
      <c r="BG212" s="160" t="str">
        <f t="shared" si="124"/>
        <v>Realisation</v>
      </c>
      <c r="BH212" s="360" t="s">
        <v>2091</v>
      </c>
      <c r="BI212" s="371" t="str">
        <f t="shared" ca="1" si="125"/>
        <v>2023/03/23</v>
      </c>
      <c r="BJ212" s="360" t="s">
        <v>2091</v>
      </c>
      <c r="BK212" s="329" t="str">
        <f t="shared" ca="1" si="126"/>
        <v>2023/03/23</v>
      </c>
      <c r="BL212" s="360" t="s">
        <v>2091</v>
      </c>
      <c r="BM212" s="329" t="str">
        <f t="shared" ca="1" si="127"/>
        <v>2023/03/23</v>
      </c>
      <c r="BN212" s="360" t="s">
        <v>2091</v>
      </c>
      <c r="BO212" s="329" t="str">
        <f t="shared" ca="1" si="128"/>
        <v>2023/03/23</v>
      </c>
      <c r="BP212" s="360" t="s">
        <v>2091</v>
      </c>
      <c r="BQ212" s="329" t="str">
        <f t="shared" ca="1" si="129"/>
        <v>2023/03/24</v>
      </c>
      <c r="BR212" s="360" t="s">
        <v>2093</v>
      </c>
      <c r="BS212" s="160">
        <f t="shared" si="130"/>
        <v>5</v>
      </c>
      <c r="BT212" s="160" t="s">
        <v>2021</v>
      </c>
      <c r="BU212" s="322" t="str">
        <f t="shared" ca="1" si="131"/>
        <v>INSERT INTO TACHES(numTache,nameTache,descriptionTache,prioTache,stateTache,categoryTache,dateCreateTache,dateInProgressTache,dateToTestTache,dateEndThTache,dateEndRealTache,idProjet) VALUES ('11','tache11','tache11','Vitale','Terminer','Realisation','2023/03/23','2023/03/23','2023/03/23','2023/03/23','2023/03/24',5);</v>
      </c>
      <c r="BV212" s="322" t="s">
        <v>2459</v>
      </c>
    </row>
    <row r="213" spans="6:74" ht="20.05" customHeight="1" outlineLevel="1" thickBot="1" x14ac:dyDescent="0.35">
      <c r="F213" s="160">
        <f t="shared" si="135"/>
        <v>84</v>
      </c>
      <c r="G213" s="160">
        <f t="shared" si="135"/>
        <v>12</v>
      </c>
      <c r="H213" s="160" t="s">
        <v>2129</v>
      </c>
      <c r="I213" s="160" t="str">
        <f t="shared" si="116"/>
        <v>tache12</v>
      </c>
      <c r="J213" s="160" t="s">
        <v>1867</v>
      </c>
      <c r="K213" s="160" t="s">
        <v>2375</v>
      </c>
      <c r="L213" s="160" t="s">
        <v>1879</v>
      </c>
      <c r="M213" s="329">
        <f>Q212</f>
        <v>45009</v>
      </c>
      <c r="N213" s="329">
        <f t="shared" ref="N213:N219" si="136">M213</f>
        <v>45009</v>
      </c>
      <c r="O213" s="329">
        <f>N213+2</f>
        <v>45011</v>
      </c>
      <c r="P213" s="329">
        <f>O213+0</f>
        <v>45011</v>
      </c>
      <c r="Q213" s="329">
        <f>P213</f>
        <v>45011</v>
      </c>
      <c r="R213" s="160">
        <f t="shared" si="134"/>
        <v>5</v>
      </c>
      <c r="S213" s="160">
        <f t="shared" si="117"/>
        <v>2</v>
      </c>
      <c r="T213" s="160" t="s">
        <v>1922</v>
      </c>
      <c r="U213" s="322" t="str">
        <f t="shared" si="118"/>
        <v>TACHES</v>
      </c>
      <c r="V213" s="160" t="s">
        <v>2088</v>
      </c>
      <c r="W213" s="189" t="s">
        <v>355</v>
      </c>
      <c r="X213" s="360" t="s">
        <v>2020</v>
      </c>
      <c r="Y213" s="189" t="s">
        <v>337</v>
      </c>
      <c r="Z213" s="360" t="s">
        <v>2020</v>
      </c>
      <c r="AA213" s="189" t="s">
        <v>340</v>
      </c>
      <c r="AB213" s="360" t="s">
        <v>2020</v>
      </c>
      <c r="AC213" s="189" t="s">
        <v>266</v>
      </c>
      <c r="AD213" s="360" t="s">
        <v>2020</v>
      </c>
      <c r="AE213" s="189" t="s">
        <v>244</v>
      </c>
      <c r="AF213" s="360" t="s">
        <v>2020</v>
      </c>
      <c r="AG213" s="189" t="s">
        <v>296</v>
      </c>
      <c r="AH213" s="360" t="s">
        <v>2020</v>
      </c>
      <c r="AI213" s="189" t="s">
        <v>298</v>
      </c>
      <c r="AJ213" s="360" t="s">
        <v>2020</v>
      </c>
      <c r="AK213" s="189" t="s">
        <v>299</v>
      </c>
      <c r="AL213" s="360" t="s">
        <v>2020</v>
      </c>
      <c r="AM213" s="189" t="s">
        <v>300</v>
      </c>
      <c r="AN213" s="360" t="s">
        <v>2020</v>
      </c>
      <c r="AO213" s="189" t="s">
        <v>301</v>
      </c>
      <c r="AP213" s="360" t="s">
        <v>2020</v>
      </c>
      <c r="AQ213" s="192" t="s">
        <v>302</v>
      </c>
      <c r="AR213" s="360" t="s">
        <v>2020</v>
      </c>
      <c r="AS213" s="295" t="s">
        <v>287</v>
      </c>
      <c r="AT213" s="360"/>
      <c r="AU213" s="322"/>
      <c r="AV213" s="360" t="s">
        <v>2089</v>
      </c>
      <c r="AW213" s="160">
        <f t="shared" si="119"/>
        <v>12</v>
      </c>
      <c r="AX213" s="360" t="s">
        <v>2091</v>
      </c>
      <c r="AY213" s="160" t="str">
        <f t="shared" si="120"/>
        <v>tache12</v>
      </c>
      <c r="AZ213" s="360" t="s">
        <v>2091</v>
      </c>
      <c r="BA213" s="160" t="str">
        <f t="shared" si="121"/>
        <v>tache12</v>
      </c>
      <c r="BB213" s="360" t="s">
        <v>2091</v>
      </c>
      <c r="BC213" s="160" t="str">
        <f t="shared" si="122"/>
        <v>Vitale</v>
      </c>
      <c r="BD213" s="360" t="s">
        <v>2091</v>
      </c>
      <c r="BE213" s="160" t="str">
        <f t="shared" si="123"/>
        <v>Terminer</v>
      </c>
      <c r="BF213" s="360" t="s">
        <v>2091</v>
      </c>
      <c r="BG213" s="160" t="str">
        <f t="shared" si="124"/>
        <v>Realisation</v>
      </c>
      <c r="BH213" s="360" t="s">
        <v>2091</v>
      </c>
      <c r="BI213" s="371" t="str">
        <f t="shared" ca="1" si="125"/>
        <v>2023/03/24</v>
      </c>
      <c r="BJ213" s="360" t="s">
        <v>2091</v>
      </c>
      <c r="BK213" s="329" t="str">
        <f t="shared" ca="1" si="126"/>
        <v>2023/03/24</v>
      </c>
      <c r="BL213" s="360" t="s">
        <v>2091</v>
      </c>
      <c r="BM213" s="329" t="str">
        <f t="shared" ca="1" si="127"/>
        <v>2023/03/26</v>
      </c>
      <c r="BN213" s="360" t="s">
        <v>2091</v>
      </c>
      <c r="BO213" s="329" t="str">
        <f t="shared" ca="1" si="128"/>
        <v>2023/03/26</v>
      </c>
      <c r="BP213" s="360" t="s">
        <v>2091</v>
      </c>
      <c r="BQ213" s="329" t="str">
        <f t="shared" ca="1" si="129"/>
        <v>2023/03/26</v>
      </c>
      <c r="BR213" s="360" t="s">
        <v>2093</v>
      </c>
      <c r="BS213" s="160">
        <f t="shared" si="130"/>
        <v>5</v>
      </c>
      <c r="BT213" s="160" t="s">
        <v>2021</v>
      </c>
      <c r="BU213" s="322" t="str">
        <f t="shared" ca="1" si="131"/>
        <v>INSERT INTO TACHES(numTache,nameTache,descriptionTache,prioTache,stateTache,categoryTache,dateCreateTache,dateInProgressTache,dateToTestTache,dateEndThTache,dateEndRealTache,idProjet) VALUES ('12','tache12','tache12','Vitale','Terminer','Realisation','2023/03/24','2023/03/24','2023/03/26','2023/03/26','2023/03/26',5);</v>
      </c>
      <c r="BV213" s="322" t="s">
        <v>2460</v>
      </c>
    </row>
    <row r="214" spans="6:74" ht="15.65" outlineLevel="1" thickBot="1" x14ac:dyDescent="0.35">
      <c r="F214" s="160">
        <f t="shared" si="135"/>
        <v>85</v>
      </c>
      <c r="G214" s="160">
        <f t="shared" si="135"/>
        <v>13</v>
      </c>
      <c r="H214" s="160" t="s">
        <v>2130</v>
      </c>
      <c r="I214" s="160" t="str">
        <f t="shared" si="116"/>
        <v>tache13</v>
      </c>
      <c r="J214" s="160" t="s">
        <v>1867</v>
      </c>
      <c r="K214" s="160" t="s">
        <v>2375</v>
      </c>
      <c r="L214" s="160" t="s">
        <v>1879</v>
      </c>
      <c r="M214" s="329">
        <f>Q213+1</f>
        <v>45012</v>
      </c>
      <c r="N214" s="329">
        <f t="shared" si="136"/>
        <v>45012</v>
      </c>
      <c r="O214" s="329">
        <f>M214</f>
        <v>45012</v>
      </c>
      <c r="P214" s="329">
        <f>M214</f>
        <v>45012</v>
      </c>
      <c r="Q214" s="329">
        <f>M214</f>
        <v>45012</v>
      </c>
      <c r="R214" s="160">
        <f t="shared" si="134"/>
        <v>5</v>
      </c>
      <c r="S214" s="160">
        <f t="shared" si="117"/>
        <v>2</v>
      </c>
      <c r="T214" s="160" t="s">
        <v>1922</v>
      </c>
      <c r="U214" s="322" t="str">
        <f t="shared" si="118"/>
        <v>TACHES</v>
      </c>
      <c r="V214" s="160" t="s">
        <v>2088</v>
      </c>
      <c r="W214" s="189" t="s">
        <v>355</v>
      </c>
      <c r="X214" s="360" t="s">
        <v>2020</v>
      </c>
      <c r="Y214" s="189" t="s">
        <v>337</v>
      </c>
      <c r="Z214" s="360" t="s">
        <v>2020</v>
      </c>
      <c r="AA214" s="189" t="s">
        <v>340</v>
      </c>
      <c r="AB214" s="360" t="s">
        <v>2020</v>
      </c>
      <c r="AC214" s="189" t="s">
        <v>266</v>
      </c>
      <c r="AD214" s="360" t="s">
        <v>2020</v>
      </c>
      <c r="AE214" s="189" t="s">
        <v>244</v>
      </c>
      <c r="AF214" s="360" t="s">
        <v>2020</v>
      </c>
      <c r="AG214" s="189" t="s">
        <v>296</v>
      </c>
      <c r="AH214" s="360" t="s">
        <v>2020</v>
      </c>
      <c r="AI214" s="189" t="s">
        <v>298</v>
      </c>
      <c r="AJ214" s="360" t="s">
        <v>2020</v>
      </c>
      <c r="AK214" s="189" t="s">
        <v>299</v>
      </c>
      <c r="AL214" s="360" t="s">
        <v>2020</v>
      </c>
      <c r="AM214" s="189" t="s">
        <v>300</v>
      </c>
      <c r="AN214" s="360" t="s">
        <v>2020</v>
      </c>
      <c r="AO214" s="189" t="s">
        <v>301</v>
      </c>
      <c r="AP214" s="360" t="s">
        <v>2020</v>
      </c>
      <c r="AQ214" s="192" t="s">
        <v>302</v>
      </c>
      <c r="AR214" s="360" t="s">
        <v>2020</v>
      </c>
      <c r="AS214" s="295" t="s">
        <v>287</v>
      </c>
      <c r="AT214" s="360"/>
      <c r="AU214" s="322"/>
      <c r="AV214" s="360" t="s">
        <v>2089</v>
      </c>
      <c r="AW214" s="160">
        <f t="shared" si="119"/>
        <v>13</v>
      </c>
      <c r="AX214" s="360" t="s">
        <v>2091</v>
      </c>
      <c r="AY214" s="160" t="str">
        <f t="shared" si="120"/>
        <v>tache13</v>
      </c>
      <c r="AZ214" s="360" t="s">
        <v>2091</v>
      </c>
      <c r="BA214" s="160" t="str">
        <f t="shared" si="121"/>
        <v>tache13</v>
      </c>
      <c r="BB214" s="360" t="s">
        <v>2091</v>
      </c>
      <c r="BC214" s="160" t="str">
        <f t="shared" si="122"/>
        <v>Vitale</v>
      </c>
      <c r="BD214" s="360" t="s">
        <v>2091</v>
      </c>
      <c r="BE214" s="160" t="str">
        <f t="shared" si="123"/>
        <v>Terminer</v>
      </c>
      <c r="BF214" s="360" t="s">
        <v>2091</v>
      </c>
      <c r="BG214" s="160" t="str">
        <f t="shared" si="124"/>
        <v>Realisation</v>
      </c>
      <c r="BH214" s="360" t="s">
        <v>2091</v>
      </c>
      <c r="BI214" s="371" t="str">
        <f t="shared" ca="1" si="125"/>
        <v>2023/03/27</v>
      </c>
      <c r="BJ214" s="360" t="s">
        <v>2091</v>
      </c>
      <c r="BK214" s="329" t="str">
        <f t="shared" ca="1" si="126"/>
        <v>2023/03/27</v>
      </c>
      <c r="BL214" s="360" t="s">
        <v>2091</v>
      </c>
      <c r="BM214" s="329" t="str">
        <f t="shared" ca="1" si="127"/>
        <v>2023/03/27</v>
      </c>
      <c r="BN214" s="360" t="s">
        <v>2091</v>
      </c>
      <c r="BO214" s="329" t="str">
        <f t="shared" ca="1" si="128"/>
        <v>2023/03/27</v>
      </c>
      <c r="BP214" s="360" t="s">
        <v>2091</v>
      </c>
      <c r="BQ214" s="329" t="str">
        <f t="shared" ca="1" si="129"/>
        <v>2023/03/27</v>
      </c>
      <c r="BR214" s="360" t="s">
        <v>2093</v>
      </c>
      <c r="BS214" s="160">
        <f t="shared" si="130"/>
        <v>5</v>
      </c>
      <c r="BT214" s="160" t="s">
        <v>2021</v>
      </c>
      <c r="BU214" s="322" t="str">
        <f t="shared" ca="1" si="131"/>
        <v>INSERT INTO TACHES(numTache,nameTache,descriptionTache,prioTache,stateTache,categoryTache,dateCreateTache,dateInProgressTache,dateToTestTache,dateEndThTache,dateEndRealTache,idProjet) VALUES ('13','tache13','tache13','Vitale','Terminer','Realisation','2023/03/27','2023/03/27','2023/03/27','2023/03/27','2023/03/27',5);</v>
      </c>
      <c r="BV214" s="322" t="s">
        <v>2461</v>
      </c>
    </row>
    <row r="215" spans="6:74" ht="28.05" customHeight="1" outlineLevel="1" thickBot="1" x14ac:dyDescent="0.35">
      <c r="F215" s="160">
        <f t="shared" si="135"/>
        <v>86</v>
      </c>
      <c r="G215" s="160">
        <f t="shared" si="135"/>
        <v>14</v>
      </c>
      <c r="H215" s="160" t="s">
        <v>2131</v>
      </c>
      <c r="I215" s="160" t="str">
        <f t="shared" si="116"/>
        <v>tache14</v>
      </c>
      <c r="J215" s="160" t="s">
        <v>1867</v>
      </c>
      <c r="K215" s="160" t="s">
        <v>2375</v>
      </c>
      <c r="L215" s="160" t="s">
        <v>1879</v>
      </c>
      <c r="M215" s="329">
        <f>Q214+1</f>
        <v>45013</v>
      </c>
      <c r="N215" s="329">
        <f t="shared" si="136"/>
        <v>45013</v>
      </c>
      <c r="O215" s="329">
        <f>M215</f>
        <v>45013</v>
      </c>
      <c r="P215" s="329">
        <f>M215</f>
        <v>45013</v>
      </c>
      <c r="Q215" s="329">
        <f>M215</f>
        <v>45013</v>
      </c>
      <c r="R215" s="160">
        <f t="shared" si="134"/>
        <v>5</v>
      </c>
      <c r="S215" s="160">
        <f t="shared" si="117"/>
        <v>2</v>
      </c>
      <c r="T215" s="160" t="s">
        <v>1922</v>
      </c>
      <c r="U215" s="322" t="str">
        <f t="shared" si="118"/>
        <v>TACHES</v>
      </c>
      <c r="V215" s="160" t="s">
        <v>2088</v>
      </c>
      <c r="W215" s="189" t="s">
        <v>355</v>
      </c>
      <c r="X215" s="360" t="s">
        <v>2020</v>
      </c>
      <c r="Y215" s="189" t="s">
        <v>337</v>
      </c>
      <c r="Z215" s="360" t="s">
        <v>2020</v>
      </c>
      <c r="AA215" s="189" t="s">
        <v>340</v>
      </c>
      <c r="AB215" s="360" t="s">
        <v>2020</v>
      </c>
      <c r="AC215" s="189" t="s">
        <v>266</v>
      </c>
      <c r="AD215" s="360" t="s">
        <v>2020</v>
      </c>
      <c r="AE215" s="189" t="s">
        <v>244</v>
      </c>
      <c r="AF215" s="360" t="s">
        <v>2020</v>
      </c>
      <c r="AG215" s="189" t="s">
        <v>296</v>
      </c>
      <c r="AH215" s="360" t="s">
        <v>2020</v>
      </c>
      <c r="AI215" s="189" t="s">
        <v>298</v>
      </c>
      <c r="AJ215" s="360" t="s">
        <v>2020</v>
      </c>
      <c r="AK215" s="189" t="s">
        <v>299</v>
      </c>
      <c r="AL215" s="360" t="s">
        <v>2020</v>
      </c>
      <c r="AM215" s="189" t="s">
        <v>300</v>
      </c>
      <c r="AN215" s="360" t="s">
        <v>2020</v>
      </c>
      <c r="AO215" s="189" t="s">
        <v>301</v>
      </c>
      <c r="AP215" s="360" t="s">
        <v>2020</v>
      </c>
      <c r="AQ215" s="192" t="s">
        <v>302</v>
      </c>
      <c r="AR215" s="360" t="s">
        <v>2020</v>
      </c>
      <c r="AS215" s="295" t="s">
        <v>287</v>
      </c>
      <c r="AT215" s="360"/>
      <c r="AU215" s="322"/>
      <c r="AV215" s="360" t="s">
        <v>2089</v>
      </c>
      <c r="AW215" s="160">
        <f t="shared" si="119"/>
        <v>14</v>
      </c>
      <c r="AX215" s="360" t="s">
        <v>2091</v>
      </c>
      <c r="AY215" s="160" t="str">
        <f t="shared" si="120"/>
        <v>tache14</v>
      </c>
      <c r="AZ215" s="360" t="s">
        <v>2091</v>
      </c>
      <c r="BA215" s="160" t="str">
        <f t="shared" si="121"/>
        <v>tache14</v>
      </c>
      <c r="BB215" s="360" t="s">
        <v>2091</v>
      </c>
      <c r="BC215" s="160" t="str">
        <f t="shared" si="122"/>
        <v>Vitale</v>
      </c>
      <c r="BD215" s="360" t="s">
        <v>2091</v>
      </c>
      <c r="BE215" s="160" t="str">
        <f t="shared" si="123"/>
        <v>Terminer</v>
      </c>
      <c r="BF215" s="360" t="s">
        <v>2091</v>
      </c>
      <c r="BG215" s="160" t="str">
        <f t="shared" si="124"/>
        <v>Realisation</v>
      </c>
      <c r="BH215" s="360" t="s">
        <v>2091</v>
      </c>
      <c r="BI215" s="371" t="str">
        <f t="shared" ca="1" si="125"/>
        <v>2023/03/28</v>
      </c>
      <c r="BJ215" s="360" t="s">
        <v>2091</v>
      </c>
      <c r="BK215" s="329" t="str">
        <f t="shared" ca="1" si="126"/>
        <v>2023/03/28</v>
      </c>
      <c r="BL215" s="360" t="s">
        <v>2091</v>
      </c>
      <c r="BM215" s="329" t="str">
        <f t="shared" ca="1" si="127"/>
        <v>2023/03/28</v>
      </c>
      <c r="BN215" s="360" t="s">
        <v>2091</v>
      </c>
      <c r="BO215" s="329" t="str">
        <f t="shared" ca="1" si="128"/>
        <v>2023/03/28</v>
      </c>
      <c r="BP215" s="360" t="s">
        <v>2091</v>
      </c>
      <c r="BQ215" s="329" t="str">
        <f t="shared" ca="1" si="129"/>
        <v>2023/03/28</v>
      </c>
      <c r="BR215" s="360" t="s">
        <v>2093</v>
      </c>
      <c r="BS215" s="160">
        <f t="shared" si="130"/>
        <v>5</v>
      </c>
      <c r="BT215" s="160" t="s">
        <v>2021</v>
      </c>
      <c r="BU215" s="322" t="str">
        <f t="shared" ca="1" si="131"/>
        <v>INSERT INTO TACHES(numTache,nameTache,descriptionTache,prioTache,stateTache,categoryTache,dateCreateTache,dateInProgressTache,dateToTestTache,dateEndThTache,dateEndRealTache,idProjet) VALUES ('14','tache14','tache14','Vitale','Terminer','Realisation','2023/03/28','2023/03/28','2023/03/28','2023/03/28','2023/03/28',5);</v>
      </c>
      <c r="BV215" s="322" t="s">
        <v>2462</v>
      </c>
    </row>
    <row r="216" spans="6:74" ht="30.05" customHeight="1" outlineLevel="1" thickBot="1" x14ac:dyDescent="0.35">
      <c r="F216" s="160">
        <f t="shared" si="135"/>
        <v>87</v>
      </c>
      <c r="G216" s="160">
        <f t="shared" si="135"/>
        <v>15</v>
      </c>
      <c r="H216" s="160" t="s">
        <v>2132</v>
      </c>
      <c r="I216" s="160" t="str">
        <f t="shared" si="116"/>
        <v>tache15</v>
      </c>
      <c r="J216" s="160" t="s">
        <v>1868</v>
      </c>
      <c r="K216" s="160" t="s">
        <v>2375</v>
      </c>
      <c r="L216" s="160" t="s">
        <v>1879</v>
      </c>
      <c r="M216" s="329">
        <f>Q210+1</f>
        <v>45016</v>
      </c>
      <c r="N216" s="329">
        <f t="shared" si="136"/>
        <v>45016</v>
      </c>
      <c r="O216" s="329">
        <f>M216</f>
        <v>45016</v>
      </c>
      <c r="P216" s="329">
        <f>M216</f>
        <v>45016</v>
      </c>
      <c r="Q216" s="329">
        <f>M216</f>
        <v>45016</v>
      </c>
      <c r="R216" s="160">
        <f t="shared" si="134"/>
        <v>5</v>
      </c>
      <c r="S216" s="160">
        <f t="shared" si="117"/>
        <v>2</v>
      </c>
      <c r="T216" s="160" t="s">
        <v>1922</v>
      </c>
      <c r="U216" s="322" t="str">
        <f t="shared" si="118"/>
        <v>TACHES</v>
      </c>
      <c r="V216" s="160" t="s">
        <v>2088</v>
      </c>
      <c r="W216" s="189" t="s">
        <v>355</v>
      </c>
      <c r="X216" s="360" t="s">
        <v>2020</v>
      </c>
      <c r="Y216" s="189" t="s">
        <v>337</v>
      </c>
      <c r="Z216" s="360" t="s">
        <v>2020</v>
      </c>
      <c r="AA216" s="189" t="s">
        <v>340</v>
      </c>
      <c r="AB216" s="360" t="s">
        <v>2020</v>
      </c>
      <c r="AC216" s="189" t="s">
        <v>266</v>
      </c>
      <c r="AD216" s="360" t="s">
        <v>2020</v>
      </c>
      <c r="AE216" s="189" t="s">
        <v>244</v>
      </c>
      <c r="AF216" s="360" t="s">
        <v>2020</v>
      </c>
      <c r="AG216" s="189" t="s">
        <v>296</v>
      </c>
      <c r="AH216" s="360" t="s">
        <v>2020</v>
      </c>
      <c r="AI216" s="189" t="s">
        <v>298</v>
      </c>
      <c r="AJ216" s="360" t="s">
        <v>2020</v>
      </c>
      <c r="AK216" s="189" t="s">
        <v>299</v>
      </c>
      <c r="AL216" s="360" t="s">
        <v>2020</v>
      </c>
      <c r="AM216" s="189" t="s">
        <v>300</v>
      </c>
      <c r="AN216" s="360" t="s">
        <v>2020</v>
      </c>
      <c r="AO216" s="189" t="s">
        <v>301</v>
      </c>
      <c r="AP216" s="360" t="s">
        <v>2020</v>
      </c>
      <c r="AQ216" s="192" t="s">
        <v>302</v>
      </c>
      <c r="AR216" s="360" t="s">
        <v>2020</v>
      </c>
      <c r="AS216" s="295" t="s">
        <v>287</v>
      </c>
      <c r="AT216" s="360"/>
      <c r="AU216" s="322"/>
      <c r="AV216" s="360" t="s">
        <v>2089</v>
      </c>
      <c r="AW216" s="160">
        <f t="shared" si="119"/>
        <v>15</v>
      </c>
      <c r="AX216" s="360" t="s">
        <v>2091</v>
      </c>
      <c r="AY216" s="160" t="str">
        <f t="shared" si="120"/>
        <v>tache15</v>
      </c>
      <c r="AZ216" s="360" t="s">
        <v>2091</v>
      </c>
      <c r="BA216" s="160" t="str">
        <f t="shared" si="121"/>
        <v>tache15</v>
      </c>
      <c r="BB216" s="360" t="s">
        <v>2091</v>
      </c>
      <c r="BC216" s="160" t="str">
        <f t="shared" si="122"/>
        <v>Importante</v>
      </c>
      <c r="BD216" s="360" t="s">
        <v>2091</v>
      </c>
      <c r="BE216" s="160" t="str">
        <f t="shared" si="123"/>
        <v>Terminer</v>
      </c>
      <c r="BF216" s="360" t="s">
        <v>2091</v>
      </c>
      <c r="BG216" s="160" t="str">
        <f t="shared" si="124"/>
        <v>Realisation</v>
      </c>
      <c r="BH216" s="360" t="s">
        <v>2091</v>
      </c>
      <c r="BI216" s="371" t="str">
        <f t="shared" ca="1" si="125"/>
        <v>2023/03/31</v>
      </c>
      <c r="BJ216" s="360" t="s">
        <v>2091</v>
      </c>
      <c r="BK216" s="329" t="str">
        <f t="shared" ca="1" si="126"/>
        <v>2023/03/31</v>
      </c>
      <c r="BL216" s="360" t="s">
        <v>2091</v>
      </c>
      <c r="BM216" s="329" t="str">
        <f t="shared" ca="1" si="127"/>
        <v>2023/03/31</v>
      </c>
      <c r="BN216" s="360" t="s">
        <v>2091</v>
      </c>
      <c r="BO216" s="329" t="str">
        <f t="shared" ca="1" si="128"/>
        <v>2023/03/31</v>
      </c>
      <c r="BP216" s="360" t="s">
        <v>2091</v>
      </c>
      <c r="BQ216" s="329" t="str">
        <f t="shared" ca="1" si="129"/>
        <v>2023/03/31</v>
      </c>
      <c r="BR216" s="360" t="s">
        <v>2093</v>
      </c>
      <c r="BS216" s="160">
        <f t="shared" si="130"/>
        <v>5</v>
      </c>
      <c r="BT216" s="160" t="s">
        <v>2021</v>
      </c>
      <c r="BU216" s="322" t="str">
        <f t="shared" ca="1" si="131"/>
        <v>INSERT INTO TACHES(numTache,nameTache,descriptionTache,prioTache,stateTache,categoryTache,dateCreateTache,dateInProgressTache,dateToTestTache,dateEndThTache,dateEndRealTache,idProjet) VALUES ('15','tache15','tache15','Importante','Terminer','Realisation','2023/03/31','2023/03/31','2023/03/31','2023/03/31','2023/03/31',5);</v>
      </c>
      <c r="BV216" s="322" t="s">
        <v>2463</v>
      </c>
    </row>
    <row r="217" spans="6:74" ht="20.05" customHeight="1" outlineLevel="1" thickBot="1" x14ac:dyDescent="0.35">
      <c r="F217" s="160">
        <f t="shared" si="135"/>
        <v>88</v>
      </c>
      <c r="G217" s="160">
        <f t="shared" si="135"/>
        <v>16</v>
      </c>
      <c r="H217" s="160" t="s">
        <v>2133</v>
      </c>
      <c r="I217" s="160" t="str">
        <f t="shared" si="116"/>
        <v>tache16</v>
      </c>
      <c r="J217" s="160" t="s">
        <v>1870</v>
      </c>
      <c r="K217" s="160" t="s">
        <v>2375</v>
      </c>
      <c r="L217" s="160" t="s">
        <v>1879</v>
      </c>
      <c r="M217" s="329">
        <f>Q209+1</f>
        <v>45018</v>
      </c>
      <c r="N217" s="329">
        <f t="shared" si="136"/>
        <v>45018</v>
      </c>
      <c r="O217" s="329">
        <f>N217+1</f>
        <v>45019</v>
      </c>
      <c r="P217" s="329">
        <f>O217</f>
        <v>45019</v>
      </c>
      <c r="Q217" s="329">
        <f>P217</f>
        <v>45019</v>
      </c>
      <c r="R217" s="160">
        <f t="shared" si="134"/>
        <v>5</v>
      </c>
      <c r="S217" s="160">
        <f t="shared" si="117"/>
        <v>2</v>
      </c>
      <c r="T217" s="160" t="s">
        <v>1922</v>
      </c>
      <c r="U217" s="322" t="str">
        <f t="shared" si="118"/>
        <v>TACHES</v>
      </c>
      <c r="V217" s="160" t="s">
        <v>2088</v>
      </c>
      <c r="W217" s="189" t="s">
        <v>355</v>
      </c>
      <c r="X217" s="360" t="s">
        <v>2020</v>
      </c>
      <c r="Y217" s="189" t="s">
        <v>337</v>
      </c>
      <c r="Z217" s="360" t="s">
        <v>2020</v>
      </c>
      <c r="AA217" s="189" t="s">
        <v>340</v>
      </c>
      <c r="AB217" s="360" t="s">
        <v>2020</v>
      </c>
      <c r="AC217" s="189" t="s">
        <v>266</v>
      </c>
      <c r="AD217" s="360" t="s">
        <v>2020</v>
      </c>
      <c r="AE217" s="189" t="s">
        <v>244</v>
      </c>
      <c r="AF217" s="360" t="s">
        <v>2020</v>
      </c>
      <c r="AG217" s="189" t="s">
        <v>296</v>
      </c>
      <c r="AH217" s="360" t="s">
        <v>2020</v>
      </c>
      <c r="AI217" s="189" t="s">
        <v>298</v>
      </c>
      <c r="AJ217" s="360" t="s">
        <v>2020</v>
      </c>
      <c r="AK217" s="189" t="s">
        <v>299</v>
      </c>
      <c r="AL217" s="360" t="s">
        <v>2020</v>
      </c>
      <c r="AM217" s="189" t="s">
        <v>300</v>
      </c>
      <c r="AN217" s="360" t="s">
        <v>2020</v>
      </c>
      <c r="AO217" s="189" t="s">
        <v>301</v>
      </c>
      <c r="AP217" s="360" t="s">
        <v>2020</v>
      </c>
      <c r="AQ217" s="192" t="s">
        <v>302</v>
      </c>
      <c r="AR217" s="360" t="s">
        <v>2020</v>
      </c>
      <c r="AS217" s="295" t="s">
        <v>287</v>
      </c>
      <c r="AT217" s="360"/>
      <c r="AU217" s="322"/>
      <c r="AV217" s="360" t="s">
        <v>2089</v>
      </c>
      <c r="AW217" s="160">
        <f t="shared" si="119"/>
        <v>16</v>
      </c>
      <c r="AX217" s="360" t="s">
        <v>2091</v>
      </c>
      <c r="AY217" s="160" t="str">
        <f t="shared" si="120"/>
        <v>tache16</v>
      </c>
      <c r="AZ217" s="360" t="s">
        <v>2091</v>
      </c>
      <c r="BA217" s="160" t="str">
        <f t="shared" si="121"/>
        <v>tache16</v>
      </c>
      <c r="BB217" s="360" t="s">
        <v>2091</v>
      </c>
      <c r="BC217" s="160" t="str">
        <f t="shared" si="122"/>
        <v>Confort</v>
      </c>
      <c r="BD217" s="360" t="s">
        <v>2091</v>
      </c>
      <c r="BE217" s="160" t="str">
        <f t="shared" si="123"/>
        <v>Terminer</v>
      </c>
      <c r="BF217" s="360" t="s">
        <v>2091</v>
      </c>
      <c r="BG217" s="160" t="str">
        <f t="shared" si="124"/>
        <v>Realisation</v>
      </c>
      <c r="BH217" s="360" t="s">
        <v>2091</v>
      </c>
      <c r="BI217" s="371" t="str">
        <f t="shared" ca="1" si="125"/>
        <v>2023/04/02</v>
      </c>
      <c r="BJ217" s="360" t="s">
        <v>2091</v>
      </c>
      <c r="BK217" s="329" t="str">
        <f t="shared" ca="1" si="126"/>
        <v>2023/04/02</v>
      </c>
      <c r="BL217" s="360" t="s">
        <v>2091</v>
      </c>
      <c r="BM217" s="329" t="str">
        <f t="shared" ca="1" si="127"/>
        <v>2023/04/03</v>
      </c>
      <c r="BN217" s="360" t="s">
        <v>2091</v>
      </c>
      <c r="BO217" s="329" t="str">
        <f t="shared" ca="1" si="128"/>
        <v>2023/04/03</v>
      </c>
      <c r="BP217" s="360" t="s">
        <v>2091</v>
      </c>
      <c r="BQ217" s="329" t="str">
        <f t="shared" ca="1" si="129"/>
        <v>2023/04/03</v>
      </c>
      <c r="BR217" s="360" t="s">
        <v>2093</v>
      </c>
      <c r="BS217" s="160">
        <f t="shared" si="130"/>
        <v>5</v>
      </c>
      <c r="BT217" s="160" t="s">
        <v>2021</v>
      </c>
      <c r="BU217" s="322" t="str">
        <f t="shared" ca="1" si="131"/>
        <v>INSERT INTO TACHES(numTache,nameTache,descriptionTache,prioTache,stateTache,categoryTache,dateCreateTache,dateInProgressTache,dateToTestTache,dateEndThTache,dateEndRealTache,idProjet) VALUES ('16','tache16','tache16','Confort','Terminer','Realisation','2023/04/02','2023/04/02','2023/04/03','2023/04/03','2023/04/03',5);</v>
      </c>
      <c r="BV217" s="322" t="s">
        <v>2464</v>
      </c>
    </row>
    <row r="218" spans="6:74" ht="20.05" customHeight="1" outlineLevel="1" thickBot="1" x14ac:dyDescent="0.35">
      <c r="F218" s="160">
        <f t="shared" si="135"/>
        <v>89</v>
      </c>
      <c r="G218" s="160">
        <f t="shared" si="135"/>
        <v>17</v>
      </c>
      <c r="H218" s="160" t="s">
        <v>2134</v>
      </c>
      <c r="I218" s="160" t="str">
        <f t="shared" si="116"/>
        <v>tache17</v>
      </c>
      <c r="J218" s="160" t="s">
        <v>1867</v>
      </c>
      <c r="K218" s="160" t="s">
        <v>2375</v>
      </c>
      <c r="L218" s="160" t="s">
        <v>1879</v>
      </c>
      <c r="M218" s="329">
        <f>Q215+1</f>
        <v>45014</v>
      </c>
      <c r="N218" s="329">
        <f t="shared" si="136"/>
        <v>45014</v>
      </c>
      <c r="O218" s="329">
        <f t="shared" ref="O218:O224" si="137">M218</f>
        <v>45014</v>
      </c>
      <c r="P218" s="329">
        <f>M218</f>
        <v>45014</v>
      </c>
      <c r="Q218" s="329">
        <f>P218+1</f>
        <v>45015</v>
      </c>
      <c r="R218" s="160">
        <f t="shared" si="134"/>
        <v>5</v>
      </c>
      <c r="S218" s="160">
        <f t="shared" si="117"/>
        <v>3</v>
      </c>
      <c r="T218" s="160" t="s">
        <v>1922</v>
      </c>
      <c r="U218" s="322" t="str">
        <f t="shared" si="118"/>
        <v>TACHES</v>
      </c>
      <c r="V218" s="160" t="s">
        <v>2088</v>
      </c>
      <c r="W218" s="189" t="s">
        <v>355</v>
      </c>
      <c r="X218" s="360" t="s">
        <v>2020</v>
      </c>
      <c r="Y218" s="189" t="s">
        <v>337</v>
      </c>
      <c r="Z218" s="360" t="s">
        <v>2020</v>
      </c>
      <c r="AA218" s="189" t="s">
        <v>340</v>
      </c>
      <c r="AB218" s="360" t="s">
        <v>2020</v>
      </c>
      <c r="AC218" s="189" t="s">
        <v>266</v>
      </c>
      <c r="AD218" s="360" t="s">
        <v>2020</v>
      </c>
      <c r="AE218" s="189" t="s">
        <v>244</v>
      </c>
      <c r="AF218" s="360" t="s">
        <v>2020</v>
      </c>
      <c r="AG218" s="189" t="s">
        <v>296</v>
      </c>
      <c r="AH218" s="360" t="s">
        <v>2020</v>
      </c>
      <c r="AI218" s="189" t="s">
        <v>298</v>
      </c>
      <c r="AJ218" s="360" t="s">
        <v>2020</v>
      </c>
      <c r="AK218" s="189" t="s">
        <v>299</v>
      </c>
      <c r="AL218" s="360" t="s">
        <v>2020</v>
      </c>
      <c r="AM218" s="189" t="s">
        <v>300</v>
      </c>
      <c r="AN218" s="360" t="s">
        <v>2020</v>
      </c>
      <c r="AO218" s="189" t="s">
        <v>301</v>
      </c>
      <c r="AP218" s="360" t="s">
        <v>2020</v>
      </c>
      <c r="AQ218" s="192" t="s">
        <v>302</v>
      </c>
      <c r="AR218" s="360" t="s">
        <v>2020</v>
      </c>
      <c r="AS218" s="295" t="s">
        <v>287</v>
      </c>
      <c r="AT218" s="360"/>
      <c r="AU218" s="322"/>
      <c r="AV218" s="360" t="s">
        <v>2089</v>
      </c>
      <c r="AW218" s="160">
        <f t="shared" si="119"/>
        <v>17</v>
      </c>
      <c r="AX218" s="360" t="s">
        <v>2091</v>
      </c>
      <c r="AY218" s="160" t="str">
        <f t="shared" si="120"/>
        <v>tache17</v>
      </c>
      <c r="AZ218" s="360" t="s">
        <v>2091</v>
      </c>
      <c r="BA218" s="160" t="str">
        <f t="shared" si="121"/>
        <v>tache17</v>
      </c>
      <c r="BB218" s="360" t="s">
        <v>2091</v>
      </c>
      <c r="BC218" s="160" t="str">
        <f t="shared" si="122"/>
        <v>Vitale</v>
      </c>
      <c r="BD218" s="360" t="s">
        <v>2091</v>
      </c>
      <c r="BE218" s="160" t="str">
        <f t="shared" si="123"/>
        <v>Terminer</v>
      </c>
      <c r="BF218" s="360" t="s">
        <v>2091</v>
      </c>
      <c r="BG218" s="160" t="str">
        <f t="shared" si="124"/>
        <v>Realisation</v>
      </c>
      <c r="BH218" s="360" t="s">
        <v>2091</v>
      </c>
      <c r="BI218" s="371" t="str">
        <f t="shared" ca="1" si="125"/>
        <v>2023/03/29</v>
      </c>
      <c r="BJ218" s="360" t="s">
        <v>2091</v>
      </c>
      <c r="BK218" s="329" t="str">
        <f t="shared" ca="1" si="126"/>
        <v>2023/03/29</v>
      </c>
      <c r="BL218" s="360" t="s">
        <v>2091</v>
      </c>
      <c r="BM218" s="329" t="str">
        <f t="shared" ca="1" si="127"/>
        <v>2023/03/29</v>
      </c>
      <c r="BN218" s="360" t="s">
        <v>2091</v>
      </c>
      <c r="BO218" s="329" t="str">
        <f t="shared" ca="1" si="128"/>
        <v>2023/03/29</v>
      </c>
      <c r="BP218" s="360" t="s">
        <v>2091</v>
      </c>
      <c r="BQ218" s="329" t="str">
        <f t="shared" ca="1" si="129"/>
        <v>2023/03/30</v>
      </c>
      <c r="BR218" s="360" t="s">
        <v>2093</v>
      </c>
      <c r="BS218" s="160">
        <f t="shared" si="130"/>
        <v>5</v>
      </c>
      <c r="BT218" s="160" t="s">
        <v>2021</v>
      </c>
      <c r="BU218" s="322" t="str">
        <f t="shared" ca="1" si="131"/>
        <v>INSERT INTO TACHES(numTache,nameTache,descriptionTache,prioTache,stateTache,categoryTache,dateCreateTache,dateInProgressTache,dateToTestTache,dateEndThTache,dateEndRealTache,idProjet) VALUES ('17','tache17','tache17','Vitale','Terminer','Realisation','2023/03/29','2023/03/29','2023/03/29','2023/03/29','2023/03/30',5);</v>
      </c>
      <c r="BV218" s="322" t="s">
        <v>2465</v>
      </c>
    </row>
    <row r="219" spans="6:74" ht="28.2" customHeight="1" thickBot="1" x14ac:dyDescent="0.35">
      <c r="F219" s="160">
        <f t="shared" si="135"/>
        <v>90</v>
      </c>
      <c r="G219" s="160">
        <f t="shared" si="135"/>
        <v>18</v>
      </c>
      <c r="H219" s="160" t="s">
        <v>2135</v>
      </c>
      <c r="I219" s="160" t="str">
        <f t="shared" si="116"/>
        <v>tache18</v>
      </c>
      <c r="J219" s="160" t="s">
        <v>1867</v>
      </c>
      <c r="K219" s="160" t="s">
        <v>2375</v>
      </c>
      <c r="L219" s="160" t="s">
        <v>1880</v>
      </c>
      <c r="M219" s="346">
        <f>Q217+1</f>
        <v>45020</v>
      </c>
      <c r="N219" s="329">
        <f t="shared" si="136"/>
        <v>45020</v>
      </c>
      <c r="O219" s="329">
        <f t="shared" si="137"/>
        <v>45020</v>
      </c>
      <c r="P219" s="329">
        <f>O219+0</f>
        <v>45020</v>
      </c>
      <c r="Q219" s="329">
        <f>P219</f>
        <v>45020</v>
      </c>
      <c r="R219" s="160">
        <f t="shared" si="134"/>
        <v>5</v>
      </c>
      <c r="S219" s="160">
        <f t="shared" si="117"/>
        <v>2</v>
      </c>
      <c r="T219" s="160" t="s">
        <v>1922</v>
      </c>
      <c r="U219" s="322" t="str">
        <f t="shared" si="118"/>
        <v>TACHES</v>
      </c>
      <c r="V219" s="160" t="s">
        <v>2088</v>
      </c>
      <c r="W219" s="189" t="s">
        <v>355</v>
      </c>
      <c r="X219" s="360" t="s">
        <v>2020</v>
      </c>
      <c r="Y219" s="189" t="s">
        <v>337</v>
      </c>
      <c r="Z219" s="360" t="s">
        <v>2020</v>
      </c>
      <c r="AA219" s="189" t="s">
        <v>340</v>
      </c>
      <c r="AB219" s="360" t="s">
        <v>2020</v>
      </c>
      <c r="AC219" s="189" t="s">
        <v>266</v>
      </c>
      <c r="AD219" s="360" t="s">
        <v>2020</v>
      </c>
      <c r="AE219" s="189" t="s">
        <v>244</v>
      </c>
      <c r="AF219" s="360" t="s">
        <v>2020</v>
      </c>
      <c r="AG219" s="189" t="s">
        <v>296</v>
      </c>
      <c r="AH219" s="360" t="s">
        <v>2020</v>
      </c>
      <c r="AI219" s="189" t="s">
        <v>298</v>
      </c>
      <c r="AJ219" s="360" t="s">
        <v>2020</v>
      </c>
      <c r="AK219" s="189" t="s">
        <v>299</v>
      </c>
      <c r="AL219" s="360" t="s">
        <v>2020</v>
      </c>
      <c r="AM219" s="189" t="s">
        <v>300</v>
      </c>
      <c r="AN219" s="360" t="s">
        <v>2020</v>
      </c>
      <c r="AO219" s="189" t="s">
        <v>301</v>
      </c>
      <c r="AP219" s="360" t="s">
        <v>2020</v>
      </c>
      <c r="AQ219" s="192" t="s">
        <v>302</v>
      </c>
      <c r="AR219" s="360" t="s">
        <v>2020</v>
      </c>
      <c r="AS219" s="295" t="s">
        <v>287</v>
      </c>
      <c r="AT219" s="360"/>
      <c r="AU219" s="322"/>
      <c r="AV219" s="360" t="s">
        <v>2089</v>
      </c>
      <c r="AW219" s="160">
        <f t="shared" si="119"/>
        <v>18</v>
      </c>
      <c r="AX219" s="360" t="s">
        <v>2091</v>
      </c>
      <c r="AY219" s="160" t="str">
        <f t="shared" si="120"/>
        <v>tache18</v>
      </c>
      <c r="AZ219" s="360" t="s">
        <v>2091</v>
      </c>
      <c r="BA219" s="160" t="str">
        <f t="shared" si="121"/>
        <v>tache18</v>
      </c>
      <c r="BB219" s="360" t="s">
        <v>2091</v>
      </c>
      <c r="BC219" s="160" t="str">
        <f t="shared" si="122"/>
        <v>Vitale</v>
      </c>
      <c r="BD219" s="360" t="s">
        <v>2091</v>
      </c>
      <c r="BE219" s="160" t="str">
        <f t="shared" si="123"/>
        <v>Terminer</v>
      </c>
      <c r="BF219" s="360" t="s">
        <v>2091</v>
      </c>
      <c r="BG219" s="160" t="str">
        <f t="shared" si="124"/>
        <v>Exploitation</v>
      </c>
      <c r="BH219" s="360" t="s">
        <v>2091</v>
      </c>
      <c r="BI219" s="371" t="str">
        <f t="shared" ca="1" si="125"/>
        <v>2023/04/04</v>
      </c>
      <c r="BJ219" s="360" t="s">
        <v>2091</v>
      </c>
      <c r="BK219" s="329" t="str">
        <f t="shared" ca="1" si="126"/>
        <v>2023/04/04</v>
      </c>
      <c r="BL219" s="360" t="s">
        <v>2091</v>
      </c>
      <c r="BM219" s="329" t="str">
        <f t="shared" ca="1" si="127"/>
        <v>2023/04/04</v>
      </c>
      <c r="BN219" s="360" t="s">
        <v>2091</v>
      </c>
      <c r="BO219" s="329" t="str">
        <f t="shared" ca="1" si="128"/>
        <v>2023/04/04</v>
      </c>
      <c r="BP219" s="360" t="s">
        <v>2091</v>
      </c>
      <c r="BQ219" s="329" t="str">
        <f t="shared" ca="1" si="129"/>
        <v>2023/04/04</v>
      </c>
      <c r="BR219" s="360" t="s">
        <v>2093</v>
      </c>
      <c r="BS219" s="160">
        <f t="shared" si="130"/>
        <v>5</v>
      </c>
      <c r="BT219" s="160" t="s">
        <v>2021</v>
      </c>
      <c r="BU219" s="322" t="str">
        <f t="shared" ca="1" si="131"/>
        <v>INSERT INTO TACHES(numTache,nameTache,descriptionTache,prioTache,stateTache,categoryTache,dateCreateTache,dateInProgressTache,dateToTestTache,dateEndThTache,dateEndRealTache,idProjet) VALUES ('18','tache18','tache18','Vitale','Terminer','Exploitation','2023/04/04','2023/04/04','2023/04/04','2023/04/04','2023/04/04',5);</v>
      </c>
      <c r="BV219" s="322" t="s">
        <v>2466</v>
      </c>
    </row>
    <row r="220" spans="6:74" ht="20.05" customHeight="1" outlineLevel="1" thickBot="1" x14ac:dyDescent="0.35">
      <c r="F220" s="160">
        <f t="shared" si="135"/>
        <v>91</v>
      </c>
      <c r="G220" s="160">
        <v>1</v>
      </c>
      <c r="H220" s="160" t="s">
        <v>2118</v>
      </c>
      <c r="I220" s="160" t="str">
        <f t="shared" si="116"/>
        <v>tache1</v>
      </c>
      <c r="J220" s="160" t="s">
        <v>1867</v>
      </c>
      <c r="K220" s="160" t="s">
        <v>2375</v>
      </c>
      <c r="L220" s="160" t="s">
        <v>1876</v>
      </c>
      <c r="M220" s="346">
        <v>45019</v>
      </c>
      <c r="N220" s="329">
        <f>M220</f>
        <v>45019</v>
      </c>
      <c r="O220" s="329">
        <f t="shared" si="137"/>
        <v>45019</v>
      </c>
      <c r="P220" s="329">
        <f>M220</f>
        <v>45019</v>
      </c>
      <c r="Q220" s="329">
        <f>M220</f>
        <v>45019</v>
      </c>
      <c r="R220" s="160">
        <v>6</v>
      </c>
      <c r="S220" s="160">
        <f t="shared" si="117"/>
        <v>2</v>
      </c>
      <c r="T220" s="160" t="s">
        <v>1922</v>
      </c>
      <c r="U220" s="322" t="str">
        <f t="shared" si="118"/>
        <v>TACHES</v>
      </c>
      <c r="V220" s="160" t="s">
        <v>2088</v>
      </c>
      <c r="W220" s="189" t="s">
        <v>355</v>
      </c>
      <c r="X220" s="360" t="s">
        <v>2020</v>
      </c>
      <c r="Y220" s="189" t="s">
        <v>337</v>
      </c>
      <c r="Z220" s="360" t="s">
        <v>2020</v>
      </c>
      <c r="AA220" s="189" t="s">
        <v>340</v>
      </c>
      <c r="AB220" s="360" t="s">
        <v>2020</v>
      </c>
      <c r="AC220" s="189" t="s">
        <v>266</v>
      </c>
      <c r="AD220" s="360" t="s">
        <v>2020</v>
      </c>
      <c r="AE220" s="189" t="s">
        <v>244</v>
      </c>
      <c r="AF220" s="360" t="s">
        <v>2020</v>
      </c>
      <c r="AG220" s="189" t="s">
        <v>296</v>
      </c>
      <c r="AH220" s="360" t="s">
        <v>2020</v>
      </c>
      <c r="AI220" s="189" t="s">
        <v>298</v>
      </c>
      <c r="AJ220" s="360" t="s">
        <v>2020</v>
      </c>
      <c r="AK220" s="189" t="s">
        <v>299</v>
      </c>
      <c r="AL220" s="360" t="s">
        <v>2020</v>
      </c>
      <c r="AM220" s="189" t="s">
        <v>300</v>
      </c>
      <c r="AN220" s="360" t="s">
        <v>2020</v>
      </c>
      <c r="AO220" s="189" t="s">
        <v>301</v>
      </c>
      <c r="AP220" s="360" t="s">
        <v>2020</v>
      </c>
      <c r="AQ220" s="192" t="s">
        <v>302</v>
      </c>
      <c r="AR220" s="360" t="s">
        <v>2020</v>
      </c>
      <c r="AS220" s="295" t="s">
        <v>287</v>
      </c>
      <c r="AT220" s="360"/>
      <c r="AU220" s="322"/>
      <c r="AV220" s="360" t="s">
        <v>2089</v>
      </c>
      <c r="AW220" s="160">
        <f t="shared" si="119"/>
        <v>1</v>
      </c>
      <c r="AX220" s="360" t="s">
        <v>2091</v>
      </c>
      <c r="AY220" s="160" t="str">
        <f t="shared" si="120"/>
        <v>tache1</v>
      </c>
      <c r="AZ220" s="360" t="s">
        <v>2091</v>
      </c>
      <c r="BA220" s="160" t="str">
        <f t="shared" si="121"/>
        <v>tache1</v>
      </c>
      <c r="BB220" s="360" t="s">
        <v>2091</v>
      </c>
      <c r="BC220" s="160" t="str">
        <f t="shared" si="122"/>
        <v>Vitale</v>
      </c>
      <c r="BD220" s="360" t="s">
        <v>2091</v>
      </c>
      <c r="BE220" s="160" t="str">
        <f t="shared" si="123"/>
        <v>Terminer</v>
      </c>
      <c r="BF220" s="360" t="s">
        <v>2091</v>
      </c>
      <c r="BG220" s="160" t="str">
        <f t="shared" si="124"/>
        <v>Initialisation</v>
      </c>
      <c r="BH220" s="360" t="s">
        <v>2091</v>
      </c>
      <c r="BI220" s="371" t="str">
        <f t="shared" ca="1" si="125"/>
        <v>2023/04/03</v>
      </c>
      <c r="BJ220" s="360" t="s">
        <v>2091</v>
      </c>
      <c r="BK220" s="329" t="str">
        <f t="shared" ca="1" si="126"/>
        <v>2023/04/03</v>
      </c>
      <c r="BL220" s="360" t="s">
        <v>2091</v>
      </c>
      <c r="BM220" s="329" t="str">
        <f t="shared" ca="1" si="127"/>
        <v>2023/04/03</v>
      </c>
      <c r="BN220" s="360" t="s">
        <v>2091</v>
      </c>
      <c r="BO220" s="329" t="str">
        <f t="shared" ca="1" si="128"/>
        <v>2023/04/03</v>
      </c>
      <c r="BP220" s="360" t="s">
        <v>2091</v>
      </c>
      <c r="BQ220" s="329" t="str">
        <f t="shared" ca="1" si="129"/>
        <v>2023/04/03</v>
      </c>
      <c r="BR220" s="360" t="s">
        <v>2093</v>
      </c>
      <c r="BS220" s="160">
        <f t="shared" si="130"/>
        <v>6</v>
      </c>
      <c r="BT220" s="160" t="s">
        <v>2021</v>
      </c>
      <c r="BU220" s="322" t="str">
        <f t="shared" ca="1" si="131"/>
        <v>INSERT INTO TACHES(numTache,nameTache,descriptionTache,prioTache,stateTache,categoryTache,dateCreateTache,dateInProgressTache,dateToTestTache,dateEndThTache,dateEndRealTache,idProjet) VALUES ('1','tache1','tache1','Vitale','Terminer','Initialisation','2023/04/03','2023/04/03','2023/04/03','2023/04/03','2023/04/03',6);</v>
      </c>
      <c r="BV220" s="322" t="s">
        <v>2467</v>
      </c>
    </row>
    <row r="221" spans="6:74" ht="20.05" customHeight="1" outlineLevel="1" thickBot="1" x14ac:dyDescent="0.35">
      <c r="F221" s="160">
        <f t="shared" si="135"/>
        <v>92</v>
      </c>
      <c r="G221" s="160">
        <f>G220+1</f>
        <v>2</v>
      </c>
      <c r="H221" s="160" t="s">
        <v>2119</v>
      </c>
      <c r="I221" s="160" t="str">
        <f t="shared" si="116"/>
        <v>tache2</v>
      </c>
      <c r="J221" s="160" t="s">
        <v>1867</v>
      </c>
      <c r="K221" s="160" t="s">
        <v>2375</v>
      </c>
      <c r="L221" s="160" t="s">
        <v>1876</v>
      </c>
      <c r="M221" s="346">
        <f>Q220</f>
        <v>45019</v>
      </c>
      <c r="N221" s="329">
        <f t="shared" ref="N221:N237" si="138">M221</f>
        <v>45019</v>
      </c>
      <c r="O221" s="329">
        <f t="shared" si="137"/>
        <v>45019</v>
      </c>
      <c r="P221" s="329">
        <f>M221</f>
        <v>45019</v>
      </c>
      <c r="Q221" s="329">
        <f>M221</f>
        <v>45019</v>
      </c>
      <c r="R221" s="160">
        <f t="shared" ref="R221:R237" si="139">R220</f>
        <v>6</v>
      </c>
      <c r="S221" s="160">
        <f t="shared" si="117"/>
        <v>2</v>
      </c>
      <c r="T221" s="160" t="s">
        <v>1922</v>
      </c>
      <c r="U221" s="322" t="str">
        <f t="shared" si="118"/>
        <v>TACHES</v>
      </c>
      <c r="V221" s="160" t="s">
        <v>2088</v>
      </c>
      <c r="W221" s="189" t="s">
        <v>355</v>
      </c>
      <c r="X221" s="360" t="s">
        <v>2020</v>
      </c>
      <c r="Y221" s="189" t="s">
        <v>337</v>
      </c>
      <c r="Z221" s="360" t="s">
        <v>2020</v>
      </c>
      <c r="AA221" s="189" t="s">
        <v>340</v>
      </c>
      <c r="AB221" s="360" t="s">
        <v>2020</v>
      </c>
      <c r="AC221" s="189" t="s">
        <v>266</v>
      </c>
      <c r="AD221" s="360" t="s">
        <v>2020</v>
      </c>
      <c r="AE221" s="189" t="s">
        <v>244</v>
      </c>
      <c r="AF221" s="360" t="s">
        <v>2020</v>
      </c>
      <c r="AG221" s="189" t="s">
        <v>296</v>
      </c>
      <c r="AH221" s="360" t="s">
        <v>2020</v>
      </c>
      <c r="AI221" s="189" t="s">
        <v>298</v>
      </c>
      <c r="AJ221" s="360" t="s">
        <v>2020</v>
      </c>
      <c r="AK221" s="189" t="s">
        <v>299</v>
      </c>
      <c r="AL221" s="360" t="s">
        <v>2020</v>
      </c>
      <c r="AM221" s="189" t="s">
        <v>300</v>
      </c>
      <c r="AN221" s="360" t="s">
        <v>2020</v>
      </c>
      <c r="AO221" s="189" t="s">
        <v>301</v>
      </c>
      <c r="AP221" s="360" t="s">
        <v>2020</v>
      </c>
      <c r="AQ221" s="192" t="s">
        <v>302</v>
      </c>
      <c r="AR221" s="360" t="s">
        <v>2020</v>
      </c>
      <c r="AS221" s="295" t="s">
        <v>287</v>
      </c>
      <c r="AT221" s="360"/>
      <c r="AU221" s="322"/>
      <c r="AV221" s="360" t="s">
        <v>2089</v>
      </c>
      <c r="AW221" s="160">
        <f t="shared" si="119"/>
        <v>2</v>
      </c>
      <c r="AX221" s="360" t="s">
        <v>2091</v>
      </c>
      <c r="AY221" s="160" t="str">
        <f t="shared" si="120"/>
        <v>tache2</v>
      </c>
      <c r="AZ221" s="360" t="s">
        <v>2091</v>
      </c>
      <c r="BA221" s="160" t="str">
        <f t="shared" si="121"/>
        <v>tache2</v>
      </c>
      <c r="BB221" s="360" t="s">
        <v>2091</v>
      </c>
      <c r="BC221" s="160" t="str">
        <f t="shared" si="122"/>
        <v>Vitale</v>
      </c>
      <c r="BD221" s="360" t="s">
        <v>2091</v>
      </c>
      <c r="BE221" s="160" t="str">
        <f t="shared" si="123"/>
        <v>Terminer</v>
      </c>
      <c r="BF221" s="360" t="s">
        <v>2091</v>
      </c>
      <c r="BG221" s="160" t="str">
        <f t="shared" si="124"/>
        <v>Initialisation</v>
      </c>
      <c r="BH221" s="360" t="s">
        <v>2091</v>
      </c>
      <c r="BI221" s="371" t="str">
        <f t="shared" ca="1" si="125"/>
        <v>2023/04/03</v>
      </c>
      <c r="BJ221" s="360" t="s">
        <v>2091</v>
      </c>
      <c r="BK221" s="329" t="str">
        <f t="shared" ca="1" si="126"/>
        <v>2023/04/03</v>
      </c>
      <c r="BL221" s="360" t="s">
        <v>2091</v>
      </c>
      <c r="BM221" s="329" t="str">
        <f t="shared" ca="1" si="127"/>
        <v>2023/04/03</v>
      </c>
      <c r="BN221" s="360" t="s">
        <v>2091</v>
      </c>
      <c r="BO221" s="329" t="str">
        <f t="shared" ca="1" si="128"/>
        <v>2023/04/03</v>
      </c>
      <c r="BP221" s="360" t="s">
        <v>2091</v>
      </c>
      <c r="BQ221" s="329" t="str">
        <f t="shared" ca="1" si="129"/>
        <v>2023/04/03</v>
      </c>
      <c r="BR221" s="360" t="s">
        <v>2093</v>
      </c>
      <c r="BS221" s="160">
        <f t="shared" si="130"/>
        <v>6</v>
      </c>
      <c r="BT221" s="160" t="s">
        <v>2021</v>
      </c>
      <c r="BU221" s="322" t="str">
        <f t="shared" ca="1" si="131"/>
        <v>INSERT INTO TACHES(numTache,nameTache,descriptionTache,prioTache,stateTache,categoryTache,dateCreateTache,dateInProgressTache,dateToTestTache,dateEndThTache,dateEndRealTache,idProjet) VALUES ('2','tache2','tache2','Vitale','Terminer','Initialisation','2023/04/03','2023/04/03','2023/04/03','2023/04/03','2023/04/03',6);</v>
      </c>
      <c r="BV221" s="322" t="s">
        <v>2468</v>
      </c>
    </row>
    <row r="222" spans="6:74" ht="20.05" customHeight="1" outlineLevel="1" thickBot="1" x14ac:dyDescent="0.35">
      <c r="F222" s="160">
        <f t="shared" si="135"/>
        <v>93</v>
      </c>
      <c r="G222" s="160">
        <f t="shared" si="135"/>
        <v>3</v>
      </c>
      <c r="H222" s="160" t="s">
        <v>2120</v>
      </c>
      <c r="I222" s="160" t="str">
        <f t="shared" si="116"/>
        <v>tache3</v>
      </c>
      <c r="J222" s="160" t="s">
        <v>1867</v>
      </c>
      <c r="K222" s="160" t="s">
        <v>2375</v>
      </c>
      <c r="L222" s="160" t="s">
        <v>1877</v>
      </c>
      <c r="M222" s="346">
        <f>Q221</f>
        <v>45019</v>
      </c>
      <c r="N222" s="329">
        <f t="shared" si="138"/>
        <v>45019</v>
      </c>
      <c r="O222" s="329">
        <f t="shared" si="137"/>
        <v>45019</v>
      </c>
      <c r="P222" s="329">
        <f>M222</f>
        <v>45019</v>
      </c>
      <c r="Q222" s="329">
        <f>M222</f>
        <v>45019</v>
      </c>
      <c r="R222" s="160">
        <f t="shared" si="139"/>
        <v>6</v>
      </c>
      <c r="S222" s="160">
        <f t="shared" si="117"/>
        <v>2</v>
      </c>
      <c r="T222" s="160" t="s">
        <v>1922</v>
      </c>
      <c r="U222" s="322" t="str">
        <f t="shared" si="118"/>
        <v>TACHES</v>
      </c>
      <c r="V222" s="160" t="s">
        <v>2088</v>
      </c>
      <c r="W222" s="189" t="s">
        <v>355</v>
      </c>
      <c r="X222" s="360" t="s">
        <v>2020</v>
      </c>
      <c r="Y222" s="189" t="s">
        <v>337</v>
      </c>
      <c r="Z222" s="360" t="s">
        <v>2020</v>
      </c>
      <c r="AA222" s="189" t="s">
        <v>340</v>
      </c>
      <c r="AB222" s="360" t="s">
        <v>2020</v>
      </c>
      <c r="AC222" s="189" t="s">
        <v>266</v>
      </c>
      <c r="AD222" s="360" t="s">
        <v>2020</v>
      </c>
      <c r="AE222" s="189" t="s">
        <v>244</v>
      </c>
      <c r="AF222" s="360" t="s">
        <v>2020</v>
      </c>
      <c r="AG222" s="189" t="s">
        <v>296</v>
      </c>
      <c r="AH222" s="360" t="s">
        <v>2020</v>
      </c>
      <c r="AI222" s="189" t="s">
        <v>298</v>
      </c>
      <c r="AJ222" s="360" t="s">
        <v>2020</v>
      </c>
      <c r="AK222" s="189" t="s">
        <v>299</v>
      </c>
      <c r="AL222" s="360" t="s">
        <v>2020</v>
      </c>
      <c r="AM222" s="189" t="s">
        <v>300</v>
      </c>
      <c r="AN222" s="360" t="s">
        <v>2020</v>
      </c>
      <c r="AO222" s="189" t="s">
        <v>301</v>
      </c>
      <c r="AP222" s="360" t="s">
        <v>2020</v>
      </c>
      <c r="AQ222" s="192" t="s">
        <v>302</v>
      </c>
      <c r="AR222" s="360" t="s">
        <v>2020</v>
      </c>
      <c r="AS222" s="295" t="s">
        <v>287</v>
      </c>
      <c r="AT222" s="360"/>
      <c r="AU222" s="322"/>
      <c r="AV222" s="360" t="s">
        <v>2089</v>
      </c>
      <c r="AW222" s="160">
        <f t="shared" si="119"/>
        <v>3</v>
      </c>
      <c r="AX222" s="360" t="s">
        <v>2091</v>
      </c>
      <c r="AY222" s="160" t="str">
        <f t="shared" si="120"/>
        <v>tache3</v>
      </c>
      <c r="AZ222" s="360" t="s">
        <v>2091</v>
      </c>
      <c r="BA222" s="160" t="str">
        <f t="shared" si="121"/>
        <v>tache3</v>
      </c>
      <c r="BB222" s="360" t="s">
        <v>2091</v>
      </c>
      <c r="BC222" s="160" t="str">
        <f t="shared" si="122"/>
        <v>Vitale</v>
      </c>
      <c r="BD222" s="360" t="s">
        <v>2091</v>
      </c>
      <c r="BE222" s="160" t="str">
        <f t="shared" si="123"/>
        <v>Terminer</v>
      </c>
      <c r="BF222" s="360" t="s">
        <v>2091</v>
      </c>
      <c r="BG222" s="160" t="str">
        <f t="shared" si="124"/>
        <v>Analyse</v>
      </c>
      <c r="BH222" s="360" t="s">
        <v>2091</v>
      </c>
      <c r="BI222" s="371" t="str">
        <f t="shared" ca="1" si="125"/>
        <v>2023/04/03</v>
      </c>
      <c r="BJ222" s="360" t="s">
        <v>2091</v>
      </c>
      <c r="BK222" s="329" t="str">
        <f t="shared" ca="1" si="126"/>
        <v>2023/04/03</v>
      </c>
      <c r="BL222" s="360" t="s">
        <v>2091</v>
      </c>
      <c r="BM222" s="329" t="str">
        <f t="shared" ca="1" si="127"/>
        <v>2023/04/03</v>
      </c>
      <c r="BN222" s="360" t="s">
        <v>2091</v>
      </c>
      <c r="BO222" s="329" t="str">
        <f t="shared" ca="1" si="128"/>
        <v>2023/04/03</v>
      </c>
      <c r="BP222" s="360" t="s">
        <v>2091</v>
      </c>
      <c r="BQ222" s="329" t="str">
        <f t="shared" ca="1" si="129"/>
        <v>2023/04/03</v>
      </c>
      <c r="BR222" s="360" t="s">
        <v>2093</v>
      </c>
      <c r="BS222" s="160">
        <f t="shared" si="130"/>
        <v>6</v>
      </c>
      <c r="BT222" s="160" t="s">
        <v>2021</v>
      </c>
      <c r="BU222" s="322" t="str">
        <f t="shared" ca="1" si="131"/>
        <v>INSERT INTO TACHES(numTache,nameTache,descriptionTache,prioTache,stateTache,categoryTache,dateCreateTache,dateInProgressTache,dateToTestTache,dateEndThTache,dateEndRealTache,idProjet) VALUES ('3','tache3','tache3','Vitale','Terminer','Analyse','2023/04/03','2023/04/03','2023/04/03','2023/04/03','2023/04/03',6);</v>
      </c>
      <c r="BV222" s="322" t="s">
        <v>2469</v>
      </c>
    </row>
    <row r="223" spans="6:74" ht="20.05" customHeight="1" outlineLevel="1" thickBot="1" x14ac:dyDescent="0.35">
      <c r="F223" s="160">
        <f t="shared" si="135"/>
        <v>94</v>
      </c>
      <c r="G223" s="160">
        <f t="shared" si="135"/>
        <v>4</v>
      </c>
      <c r="H223" s="160" t="s">
        <v>2121</v>
      </c>
      <c r="I223" s="160" t="str">
        <f t="shared" si="116"/>
        <v>tache4</v>
      </c>
      <c r="J223" s="160" t="s">
        <v>1867</v>
      </c>
      <c r="K223" s="160" t="s">
        <v>2375</v>
      </c>
      <c r="L223" s="160" t="s">
        <v>1877</v>
      </c>
      <c r="M223" s="346">
        <f>Q222+1</f>
        <v>45020</v>
      </c>
      <c r="N223" s="329">
        <f t="shared" si="138"/>
        <v>45020</v>
      </c>
      <c r="O223" s="329">
        <f t="shared" si="137"/>
        <v>45020</v>
      </c>
      <c r="P223" s="329">
        <f>M223</f>
        <v>45020</v>
      </c>
      <c r="Q223" s="329">
        <f>M223</f>
        <v>45020</v>
      </c>
      <c r="R223" s="160">
        <f t="shared" si="139"/>
        <v>6</v>
      </c>
      <c r="S223" s="160">
        <f t="shared" si="117"/>
        <v>2</v>
      </c>
      <c r="T223" s="160" t="s">
        <v>1922</v>
      </c>
      <c r="U223" s="322" t="str">
        <f t="shared" si="118"/>
        <v>TACHES</v>
      </c>
      <c r="V223" s="160" t="s">
        <v>2088</v>
      </c>
      <c r="W223" s="189" t="s">
        <v>355</v>
      </c>
      <c r="X223" s="360" t="s">
        <v>2020</v>
      </c>
      <c r="Y223" s="189" t="s">
        <v>337</v>
      </c>
      <c r="Z223" s="360" t="s">
        <v>2020</v>
      </c>
      <c r="AA223" s="189" t="s">
        <v>340</v>
      </c>
      <c r="AB223" s="360" t="s">
        <v>2020</v>
      </c>
      <c r="AC223" s="189" t="s">
        <v>266</v>
      </c>
      <c r="AD223" s="360" t="s">
        <v>2020</v>
      </c>
      <c r="AE223" s="189" t="s">
        <v>244</v>
      </c>
      <c r="AF223" s="360" t="s">
        <v>2020</v>
      </c>
      <c r="AG223" s="189" t="s">
        <v>296</v>
      </c>
      <c r="AH223" s="360" t="s">
        <v>2020</v>
      </c>
      <c r="AI223" s="189" t="s">
        <v>298</v>
      </c>
      <c r="AJ223" s="360" t="s">
        <v>2020</v>
      </c>
      <c r="AK223" s="189" t="s">
        <v>299</v>
      </c>
      <c r="AL223" s="360" t="s">
        <v>2020</v>
      </c>
      <c r="AM223" s="189" t="s">
        <v>300</v>
      </c>
      <c r="AN223" s="360" t="s">
        <v>2020</v>
      </c>
      <c r="AO223" s="189" t="s">
        <v>301</v>
      </c>
      <c r="AP223" s="360" t="s">
        <v>2020</v>
      </c>
      <c r="AQ223" s="192" t="s">
        <v>302</v>
      </c>
      <c r="AR223" s="360" t="s">
        <v>2020</v>
      </c>
      <c r="AS223" s="295" t="s">
        <v>287</v>
      </c>
      <c r="AT223" s="360"/>
      <c r="AU223" s="322"/>
      <c r="AV223" s="360" t="s">
        <v>2089</v>
      </c>
      <c r="AW223" s="160">
        <f t="shared" si="119"/>
        <v>4</v>
      </c>
      <c r="AX223" s="360" t="s">
        <v>2091</v>
      </c>
      <c r="AY223" s="160" t="str">
        <f t="shared" si="120"/>
        <v>tache4</v>
      </c>
      <c r="AZ223" s="360" t="s">
        <v>2091</v>
      </c>
      <c r="BA223" s="160" t="str">
        <f t="shared" si="121"/>
        <v>tache4</v>
      </c>
      <c r="BB223" s="360" t="s">
        <v>2091</v>
      </c>
      <c r="BC223" s="160" t="str">
        <f t="shared" si="122"/>
        <v>Vitale</v>
      </c>
      <c r="BD223" s="360" t="s">
        <v>2091</v>
      </c>
      <c r="BE223" s="160" t="str">
        <f t="shared" si="123"/>
        <v>Terminer</v>
      </c>
      <c r="BF223" s="360" t="s">
        <v>2091</v>
      </c>
      <c r="BG223" s="160" t="str">
        <f t="shared" si="124"/>
        <v>Analyse</v>
      </c>
      <c r="BH223" s="360" t="s">
        <v>2091</v>
      </c>
      <c r="BI223" s="371" t="str">
        <f t="shared" ca="1" si="125"/>
        <v>2023/04/04</v>
      </c>
      <c r="BJ223" s="360" t="s">
        <v>2091</v>
      </c>
      <c r="BK223" s="329" t="str">
        <f t="shared" ca="1" si="126"/>
        <v>2023/04/04</v>
      </c>
      <c r="BL223" s="360" t="s">
        <v>2091</v>
      </c>
      <c r="BM223" s="329" t="str">
        <f t="shared" ca="1" si="127"/>
        <v>2023/04/04</v>
      </c>
      <c r="BN223" s="360" t="s">
        <v>2091</v>
      </c>
      <c r="BO223" s="329" t="str">
        <f t="shared" ca="1" si="128"/>
        <v>2023/04/04</v>
      </c>
      <c r="BP223" s="360" t="s">
        <v>2091</v>
      </c>
      <c r="BQ223" s="329" t="str">
        <f t="shared" ca="1" si="129"/>
        <v>2023/04/04</v>
      </c>
      <c r="BR223" s="360" t="s">
        <v>2093</v>
      </c>
      <c r="BS223" s="160">
        <f t="shared" si="130"/>
        <v>6</v>
      </c>
      <c r="BT223" s="160" t="s">
        <v>2021</v>
      </c>
      <c r="BU223" s="322" t="str">
        <f t="shared" ca="1" si="131"/>
        <v>INSERT INTO TACHES(numTache,nameTache,descriptionTache,prioTache,stateTache,categoryTache,dateCreateTache,dateInProgressTache,dateToTestTache,dateEndThTache,dateEndRealTache,idProjet) VALUES ('4','tache4','tache4','Vitale','Terminer','Analyse','2023/04/04','2023/04/04','2023/04/04','2023/04/04','2023/04/04',6);</v>
      </c>
      <c r="BV223" s="322" t="s">
        <v>2470</v>
      </c>
    </row>
    <row r="224" spans="6:74" ht="78.3" customHeight="1" outlineLevel="1" thickBot="1" x14ac:dyDescent="0.35">
      <c r="F224" s="160">
        <f t="shared" si="135"/>
        <v>95</v>
      </c>
      <c r="G224" s="160">
        <f t="shared" si="135"/>
        <v>5</v>
      </c>
      <c r="H224" s="160" t="s">
        <v>2122</v>
      </c>
      <c r="I224" s="160" t="str">
        <f t="shared" si="116"/>
        <v>tache5</v>
      </c>
      <c r="J224" s="160" t="s">
        <v>1867</v>
      </c>
      <c r="K224" s="160" t="s">
        <v>2375</v>
      </c>
      <c r="L224" s="160" t="s">
        <v>1878</v>
      </c>
      <c r="M224" s="346">
        <f>Q223</f>
        <v>45020</v>
      </c>
      <c r="N224" s="329">
        <f t="shared" si="138"/>
        <v>45020</v>
      </c>
      <c r="O224" s="329">
        <f t="shared" si="137"/>
        <v>45020</v>
      </c>
      <c r="P224" s="329">
        <f>O224+1</f>
        <v>45021</v>
      </c>
      <c r="Q224" s="329">
        <f>P224</f>
        <v>45021</v>
      </c>
      <c r="R224" s="160">
        <f t="shared" si="139"/>
        <v>6</v>
      </c>
      <c r="S224" s="160">
        <f t="shared" si="117"/>
        <v>3</v>
      </c>
      <c r="T224" s="160" t="s">
        <v>1922</v>
      </c>
      <c r="U224" s="322" t="str">
        <f t="shared" si="118"/>
        <v>TACHES</v>
      </c>
      <c r="V224" s="160" t="s">
        <v>2088</v>
      </c>
      <c r="W224" s="189" t="s">
        <v>355</v>
      </c>
      <c r="X224" s="360" t="s">
        <v>2020</v>
      </c>
      <c r="Y224" s="189" t="s">
        <v>337</v>
      </c>
      <c r="Z224" s="360" t="s">
        <v>2020</v>
      </c>
      <c r="AA224" s="189" t="s">
        <v>340</v>
      </c>
      <c r="AB224" s="360" t="s">
        <v>2020</v>
      </c>
      <c r="AC224" s="189" t="s">
        <v>266</v>
      </c>
      <c r="AD224" s="360" t="s">
        <v>2020</v>
      </c>
      <c r="AE224" s="189" t="s">
        <v>244</v>
      </c>
      <c r="AF224" s="360" t="s">
        <v>2020</v>
      </c>
      <c r="AG224" s="189" t="s">
        <v>296</v>
      </c>
      <c r="AH224" s="360" t="s">
        <v>2020</v>
      </c>
      <c r="AI224" s="189" t="s">
        <v>298</v>
      </c>
      <c r="AJ224" s="360" t="s">
        <v>2020</v>
      </c>
      <c r="AK224" s="189" t="s">
        <v>299</v>
      </c>
      <c r="AL224" s="360" t="s">
        <v>2020</v>
      </c>
      <c r="AM224" s="189" t="s">
        <v>300</v>
      </c>
      <c r="AN224" s="360" t="s">
        <v>2020</v>
      </c>
      <c r="AO224" s="189" t="s">
        <v>301</v>
      </c>
      <c r="AP224" s="360" t="s">
        <v>2020</v>
      </c>
      <c r="AQ224" s="192" t="s">
        <v>302</v>
      </c>
      <c r="AR224" s="360" t="s">
        <v>2020</v>
      </c>
      <c r="AS224" s="295" t="s">
        <v>287</v>
      </c>
      <c r="AT224" s="360"/>
      <c r="AU224" s="322"/>
      <c r="AV224" s="360" t="s">
        <v>2089</v>
      </c>
      <c r="AW224" s="160">
        <f t="shared" si="119"/>
        <v>5</v>
      </c>
      <c r="AX224" s="360" t="s">
        <v>2091</v>
      </c>
      <c r="AY224" s="160" t="str">
        <f t="shared" si="120"/>
        <v>tache5</v>
      </c>
      <c r="AZ224" s="360" t="s">
        <v>2091</v>
      </c>
      <c r="BA224" s="160" t="str">
        <f t="shared" si="121"/>
        <v>tache5</v>
      </c>
      <c r="BB224" s="360" t="s">
        <v>2091</v>
      </c>
      <c r="BC224" s="160" t="str">
        <f t="shared" si="122"/>
        <v>Vitale</v>
      </c>
      <c r="BD224" s="360" t="s">
        <v>2091</v>
      </c>
      <c r="BE224" s="160" t="str">
        <f t="shared" si="123"/>
        <v>Terminer</v>
      </c>
      <c r="BF224" s="360" t="s">
        <v>2091</v>
      </c>
      <c r="BG224" s="160" t="str">
        <f t="shared" si="124"/>
        <v>Conception</v>
      </c>
      <c r="BH224" s="360" t="s">
        <v>2091</v>
      </c>
      <c r="BI224" s="371" t="str">
        <f t="shared" ca="1" si="125"/>
        <v>2023/04/04</v>
      </c>
      <c r="BJ224" s="360" t="s">
        <v>2091</v>
      </c>
      <c r="BK224" s="329" t="str">
        <f t="shared" ca="1" si="126"/>
        <v>2023/04/04</v>
      </c>
      <c r="BL224" s="360" t="s">
        <v>2091</v>
      </c>
      <c r="BM224" s="329" t="str">
        <f t="shared" ca="1" si="127"/>
        <v>2023/04/04</v>
      </c>
      <c r="BN224" s="360" t="s">
        <v>2091</v>
      </c>
      <c r="BO224" s="329" t="str">
        <f t="shared" ca="1" si="128"/>
        <v>2023/04/05</v>
      </c>
      <c r="BP224" s="360" t="s">
        <v>2091</v>
      </c>
      <c r="BQ224" s="329" t="str">
        <f t="shared" ca="1" si="129"/>
        <v>2023/04/05</v>
      </c>
      <c r="BR224" s="360" t="s">
        <v>2093</v>
      </c>
      <c r="BS224" s="160">
        <f t="shared" si="130"/>
        <v>6</v>
      </c>
      <c r="BT224" s="160" t="s">
        <v>2021</v>
      </c>
      <c r="BU224" s="322" t="str">
        <f t="shared" ca="1" si="131"/>
        <v>INSERT INTO TACHES(numTache,nameTache,descriptionTache,prioTache,stateTache,categoryTache,dateCreateTache,dateInProgressTache,dateToTestTache,dateEndThTache,dateEndRealTache,idProjet) VALUES ('5','tache5','tache5','Vitale','Terminer','Conception','2023/04/04','2023/04/04','2023/04/04','2023/04/05','2023/04/05',6);</v>
      </c>
      <c r="BV224" s="322" t="s">
        <v>2471</v>
      </c>
    </row>
    <row r="225" spans="6:74" ht="90.35" customHeight="1" outlineLevel="1" thickBot="1" x14ac:dyDescent="0.35">
      <c r="F225" s="160">
        <f t="shared" si="135"/>
        <v>96</v>
      </c>
      <c r="G225" s="160">
        <f t="shared" si="135"/>
        <v>6</v>
      </c>
      <c r="H225" s="160" t="s">
        <v>2123</v>
      </c>
      <c r="I225" s="160" t="str">
        <f t="shared" si="116"/>
        <v>tache6</v>
      </c>
      <c r="J225" s="160" t="s">
        <v>1867</v>
      </c>
      <c r="K225" s="160" t="s">
        <v>2375</v>
      </c>
      <c r="L225" s="160" t="s">
        <v>1879</v>
      </c>
      <c r="M225" s="346">
        <f>Q224+1</f>
        <v>45022</v>
      </c>
      <c r="N225" s="329">
        <f t="shared" si="138"/>
        <v>45022</v>
      </c>
      <c r="O225" s="329">
        <f>N225+4</f>
        <v>45026</v>
      </c>
      <c r="P225" s="329">
        <f>O225+1</f>
        <v>45027</v>
      </c>
      <c r="Q225" s="329">
        <f>P225</f>
        <v>45027</v>
      </c>
      <c r="R225" s="160">
        <f t="shared" si="139"/>
        <v>6</v>
      </c>
      <c r="S225" s="160">
        <f t="shared" si="117"/>
        <v>5</v>
      </c>
      <c r="T225" s="160" t="s">
        <v>1922</v>
      </c>
      <c r="U225" s="322" t="str">
        <f t="shared" si="118"/>
        <v>TACHES</v>
      </c>
      <c r="V225" s="160" t="s">
        <v>2088</v>
      </c>
      <c r="W225" s="189" t="s">
        <v>355</v>
      </c>
      <c r="X225" s="360" t="s">
        <v>2020</v>
      </c>
      <c r="Y225" s="189" t="s">
        <v>337</v>
      </c>
      <c r="Z225" s="360" t="s">
        <v>2020</v>
      </c>
      <c r="AA225" s="189" t="s">
        <v>340</v>
      </c>
      <c r="AB225" s="360" t="s">
        <v>2020</v>
      </c>
      <c r="AC225" s="189" t="s">
        <v>266</v>
      </c>
      <c r="AD225" s="360" t="s">
        <v>2020</v>
      </c>
      <c r="AE225" s="189" t="s">
        <v>244</v>
      </c>
      <c r="AF225" s="360" t="s">
        <v>2020</v>
      </c>
      <c r="AG225" s="189" t="s">
        <v>296</v>
      </c>
      <c r="AH225" s="360" t="s">
        <v>2020</v>
      </c>
      <c r="AI225" s="189" t="s">
        <v>298</v>
      </c>
      <c r="AJ225" s="360" t="s">
        <v>2020</v>
      </c>
      <c r="AK225" s="189" t="s">
        <v>299</v>
      </c>
      <c r="AL225" s="360" t="s">
        <v>2020</v>
      </c>
      <c r="AM225" s="189" t="s">
        <v>300</v>
      </c>
      <c r="AN225" s="360" t="s">
        <v>2020</v>
      </c>
      <c r="AO225" s="189" t="s">
        <v>301</v>
      </c>
      <c r="AP225" s="360" t="s">
        <v>2020</v>
      </c>
      <c r="AQ225" s="192" t="s">
        <v>302</v>
      </c>
      <c r="AR225" s="360" t="s">
        <v>2020</v>
      </c>
      <c r="AS225" s="295" t="s">
        <v>287</v>
      </c>
      <c r="AT225" s="360"/>
      <c r="AU225" s="322"/>
      <c r="AV225" s="360" t="s">
        <v>2089</v>
      </c>
      <c r="AW225" s="160">
        <f t="shared" si="119"/>
        <v>6</v>
      </c>
      <c r="AX225" s="360" t="s">
        <v>2091</v>
      </c>
      <c r="AY225" s="160" t="str">
        <f t="shared" si="120"/>
        <v>tache6</v>
      </c>
      <c r="AZ225" s="360" t="s">
        <v>2091</v>
      </c>
      <c r="BA225" s="160" t="str">
        <f t="shared" si="121"/>
        <v>tache6</v>
      </c>
      <c r="BB225" s="360" t="s">
        <v>2091</v>
      </c>
      <c r="BC225" s="160" t="str">
        <f t="shared" si="122"/>
        <v>Vitale</v>
      </c>
      <c r="BD225" s="360" t="s">
        <v>2091</v>
      </c>
      <c r="BE225" s="160" t="str">
        <f t="shared" si="123"/>
        <v>Terminer</v>
      </c>
      <c r="BF225" s="360" t="s">
        <v>2091</v>
      </c>
      <c r="BG225" s="160" t="str">
        <f t="shared" si="124"/>
        <v>Realisation</v>
      </c>
      <c r="BH225" s="360" t="s">
        <v>2091</v>
      </c>
      <c r="BI225" s="371" t="str">
        <f t="shared" ca="1" si="125"/>
        <v>2023/04/06</v>
      </c>
      <c r="BJ225" s="360" t="s">
        <v>2091</v>
      </c>
      <c r="BK225" s="329" t="str">
        <f t="shared" ca="1" si="126"/>
        <v>2023/04/06</v>
      </c>
      <c r="BL225" s="360" t="s">
        <v>2091</v>
      </c>
      <c r="BM225" s="329" t="str">
        <f t="shared" ca="1" si="127"/>
        <v>2023/04/10</v>
      </c>
      <c r="BN225" s="360" t="s">
        <v>2091</v>
      </c>
      <c r="BO225" s="329" t="str">
        <f t="shared" ca="1" si="128"/>
        <v>2023/04/11</v>
      </c>
      <c r="BP225" s="360" t="s">
        <v>2091</v>
      </c>
      <c r="BQ225" s="329" t="str">
        <f t="shared" ca="1" si="129"/>
        <v>2023/04/11</v>
      </c>
      <c r="BR225" s="360" t="s">
        <v>2093</v>
      </c>
      <c r="BS225" s="160">
        <f t="shared" si="130"/>
        <v>6</v>
      </c>
      <c r="BT225" s="160" t="s">
        <v>2021</v>
      </c>
      <c r="BU225" s="322" t="str">
        <f t="shared" ca="1" si="131"/>
        <v>INSERT INTO TACHES(numTache,nameTache,descriptionTache,prioTache,stateTache,categoryTache,dateCreateTache,dateInProgressTache,dateToTestTache,dateEndThTache,dateEndRealTache,idProjet) VALUES ('6','tache6','tache6','Vitale','Terminer','Realisation','2023/04/06','2023/04/06','2023/04/10','2023/04/11','2023/04/11',6);</v>
      </c>
      <c r="BV225" s="322" t="s">
        <v>2472</v>
      </c>
    </row>
    <row r="226" spans="6:74" ht="90.35" customHeight="1" outlineLevel="1" thickBot="1" x14ac:dyDescent="0.35">
      <c r="F226" s="160">
        <f t="shared" si="135"/>
        <v>97</v>
      </c>
      <c r="G226" s="160">
        <f t="shared" si="135"/>
        <v>7</v>
      </c>
      <c r="H226" s="160" t="s">
        <v>2124</v>
      </c>
      <c r="I226" s="160" t="str">
        <f t="shared" si="116"/>
        <v>tache7</v>
      </c>
      <c r="J226" s="160" t="s">
        <v>1867</v>
      </c>
      <c r="K226" s="160" t="s">
        <v>2375</v>
      </c>
      <c r="L226" s="160" t="s">
        <v>1879</v>
      </c>
      <c r="M226" s="346">
        <f>Q225+1</f>
        <v>45028</v>
      </c>
      <c r="N226" s="329">
        <f t="shared" si="138"/>
        <v>45028</v>
      </c>
      <c r="O226" s="329">
        <f>N226+2</f>
        <v>45030</v>
      </c>
      <c r="P226" s="329">
        <f>O226+1</f>
        <v>45031</v>
      </c>
      <c r="Q226" s="329">
        <f>P226</f>
        <v>45031</v>
      </c>
      <c r="R226" s="160">
        <f t="shared" si="139"/>
        <v>6</v>
      </c>
      <c r="S226" s="160">
        <f t="shared" si="117"/>
        <v>4</v>
      </c>
      <c r="T226" s="160" t="s">
        <v>1922</v>
      </c>
      <c r="U226" s="322" t="str">
        <f t="shared" si="118"/>
        <v>TACHES</v>
      </c>
      <c r="V226" s="160" t="s">
        <v>2088</v>
      </c>
      <c r="W226" s="189" t="s">
        <v>355</v>
      </c>
      <c r="X226" s="360" t="s">
        <v>2020</v>
      </c>
      <c r="Y226" s="189" t="s">
        <v>337</v>
      </c>
      <c r="Z226" s="360" t="s">
        <v>2020</v>
      </c>
      <c r="AA226" s="189" t="s">
        <v>340</v>
      </c>
      <c r="AB226" s="360" t="s">
        <v>2020</v>
      </c>
      <c r="AC226" s="189" t="s">
        <v>266</v>
      </c>
      <c r="AD226" s="360" t="s">
        <v>2020</v>
      </c>
      <c r="AE226" s="189" t="s">
        <v>244</v>
      </c>
      <c r="AF226" s="360" t="s">
        <v>2020</v>
      </c>
      <c r="AG226" s="189" t="s">
        <v>296</v>
      </c>
      <c r="AH226" s="360" t="s">
        <v>2020</v>
      </c>
      <c r="AI226" s="189" t="s">
        <v>298</v>
      </c>
      <c r="AJ226" s="360" t="s">
        <v>2020</v>
      </c>
      <c r="AK226" s="189" t="s">
        <v>299</v>
      </c>
      <c r="AL226" s="360" t="s">
        <v>2020</v>
      </c>
      <c r="AM226" s="189" t="s">
        <v>300</v>
      </c>
      <c r="AN226" s="360" t="s">
        <v>2020</v>
      </c>
      <c r="AO226" s="189" t="s">
        <v>301</v>
      </c>
      <c r="AP226" s="360" t="s">
        <v>2020</v>
      </c>
      <c r="AQ226" s="192" t="s">
        <v>302</v>
      </c>
      <c r="AR226" s="360" t="s">
        <v>2020</v>
      </c>
      <c r="AS226" s="295" t="s">
        <v>287</v>
      </c>
      <c r="AT226" s="360"/>
      <c r="AU226" s="322"/>
      <c r="AV226" s="360" t="s">
        <v>2089</v>
      </c>
      <c r="AW226" s="160">
        <f t="shared" si="119"/>
        <v>7</v>
      </c>
      <c r="AX226" s="360" t="s">
        <v>2091</v>
      </c>
      <c r="AY226" s="160" t="str">
        <f t="shared" si="120"/>
        <v>tache7</v>
      </c>
      <c r="AZ226" s="360" t="s">
        <v>2091</v>
      </c>
      <c r="BA226" s="160" t="str">
        <f t="shared" si="121"/>
        <v>tache7</v>
      </c>
      <c r="BB226" s="360" t="s">
        <v>2091</v>
      </c>
      <c r="BC226" s="160" t="str">
        <f t="shared" si="122"/>
        <v>Vitale</v>
      </c>
      <c r="BD226" s="360" t="s">
        <v>2091</v>
      </c>
      <c r="BE226" s="160" t="str">
        <f t="shared" si="123"/>
        <v>Terminer</v>
      </c>
      <c r="BF226" s="360" t="s">
        <v>2091</v>
      </c>
      <c r="BG226" s="160" t="str">
        <f t="shared" si="124"/>
        <v>Realisation</v>
      </c>
      <c r="BH226" s="360" t="s">
        <v>2091</v>
      </c>
      <c r="BI226" s="371" t="str">
        <f t="shared" ca="1" si="125"/>
        <v>2023/04/12</v>
      </c>
      <c r="BJ226" s="360" t="s">
        <v>2091</v>
      </c>
      <c r="BK226" s="329" t="str">
        <f t="shared" ca="1" si="126"/>
        <v>2023/04/12</v>
      </c>
      <c r="BL226" s="360" t="s">
        <v>2091</v>
      </c>
      <c r="BM226" s="329" t="str">
        <f t="shared" ca="1" si="127"/>
        <v>2023/04/14</v>
      </c>
      <c r="BN226" s="360" t="s">
        <v>2091</v>
      </c>
      <c r="BO226" s="329" t="str">
        <f t="shared" ca="1" si="128"/>
        <v>2023/04/15</v>
      </c>
      <c r="BP226" s="360" t="s">
        <v>2091</v>
      </c>
      <c r="BQ226" s="329" t="str">
        <f t="shared" ca="1" si="129"/>
        <v>2023/04/15</v>
      </c>
      <c r="BR226" s="360" t="s">
        <v>2093</v>
      </c>
      <c r="BS226" s="160">
        <f t="shared" si="130"/>
        <v>6</v>
      </c>
      <c r="BT226" s="160" t="s">
        <v>2021</v>
      </c>
      <c r="BU226" s="322" t="str">
        <f t="shared" ca="1" si="131"/>
        <v>INSERT INTO TACHES(numTache,nameTache,descriptionTache,prioTache,stateTache,categoryTache,dateCreateTache,dateInProgressTache,dateToTestTache,dateEndThTache,dateEndRealTache,idProjet) VALUES ('7','tache7','tache7','Vitale','Terminer','Realisation','2023/04/12','2023/04/12','2023/04/14','2023/04/15','2023/04/15',6);</v>
      </c>
      <c r="BV226" s="322" t="s">
        <v>2473</v>
      </c>
    </row>
    <row r="227" spans="6:74" ht="20.05" customHeight="1" outlineLevel="1" thickBot="1" x14ac:dyDescent="0.35">
      <c r="F227" s="160">
        <f t="shared" si="135"/>
        <v>98</v>
      </c>
      <c r="G227" s="160">
        <f t="shared" si="135"/>
        <v>8</v>
      </c>
      <c r="H227" s="160" t="s">
        <v>2125</v>
      </c>
      <c r="I227" s="160" t="str">
        <f t="shared" si="116"/>
        <v>tache8</v>
      </c>
      <c r="J227" s="160" t="s">
        <v>1869</v>
      </c>
      <c r="K227" s="160" t="s">
        <v>2375</v>
      </c>
      <c r="L227" s="160" t="s">
        <v>1879</v>
      </c>
      <c r="M227" s="346">
        <f>Q234+1</f>
        <v>45043</v>
      </c>
      <c r="N227" s="343">
        <f t="shared" si="138"/>
        <v>45043</v>
      </c>
      <c r="O227" s="343">
        <f>M227</f>
        <v>45043</v>
      </c>
      <c r="P227" s="343">
        <f>M227</f>
        <v>45043</v>
      </c>
      <c r="Q227" s="343">
        <f>M227</f>
        <v>45043</v>
      </c>
      <c r="R227" s="160">
        <f t="shared" si="139"/>
        <v>6</v>
      </c>
      <c r="S227" s="160">
        <f t="shared" si="117"/>
        <v>2</v>
      </c>
      <c r="T227" s="160" t="s">
        <v>1922</v>
      </c>
      <c r="U227" s="322" t="str">
        <f t="shared" si="118"/>
        <v>TACHES</v>
      </c>
      <c r="V227" s="160" t="s">
        <v>2088</v>
      </c>
      <c r="W227" s="189" t="s">
        <v>355</v>
      </c>
      <c r="X227" s="360" t="s">
        <v>2020</v>
      </c>
      <c r="Y227" s="189" t="s">
        <v>337</v>
      </c>
      <c r="Z227" s="360" t="s">
        <v>2020</v>
      </c>
      <c r="AA227" s="189" t="s">
        <v>340</v>
      </c>
      <c r="AB227" s="360" t="s">
        <v>2020</v>
      </c>
      <c r="AC227" s="189" t="s">
        <v>266</v>
      </c>
      <c r="AD227" s="360" t="s">
        <v>2020</v>
      </c>
      <c r="AE227" s="189" t="s">
        <v>244</v>
      </c>
      <c r="AF227" s="360" t="s">
        <v>2020</v>
      </c>
      <c r="AG227" s="189" t="s">
        <v>296</v>
      </c>
      <c r="AH227" s="360" t="s">
        <v>2020</v>
      </c>
      <c r="AI227" s="189" t="s">
        <v>298</v>
      </c>
      <c r="AJ227" s="360" t="s">
        <v>2020</v>
      </c>
      <c r="AK227" s="189" t="s">
        <v>299</v>
      </c>
      <c r="AL227" s="360" t="s">
        <v>2020</v>
      </c>
      <c r="AM227" s="189" t="s">
        <v>300</v>
      </c>
      <c r="AN227" s="360" t="s">
        <v>2020</v>
      </c>
      <c r="AO227" s="189" t="s">
        <v>301</v>
      </c>
      <c r="AP227" s="360" t="s">
        <v>2020</v>
      </c>
      <c r="AQ227" s="192" t="s">
        <v>302</v>
      </c>
      <c r="AR227" s="360" t="s">
        <v>2020</v>
      </c>
      <c r="AS227" s="295" t="s">
        <v>287</v>
      </c>
      <c r="AT227" s="360"/>
      <c r="AU227" s="322"/>
      <c r="AV227" s="360" t="s">
        <v>2089</v>
      </c>
      <c r="AW227" s="160">
        <f t="shared" si="119"/>
        <v>8</v>
      </c>
      <c r="AX227" s="360" t="s">
        <v>2091</v>
      </c>
      <c r="AY227" s="160" t="str">
        <f t="shared" si="120"/>
        <v>tache8</v>
      </c>
      <c r="AZ227" s="360" t="s">
        <v>2091</v>
      </c>
      <c r="BA227" s="160" t="str">
        <f t="shared" si="121"/>
        <v>tache8</v>
      </c>
      <c r="BB227" s="360" t="s">
        <v>2091</v>
      </c>
      <c r="BC227" s="160" t="str">
        <f t="shared" si="122"/>
        <v>Utile</v>
      </c>
      <c r="BD227" s="360" t="s">
        <v>2091</v>
      </c>
      <c r="BE227" s="160" t="str">
        <f t="shared" si="123"/>
        <v>Terminer</v>
      </c>
      <c r="BF227" s="360" t="s">
        <v>2091</v>
      </c>
      <c r="BG227" s="160" t="str">
        <f t="shared" si="124"/>
        <v>Realisation</v>
      </c>
      <c r="BH227" s="360" t="s">
        <v>2091</v>
      </c>
      <c r="BI227" s="371" t="str">
        <f t="shared" ca="1" si="125"/>
        <v>2023/04/27</v>
      </c>
      <c r="BJ227" s="360" t="s">
        <v>2091</v>
      </c>
      <c r="BK227" s="329" t="str">
        <f t="shared" ca="1" si="126"/>
        <v>2023/04/27</v>
      </c>
      <c r="BL227" s="360" t="s">
        <v>2091</v>
      </c>
      <c r="BM227" s="329" t="str">
        <f t="shared" ca="1" si="127"/>
        <v>2023/04/27</v>
      </c>
      <c r="BN227" s="360" t="s">
        <v>2091</v>
      </c>
      <c r="BO227" s="329" t="str">
        <f t="shared" ca="1" si="128"/>
        <v>2023/04/27</v>
      </c>
      <c r="BP227" s="360" t="s">
        <v>2091</v>
      </c>
      <c r="BQ227" s="329" t="str">
        <f t="shared" ca="1" si="129"/>
        <v>2023/04/27</v>
      </c>
      <c r="BR227" s="360" t="s">
        <v>2093</v>
      </c>
      <c r="BS227" s="160">
        <f t="shared" si="130"/>
        <v>6</v>
      </c>
      <c r="BT227" s="160" t="s">
        <v>2021</v>
      </c>
      <c r="BU227" s="322" t="str">
        <f t="shared" ca="1" si="131"/>
        <v>INSERT INTO TACHES(numTache,nameTache,descriptionTache,prioTache,stateTache,categoryTache,dateCreateTache,dateInProgressTache,dateToTestTache,dateEndThTache,dateEndRealTache,idProjet) VALUES ('8','tache8','tache8','Utile','Terminer','Realisation','2023/04/27','2023/04/27','2023/04/27','2023/04/27','2023/04/27',6);</v>
      </c>
      <c r="BV227" s="322" t="s">
        <v>2474</v>
      </c>
    </row>
    <row r="228" spans="6:74" ht="20.05" customHeight="1" outlineLevel="1" thickBot="1" x14ac:dyDescent="0.35">
      <c r="F228" s="160">
        <f t="shared" ref="F228:G243" si="140">F227+1</f>
        <v>99</v>
      </c>
      <c r="G228" s="160">
        <f t="shared" si="140"/>
        <v>9</v>
      </c>
      <c r="H228" s="160" t="s">
        <v>2126</v>
      </c>
      <c r="I228" s="160" t="str">
        <f t="shared" si="116"/>
        <v>tache9</v>
      </c>
      <c r="J228" s="160" t="s">
        <v>1868</v>
      </c>
      <c r="K228" s="160" t="s">
        <v>2375</v>
      </c>
      <c r="L228" s="160" t="s">
        <v>1879</v>
      </c>
      <c r="M228" s="346">
        <f>Q236</f>
        <v>45041</v>
      </c>
      <c r="N228" s="343">
        <f t="shared" si="138"/>
        <v>45041</v>
      </c>
      <c r="O228" s="343">
        <f>M228</f>
        <v>45041</v>
      </c>
      <c r="P228" s="343">
        <f>M228</f>
        <v>45041</v>
      </c>
      <c r="Q228" s="343">
        <f>M228</f>
        <v>45041</v>
      </c>
      <c r="R228" s="160">
        <f t="shared" si="139"/>
        <v>6</v>
      </c>
      <c r="S228" s="160">
        <f t="shared" si="117"/>
        <v>2</v>
      </c>
      <c r="T228" s="160" t="s">
        <v>1922</v>
      </c>
      <c r="U228" s="322" t="str">
        <f t="shared" si="118"/>
        <v>TACHES</v>
      </c>
      <c r="V228" s="160" t="s">
        <v>2088</v>
      </c>
      <c r="W228" s="189" t="s">
        <v>355</v>
      </c>
      <c r="X228" s="360" t="s">
        <v>2020</v>
      </c>
      <c r="Y228" s="189" t="s">
        <v>337</v>
      </c>
      <c r="Z228" s="360" t="s">
        <v>2020</v>
      </c>
      <c r="AA228" s="189" t="s">
        <v>340</v>
      </c>
      <c r="AB228" s="360" t="s">
        <v>2020</v>
      </c>
      <c r="AC228" s="189" t="s">
        <v>266</v>
      </c>
      <c r="AD228" s="360" t="s">
        <v>2020</v>
      </c>
      <c r="AE228" s="189" t="s">
        <v>244</v>
      </c>
      <c r="AF228" s="360" t="s">
        <v>2020</v>
      </c>
      <c r="AG228" s="189" t="s">
        <v>296</v>
      </c>
      <c r="AH228" s="360" t="s">
        <v>2020</v>
      </c>
      <c r="AI228" s="189" t="s">
        <v>298</v>
      </c>
      <c r="AJ228" s="360" t="s">
        <v>2020</v>
      </c>
      <c r="AK228" s="189" t="s">
        <v>299</v>
      </c>
      <c r="AL228" s="360" t="s">
        <v>2020</v>
      </c>
      <c r="AM228" s="189" t="s">
        <v>300</v>
      </c>
      <c r="AN228" s="360" t="s">
        <v>2020</v>
      </c>
      <c r="AO228" s="189" t="s">
        <v>301</v>
      </c>
      <c r="AP228" s="360" t="s">
        <v>2020</v>
      </c>
      <c r="AQ228" s="192" t="s">
        <v>302</v>
      </c>
      <c r="AR228" s="360" t="s">
        <v>2020</v>
      </c>
      <c r="AS228" s="295" t="s">
        <v>287</v>
      </c>
      <c r="AT228" s="360"/>
      <c r="AU228" s="322"/>
      <c r="AV228" s="360" t="s">
        <v>2089</v>
      </c>
      <c r="AW228" s="160">
        <f t="shared" si="119"/>
        <v>9</v>
      </c>
      <c r="AX228" s="360" t="s">
        <v>2091</v>
      </c>
      <c r="AY228" s="160" t="str">
        <f t="shared" si="120"/>
        <v>tache9</v>
      </c>
      <c r="AZ228" s="360" t="s">
        <v>2091</v>
      </c>
      <c r="BA228" s="160" t="str">
        <f t="shared" si="121"/>
        <v>tache9</v>
      </c>
      <c r="BB228" s="360" t="s">
        <v>2091</v>
      </c>
      <c r="BC228" s="160" t="str">
        <f t="shared" si="122"/>
        <v>Importante</v>
      </c>
      <c r="BD228" s="360" t="s">
        <v>2091</v>
      </c>
      <c r="BE228" s="160" t="str">
        <f t="shared" si="123"/>
        <v>Terminer</v>
      </c>
      <c r="BF228" s="360" t="s">
        <v>2091</v>
      </c>
      <c r="BG228" s="160" t="str">
        <f t="shared" si="124"/>
        <v>Realisation</v>
      </c>
      <c r="BH228" s="360" t="s">
        <v>2091</v>
      </c>
      <c r="BI228" s="371" t="str">
        <f t="shared" ca="1" si="125"/>
        <v>2023/04/25</v>
      </c>
      <c r="BJ228" s="360" t="s">
        <v>2091</v>
      </c>
      <c r="BK228" s="329" t="str">
        <f t="shared" ca="1" si="126"/>
        <v>2023/04/25</v>
      </c>
      <c r="BL228" s="360" t="s">
        <v>2091</v>
      </c>
      <c r="BM228" s="329" t="str">
        <f t="shared" ca="1" si="127"/>
        <v>2023/04/25</v>
      </c>
      <c r="BN228" s="360" t="s">
        <v>2091</v>
      </c>
      <c r="BO228" s="329" t="str">
        <f t="shared" ca="1" si="128"/>
        <v>2023/04/25</v>
      </c>
      <c r="BP228" s="360" t="s">
        <v>2091</v>
      </c>
      <c r="BQ228" s="329" t="str">
        <f t="shared" ca="1" si="129"/>
        <v>2023/04/25</v>
      </c>
      <c r="BR228" s="360" t="s">
        <v>2093</v>
      </c>
      <c r="BS228" s="160">
        <f t="shared" si="130"/>
        <v>6</v>
      </c>
      <c r="BT228" s="160" t="s">
        <v>2021</v>
      </c>
      <c r="BU228" s="322" t="str">
        <f t="shared" ca="1" si="131"/>
        <v>INSERT INTO TACHES(numTache,nameTache,descriptionTache,prioTache,stateTache,categoryTache,dateCreateTache,dateInProgressTache,dateToTestTache,dateEndThTache,dateEndRealTache,idProjet) VALUES ('9','tache9','tache9','Importante','Terminer','Realisation','2023/04/25','2023/04/25','2023/04/25','2023/04/25','2023/04/25',6);</v>
      </c>
      <c r="BV228" s="322" t="s">
        <v>2475</v>
      </c>
    </row>
    <row r="229" spans="6:74" ht="20.05" customHeight="1" outlineLevel="1" thickBot="1" x14ac:dyDescent="0.35">
      <c r="F229" s="160">
        <f t="shared" si="140"/>
        <v>100</v>
      </c>
      <c r="G229" s="160">
        <f t="shared" si="140"/>
        <v>10</v>
      </c>
      <c r="H229" s="160" t="s">
        <v>2127</v>
      </c>
      <c r="I229" s="160" t="str">
        <f t="shared" si="116"/>
        <v>tache10</v>
      </c>
      <c r="J229" s="160" t="s">
        <v>1867</v>
      </c>
      <c r="K229" s="160" t="s">
        <v>2375</v>
      </c>
      <c r="L229" s="160" t="s">
        <v>1879</v>
      </c>
      <c r="M229" s="346">
        <f>Q226+1</f>
        <v>45032</v>
      </c>
      <c r="N229" s="329">
        <f t="shared" si="138"/>
        <v>45032</v>
      </c>
      <c r="O229" s="329">
        <f>M229</f>
        <v>45032</v>
      </c>
      <c r="P229" s="329">
        <f>M229</f>
        <v>45032</v>
      </c>
      <c r="Q229" s="329">
        <f>P229+1</f>
        <v>45033</v>
      </c>
      <c r="R229" s="160">
        <f t="shared" si="139"/>
        <v>6</v>
      </c>
      <c r="S229" s="160">
        <f t="shared" si="117"/>
        <v>2</v>
      </c>
      <c r="T229" s="160" t="s">
        <v>1922</v>
      </c>
      <c r="U229" s="322" t="str">
        <f t="shared" si="118"/>
        <v>TACHES</v>
      </c>
      <c r="V229" s="160" t="s">
        <v>2088</v>
      </c>
      <c r="W229" s="189" t="s">
        <v>355</v>
      </c>
      <c r="X229" s="360" t="s">
        <v>2020</v>
      </c>
      <c r="Y229" s="189" t="s">
        <v>337</v>
      </c>
      <c r="Z229" s="360" t="s">
        <v>2020</v>
      </c>
      <c r="AA229" s="189" t="s">
        <v>340</v>
      </c>
      <c r="AB229" s="360" t="s">
        <v>2020</v>
      </c>
      <c r="AC229" s="189" t="s">
        <v>266</v>
      </c>
      <c r="AD229" s="360" t="s">
        <v>2020</v>
      </c>
      <c r="AE229" s="189" t="s">
        <v>244</v>
      </c>
      <c r="AF229" s="360" t="s">
        <v>2020</v>
      </c>
      <c r="AG229" s="189" t="s">
        <v>296</v>
      </c>
      <c r="AH229" s="360" t="s">
        <v>2020</v>
      </c>
      <c r="AI229" s="189" t="s">
        <v>298</v>
      </c>
      <c r="AJ229" s="360" t="s">
        <v>2020</v>
      </c>
      <c r="AK229" s="189" t="s">
        <v>299</v>
      </c>
      <c r="AL229" s="360" t="s">
        <v>2020</v>
      </c>
      <c r="AM229" s="189" t="s">
        <v>300</v>
      </c>
      <c r="AN229" s="360" t="s">
        <v>2020</v>
      </c>
      <c r="AO229" s="189" t="s">
        <v>301</v>
      </c>
      <c r="AP229" s="360" t="s">
        <v>2020</v>
      </c>
      <c r="AQ229" s="192" t="s">
        <v>302</v>
      </c>
      <c r="AR229" s="360" t="s">
        <v>2020</v>
      </c>
      <c r="AS229" s="295" t="s">
        <v>287</v>
      </c>
      <c r="AT229" s="360"/>
      <c r="AU229" s="322"/>
      <c r="AV229" s="360" t="s">
        <v>2089</v>
      </c>
      <c r="AW229" s="160">
        <f t="shared" si="119"/>
        <v>10</v>
      </c>
      <c r="AX229" s="360" t="s">
        <v>2091</v>
      </c>
      <c r="AY229" s="160" t="str">
        <f t="shared" si="120"/>
        <v>tache10</v>
      </c>
      <c r="AZ229" s="360" t="s">
        <v>2091</v>
      </c>
      <c r="BA229" s="160" t="str">
        <f t="shared" si="121"/>
        <v>tache10</v>
      </c>
      <c r="BB229" s="360" t="s">
        <v>2091</v>
      </c>
      <c r="BC229" s="160" t="str">
        <f t="shared" si="122"/>
        <v>Vitale</v>
      </c>
      <c r="BD229" s="360" t="s">
        <v>2091</v>
      </c>
      <c r="BE229" s="160" t="str">
        <f t="shared" si="123"/>
        <v>Terminer</v>
      </c>
      <c r="BF229" s="360" t="s">
        <v>2091</v>
      </c>
      <c r="BG229" s="160" t="str">
        <f t="shared" si="124"/>
        <v>Realisation</v>
      </c>
      <c r="BH229" s="360" t="s">
        <v>2091</v>
      </c>
      <c r="BI229" s="371" t="str">
        <f t="shared" ca="1" si="125"/>
        <v>2023/04/16</v>
      </c>
      <c r="BJ229" s="360" t="s">
        <v>2091</v>
      </c>
      <c r="BK229" s="329" t="str">
        <f t="shared" ca="1" si="126"/>
        <v>2023/04/16</v>
      </c>
      <c r="BL229" s="360" t="s">
        <v>2091</v>
      </c>
      <c r="BM229" s="329" t="str">
        <f t="shared" ca="1" si="127"/>
        <v>2023/04/16</v>
      </c>
      <c r="BN229" s="360" t="s">
        <v>2091</v>
      </c>
      <c r="BO229" s="329" t="str">
        <f t="shared" ca="1" si="128"/>
        <v>2023/04/16</v>
      </c>
      <c r="BP229" s="360" t="s">
        <v>2091</v>
      </c>
      <c r="BQ229" s="329" t="str">
        <f t="shared" ca="1" si="129"/>
        <v>2023/04/17</v>
      </c>
      <c r="BR229" s="360" t="s">
        <v>2093</v>
      </c>
      <c r="BS229" s="160">
        <f t="shared" si="130"/>
        <v>6</v>
      </c>
      <c r="BT229" s="160" t="s">
        <v>2021</v>
      </c>
      <c r="BU229" s="322" t="str">
        <f t="shared" ca="1" si="131"/>
        <v>INSERT INTO TACHES(numTache,nameTache,descriptionTache,prioTache,stateTache,categoryTache,dateCreateTache,dateInProgressTache,dateToTestTache,dateEndThTache,dateEndRealTache,idProjet) VALUES ('10','tache10','tache10','Vitale','Terminer','Realisation','2023/04/16','2023/04/16','2023/04/16','2023/04/16','2023/04/17',6);</v>
      </c>
      <c r="BV229" s="322" t="s">
        <v>2476</v>
      </c>
    </row>
    <row r="230" spans="6:74" ht="20.05" customHeight="1" outlineLevel="1" thickBot="1" x14ac:dyDescent="0.35">
      <c r="F230" s="160">
        <f t="shared" si="140"/>
        <v>101</v>
      </c>
      <c r="G230" s="160">
        <f t="shared" si="140"/>
        <v>11</v>
      </c>
      <c r="H230" s="160" t="s">
        <v>2128</v>
      </c>
      <c r="I230" s="160" t="str">
        <f t="shared" si="116"/>
        <v>tache11</v>
      </c>
      <c r="J230" s="160" t="s">
        <v>1867</v>
      </c>
      <c r="K230" s="160" t="s">
        <v>2375</v>
      </c>
      <c r="L230" s="160" t="s">
        <v>1879</v>
      </c>
      <c r="M230" s="346">
        <f>Q229</f>
        <v>45033</v>
      </c>
      <c r="N230" s="329">
        <f t="shared" si="138"/>
        <v>45033</v>
      </c>
      <c r="O230" s="329">
        <f>M230</f>
        <v>45033</v>
      </c>
      <c r="P230" s="329">
        <f>M230</f>
        <v>45033</v>
      </c>
      <c r="Q230" s="329">
        <f>P230+1</f>
        <v>45034</v>
      </c>
      <c r="R230" s="160">
        <f t="shared" si="139"/>
        <v>6</v>
      </c>
      <c r="S230" s="160">
        <f t="shared" si="117"/>
        <v>3</v>
      </c>
      <c r="T230" s="160" t="s">
        <v>1922</v>
      </c>
      <c r="U230" s="322" t="str">
        <f t="shared" si="118"/>
        <v>TACHES</v>
      </c>
      <c r="V230" s="160" t="s">
        <v>2088</v>
      </c>
      <c r="W230" s="189" t="s">
        <v>355</v>
      </c>
      <c r="X230" s="360" t="s">
        <v>2020</v>
      </c>
      <c r="Y230" s="189" t="s">
        <v>337</v>
      </c>
      <c r="Z230" s="360" t="s">
        <v>2020</v>
      </c>
      <c r="AA230" s="189" t="s">
        <v>340</v>
      </c>
      <c r="AB230" s="360" t="s">
        <v>2020</v>
      </c>
      <c r="AC230" s="189" t="s">
        <v>266</v>
      </c>
      <c r="AD230" s="360" t="s">
        <v>2020</v>
      </c>
      <c r="AE230" s="189" t="s">
        <v>244</v>
      </c>
      <c r="AF230" s="360" t="s">
        <v>2020</v>
      </c>
      <c r="AG230" s="189" t="s">
        <v>296</v>
      </c>
      <c r="AH230" s="360" t="s">
        <v>2020</v>
      </c>
      <c r="AI230" s="189" t="s">
        <v>298</v>
      </c>
      <c r="AJ230" s="360" t="s">
        <v>2020</v>
      </c>
      <c r="AK230" s="189" t="s">
        <v>299</v>
      </c>
      <c r="AL230" s="360" t="s">
        <v>2020</v>
      </c>
      <c r="AM230" s="189" t="s">
        <v>300</v>
      </c>
      <c r="AN230" s="360" t="s">
        <v>2020</v>
      </c>
      <c r="AO230" s="189" t="s">
        <v>301</v>
      </c>
      <c r="AP230" s="360" t="s">
        <v>2020</v>
      </c>
      <c r="AQ230" s="192" t="s">
        <v>302</v>
      </c>
      <c r="AR230" s="360" t="s">
        <v>2020</v>
      </c>
      <c r="AS230" s="295" t="s">
        <v>287</v>
      </c>
      <c r="AT230" s="360"/>
      <c r="AU230" s="322"/>
      <c r="AV230" s="360" t="s">
        <v>2089</v>
      </c>
      <c r="AW230" s="160">
        <f t="shared" si="119"/>
        <v>11</v>
      </c>
      <c r="AX230" s="360" t="s">
        <v>2091</v>
      </c>
      <c r="AY230" s="160" t="str">
        <f t="shared" si="120"/>
        <v>tache11</v>
      </c>
      <c r="AZ230" s="360" t="s">
        <v>2091</v>
      </c>
      <c r="BA230" s="160" t="str">
        <f t="shared" si="121"/>
        <v>tache11</v>
      </c>
      <c r="BB230" s="360" t="s">
        <v>2091</v>
      </c>
      <c r="BC230" s="160" t="str">
        <f t="shared" si="122"/>
        <v>Vitale</v>
      </c>
      <c r="BD230" s="360" t="s">
        <v>2091</v>
      </c>
      <c r="BE230" s="160" t="str">
        <f t="shared" si="123"/>
        <v>Terminer</v>
      </c>
      <c r="BF230" s="360" t="s">
        <v>2091</v>
      </c>
      <c r="BG230" s="160" t="str">
        <f t="shared" si="124"/>
        <v>Realisation</v>
      </c>
      <c r="BH230" s="360" t="s">
        <v>2091</v>
      </c>
      <c r="BI230" s="371" t="str">
        <f t="shared" ca="1" si="125"/>
        <v>2023/04/17</v>
      </c>
      <c r="BJ230" s="360" t="s">
        <v>2091</v>
      </c>
      <c r="BK230" s="329" t="str">
        <f t="shared" ca="1" si="126"/>
        <v>2023/04/17</v>
      </c>
      <c r="BL230" s="360" t="s">
        <v>2091</v>
      </c>
      <c r="BM230" s="329" t="str">
        <f t="shared" ca="1" si="127"/>
        <v>2023/04/17</v>
      </c>
      <c r="BN230" s="360" t="s">
        <v>2091</v>
      </c>
      <c r="BO230" s="329" t="str">
        <f t="shared" ca="1" si="128"/>
        <v>2023/04/17</v>
      </c>
      <c r="BP230" s="360" t="s">
        <v>2091</v>
      </c>
      <c r="BQ230" s="329" t="str">
        <f t="shared" ca="1" si="129"/>
        <v>2023/04/18</v>
      </c>
      <c r="BR230" s="360" t="s">
        <v>2093</v>
      </c>
      <c r="BS230" s="160">
        <f t="shared" si="130"/>
        <v>6</v>
      </c>
      <c r="BT230" s="160" t="s">
        <v>2021</v>
      </c>
      <c r="BU230" s="322" t="str">
        <f t="shared" ca="1" si="131"/>
        <v>INSERT INTO TACHES(numTache,nameTache,descriptionTache,prioTache,stateTache,categoryTache,dateCreateTache,dateInProgressTache,dateToTestTache,dateEndThTache,dateEndRealTache,idProjet) VALUES ('11','tache11','tache11','Vitale','Terminer','Realisation','2023/04/17','2023/04/17','2023/04/17','2023/04/17','2023/04/18',6);</v>
      </c>
      <c r="BV230" s="322" t="s">
        <v>2477</v>
      </c>
    </row>
    <row r="231" spans="6:74" ht="20.05" customHeight="1" outlineLevel="1" thickBot="1" x14ac:dyDescent="0.35">
      <c r="F231" s="160">
        <f t="shared" si="140"/>
        <v>102</v>
      </c>
      <c r="G231" s="160">
        <f t="shared" si="140"/>
        <v>12</v>
      </c>
      <c r="H231" s="160" t="s">
        <v>2129</v>
      </c>
      <c r="I231" s="160" t="str">
        <f t="shared" si="116"/>
        <v>tache12</v>
      </c>
      <c r="J231" s="160" t="s">
        <v>1867</v>
      </c>
      <c r="K231" s="160" t="s">
        <v>2375</v>
      </c>
      <c r="L231" s="160" t="s">
        <v>1879</v>
      </c>
      <c r="M231" s="346">
        <f>Q230</f>
        <v>45034</v>
      </c>
      <c r="N231" s="329">
        <f t="shared" si="138"/>
        <v>45034</v>
      </c>
      <c r="O231" s="329">
        <f>N231+2</f>
        <v>45036</v>
      </c>
      <c r="P231" s="329">
        <f>O231+0</f>
        <v>45036</v>
      </c>
      <c r="Q231" s="329">
        <f>P231</f>
        <v>45036</v>
      </c>
      <c r="R231" s="160">
        <f t="shared" si="139"/>
        <v>6</v>
      </c>
      <c r="S231" s="160">
        <f t="shared" si="117"/>
        <v>4</v>
      </c>
      <c r="T231" s="160" t="s">
        <v>1922</v>
      </c>
      <c r="U231" s="322" t="str">
        <f t="shared" si="118"/>
        <v>TACHES</v>
      </c>
      <c r="V231" s="160" t="s">
        <v>2088</v>
      </c>
      <c r="W231" s="189" t="s">
        <v>355</v>
      </c>
      <c r="X231" s="360" t="s">
        <v>2020</v>
      </c>
      <c r="Y231" s="189" t="s">
        <v>337</v>
      </c>
      <c r="Z231" s="360" t="s">
        <v>2020</v>
      </c>
      <c r="AA231" s="189" t="s">
        <v>340</v>
      </c>
      <c r="AB231" s="360" t="s">
        <v>2020</v>
      </c>
      <c r="AC231" s="189" t="s">
        <v>266</v>
      </c>
      <c r="AD231" s="360" t="s">
        <v>2020</v>
      </c>
      <c r="AE231" s="189" t="s">
        <v>244</v>
      </c>
      <c r="AF231" s="360" t="s">
        <v>2020</v>
      </c>
      <c r="AG231" s="189" t="s">
        <v>296</v>
      </c>
      <c r="AH231" s="360" t="s">
        <v>2020</v>
      </c>
      <c r="AI231" s="189" t="s">
        <v>298</v>
      </c>
      <c r="AJ231" s="360" t="s">
        <v>2020</v>
      </c>
      <c r="AK231" s="189" t="s">
        <v>299</v>
      </c>
      <c r="AL231" s="360" t="s">
        <v>2020</v>
      </c>
      <c r="AM231" s="189" t="s">
        <v>300</v>
      </c>
      <c r="AN231" s="360" t="s">
        <v>2020</v>
      </c>
      <c r="AO231" s="189" t="s">
        <v>301</v>
      </c>
      <c r="AP231" s="360" t="s">
        <v>2020</v>
      </c>
      <c r="AQ231" s="192" t="s">
        <v>302</v>
      </c>
      <c r="AR231" s="360" t="s">
        <v>2020</v>
      </c>
      <c r="AS231" s="295" t="s">
        <v>287</v>
      </c>
      <c r="AT231" s="360"/>
      <c r="AU231" s="322"/>
      <c r="AV231" s="360" t="s">
        <v>2089</v>
      </c>
      <c r="AW231" s="160">
        <f t="shared" si="119"/>
        <v>12</v>
      </c>
      <c r="AX231" s="360" t="s">
        <v>2091</v>
      </c>
      <c r="AY231" s="160" t="str">
        <f t="shared" si="120"/>
        <v>tache12</v>
      </c>
      <c r="AZ231" s="360" t="s">
        <v>2091</v>
      </c>
      <c r="BA231" s="160" t="str">
        <f t="shared" si="121"/>
        <v>tache12</v>
      </c>
      <c r="BB231" s="360" t="s">
        <v>2091</v>
      </c>
      <c r="BC231" s="160" t="str">
        <f t="shared" si="122"/>
        <v>Vitale</v>
      </c>
      <c r="BD231" s="360" t="s">
        <v>2091</v>
      </c>
      <c r="BE231" s="160" t="str">
        <f t="shared" si="123"/>
        <v>Terminer</v>
      </c>
      <c r="BF231" s="360" t="s">
        <v>2091</v>
      </c>
      <c r="BG231" s="160" t="str">
        <f t="shared" si="124"/>
        <v>Realisation</v>
      </c>
      <c r="BH231" s="360" t="s">
        <v>2091</v>
      </c>
      <c r="BI231" s="371" t="str">
        <f t="shared" ca="1" si="125"/>
        <v>2023/04/18</v>
      </c>
      <c r="BJ231" s="360" t="s">
        <v>2091</v>
      </c>
      <c r="BK231" s="329" t="str">
        <f t="shared" ca="1" si="126"/>
        <v>2023/04/18</v>
      </c>
      <c r="BL231" s="360" t="s">
        <v>2091</v>
      </c>
      <c r="BM231" s="329" t="str">
        <f t="shared" ca="1" si="127"/>
        <v>2023/04/20</v>
      </c>
      <c r="BN231" s="360" t="s">
        <v>2091</v>
      </c>
      <c r="BO231" s="329" t="str">
        <f t="shared" ca="1" si="128"/>
        <v>2023/04/20</v>
      </c>
      <c r="BP231" s="360" t="s">
        <v>2091</v>
      </c>
      <c r="BQ231" s="329" t="str">
        <f t="shared" ca="1" si="129"/>
        <v>2023/04/20</v>
      </c>
      <c r="BR231" s="360" t="s">
        <v>2093</v>
      </c>
      <c r="BS231" s="160">
        <f t="shared" si="130"/>
        <v>6</v>
      </c>
      <c r="BT231" s="160" t="s">
        <v>2021</v>
      </c>
      <c r="BU231" s="322" t="str">
        <f t="shared" ca="1" si="131"/>
        <v>INSERT INTO TACHES(numTache,nameTache,descriptionTache,prioTache,stateTache,categoryTache,dateCreateTache,dateInProgressTache,dateToTestTache,dateEndThTache,dateEndRealTache,idProjet) VALUES ('12','tache12','tache12','Vitale','Terminer','Realisation','2023/04/18','2023/04/18','2023/04/20','2023/04/20','2023/04/20',6);</v>
      </c>
      <c r="BV231" s="322" t="s">
        <v>2478</v>
      </c>
    </row>
    <row r="232" spans="6:74" ht="15.65" outlineLevel="1" thickBot="1" x14ac:dyDescent="0.35">
      <c r="F232" s="160">
        <f t="shared" si="140"/>
        <v>103</v>
      </c>
      <c r="G232" s="160">
        <f t="shared" si="140"/>
        <v>13</v>
      </c>
      <c r="H232" s="160" t="s">
        <v>2130</v>
      </c>
      <c r="I232" s="160" t="str">
        <f t="shared" si="116"/>
        <v>tache13</v>
      </c>
      <c r="J232" s="160" t="s">
        <v>1867</v>
      </c>
      <c r="K232" s="160" t="s">
        <v>2375</v>
      </c>
      <c r="L232" s="160" t="s">
        <v>1879</v>
      </c>
      <c r="M232" s="346">
        <f>Q231+1</f>
        <v>45037</v>
      </c>
      <c r="N232" s="329">
        <f t="shared" si="138"/>
        <v>45037</v>
      </c>
      <c r="O232" s="329">
        <f>M232</f>
        <v>45037</v>
      </c>
      <c r="P232" s="329">
        <f>O232+1</f>
        <v>45038</v>
      </c>
      <c r="Q232" s="329">
        <f>M232</f>
        <v>45037</v>
      </c>
      <c r="R232" s="160">
        <f t="shared" si="139"/>
        <v>6</v>
      </c>
      <c r="S232" s="160">
        <f t="shared" si="117"/>
        <v>2</v>
      </c>
      <c r="T232" s="160" t="s">
        <v>1922</v>
      </c>
      <c r="U232" s="322" t="str">
        <f t="shared" si="118"/>
        <v>TACHES</v>
      </c>
      <c r="V232" s="160" t="s">
        <v>2088</v>
      </c>
      <c r="W232" s="189" t="s">
        <v>355</v>
      </c>
      <c r="X232" s="360" t="s">
        <v>2020</v>
      </c>
      <c r="Y232" s="189" t="s">
        <v>337</v>
      </c>
      <c r="Z232" s="360" t="s">
        <v>2020</v>
      </c>
      <c r="AA232" s="189" t="s">
        <v>340</v>
      </c>
      <c r="AB232" s="360" t="s">
        <v>2020</v>
      </c>
      <c r="AC232" s="189" t="s">
        <v>266</v>
      </c>
      <c r="AD232" s="360" t="s">
        <v>2020</v>
      </c>
      <c r="AE232" s="189" t="s">
        <v>244</v>
      </c>
      <c r="AF232" s="360" t="s">
        <v>2020</v>
      </c>
      <c r="AG232" s="189" t="s">
        <v>296</v>
      </c>
      <c r="AH232" s="360" t="s">
        <v>2020</v>
      </c>
      <c r="AI232" s="189" t="s">
        <v>298</v>
      </c>
      <c r="AJ232" s="360" t="s">
        <v>2020</v>
      </c>
      <c r="AK232" s="189" t="s">
        <v>299</v>
      </c>
      <c r="AL232" s="360" t="s">
        <v>2020</v>
      </c>
      <c r="AM232" s="189" t="s">
        <v>300</v>
      </c>
      <c r="AN232" s="360" t="s">
        <v>2020</v>
      </c>
      <c r="AO232" s="189" t="s">
        <v>301</v>
      </c>
      <c r="AP232" s="360" t="s">
        <v>2020</v>
      </c>
      <c r="AQ232" s="192" t="s">
        <v>302</v>
      </c>
      <c r="AR232" s="360" t="s">
        <v>2020</v>
      </c>
      <c r="AS232" s="295" t="s">
        <v>287</v>
      </c>
      <c r="AT232" s="360"/>
      <c r="AU232" s="322"/>
      <c r="AV232" s="360" t="s">
        <v>2089</v>
      </c>
      <c r="AW232" s="160">
        <f t="shared" si="119"/>
        <v>13</v>
      </c>
      <c r="AX232" s="360" t="s">
        <v>2091</v>
      </c>
      <c r="AY232" s="160" t="str">
        <f t="shared" si="120"/>
        <v>tache13</v>
      </c>
      <c r="AZ232" s="360" t="s">
        <v>2091</v>
      </c>
      <c r="BA232" s="160" t="str">
        <f t="shared" si="121"/>
        <v>tache13</v>
      </c>
      <c r="BB232" s="360" t="s">
        <v>2091</v>
      </c>
      <c r="BC232" s="160" t="str">
        <f t="shared" si="122"/>
        <v>Vitale</v>
      </c>
      <c r="BD232" s="360" t="s">
        <v>2091</v>
      </c>
      <c r="BE232" s="160" t="str">
        <f t="shared" si="123"/>
        <v>Terminer</v>
      </c>
      <c r="BF232" s="360" t="s">
        <v>2091</v>
      </c>
      <c r="BG232" s="160" t="str">
        <f t="shared" si="124"/>
        <v>Realisation</v>
      </c>
      <c r="BH232" s="360" t="s">
        <v>2091</v>
      </c>
      <c r="BI232" s="371" t="str">
        <f t="shared" ca="1" si="125"/>
        <v>2023/04/21</v>
      </c>
      <c r="BJ232" s="360" t="s">
        <v>2091</v>
      </c>
      <c r="BK232" s="329" t="str">
        <f t="shared" ca="1" si="126"/>
        <v>2023/04/21</v>
      </c>
      <c r="BL232" s="360" t="s">
        <v>2091</v>
      </c>
      <c r="BM232" s="329" t="str">
        <f t="shared" ca="1" si="127"/>
        <v>2023/04/21</v>
      </c>
      <c r="BN232" s="360" t="s">
        <v>2091</v>
      </c>
      <c r="BO232" s="329" t="str">
        <f t="shared" ca="1" si="128"/>
        <v>2023/04/22</v>
      </c>
      <c r="BP232" s="360" t="s">
        <v>2091</v>
      </c>
      <c r="BQ232" s="329" t="str">
        <f t="shared" ca="1" si="129"/>
        <v>2023/04/21</v>
      </c>
      <c r="BR232" s="360" t="s">
        <v>2093</v>
      </c>
      <c r="BS232" s="160">
        <f t="shared" si="130"/>
        <v>6</v>
      </c>
      <c r="BT232" s="160" t="s">
        <v>2021</v>
      </c>
      <c r="BU232" s="322" t="str">
        <f t="shared" ca="1" si="131"/>
        <v>INSERT INTO TACHES(numTache,nameTache,descriptionTache,prioTache,stateTache,categoryTache,dateCreateTache,dateInProgressTache,dateToTestTache,dateEndThTache,dateEndRealTache,idProjet) VALUES ('13','tache13','tache13','Vitale','Terminer','Realisation','2023/04/21','2023/04/21','2023/04/21','2023/04/22','2023/04/21',6);</v>
      </c>
      <c r="BV232" s="322" t="s">
        <v>2479</v>
      </c>
    </row>
    <row r="233" spans="6:74" ht="28.05" customHeight="1" outlineLevel="1" thickBot="1" x14ac:dyDescent="0.35">
      <c r="F233" s="160">
        <f t="shared" si="140"/>
        <v>104</v>
      </c>
      <c r="G233" s="160">
        <f t="shared" si="140"/>
        <v>14</v>
      </c>
      <c r="H233" s="160" t="s">
        <v>2131</v>
      </c>
      <c r="I233" s="160" t="str">
        <f t="shared" si="116"/>
        <v>tache14</v>
      </c>
      <c r="J233" s="160" t="s">
        <v>1867</v>
      </c>
      <c r="K233" s="160" t="s">
        <v>2375</v>
      </c>
      <c r="L233" s="160" t="s">
        <v>1879</v>
      </c>
      <c r="M233" s="346">
        <f>Q232+1</f>
        <v>45038</v>
      </c>
      <c r="N233" s="329">
        <f t="shared" si="138"/>
        <v>45038</v>
      </c>
      <c r="O233" s="343">
        <f>M233+1</f>
        <v>45039</v>
      </c>
      <c r="P233" s="343">
        <f>M233+1</f>
        <v>45039</v>
      </c>
      <c r="Q233" s="343">
        <f>M233</f>
        <v>45038</v>
      </c>
      <c r="R233" s="160">
        <f t="shared" si="139"/>
        <v>6</v>
      </c>
      <c r="S233" s="160">
        <f t="shared" si="117"/>
        <v>1</v>
      </c>
      <c r="T233" s="160" t="s">
        <v>1922</v>
      </c>
      <c r="U233" s="322" t="str">
        <f t="shared" si="118"/>
        <v>TACHES</v>
      </c>
      <c r="V233" s="160" t="s">
        <v>2088</v>
      </c>
      <c r="W233" s="189" t="s">
        <v>355</v>
      </c>
      <c r="X233" s="360" t="s">
        <v>2020</v>
      </c>
      <c r="Y233" s="189" t="s">
        <v>337</v>
      </c>
      <c r="Z233" s="360" t="s">
        <v>2020</v>
      </c>
      <c r="AA233" s="189" t="s">
        <v>340</v>
      </c>
      <c r="AB233" s="360" t="s">
        <v>2020</v>
      </c>
      <c r="AC233" s="189" t="s">
        <v>266</v>
      </c>
      <c r="AD233" s="360" t="s">
        <v>2020</v>
      </c>
      <c r="AE233" s="189" t="s">
        <v>244</v>
      </c>
      <c r="AF233" s="360" t="s">
        <v>2020</v>
      </c>
      <c r="AG233" s="189" t="s">
        <v>296</v>
      </c>
      <c r="AH233" s="360" t="s">
        <v>2020</v>
      </c>
      <c r="AI233" s="189" t="s">
        <v>298</v>
      </c>
      <c r="AJ233" s="360" t="s">
        <v>2020</v>
      </c>
      <c r="AK233" s="189" t="s">
        <v>299</v>
      </c>
      <c r="AL233" s="360" t="s">
        <v>2020</v>
      </c>
      <c r="AM233" s="189" t="s">
        <v>300</v>
      </c>
      <c r="AN233" s="360" t="s">
        <v>2020</v>
      </c>
      <c r="AO233" s="189" t="s">
        <v>301</v>
      </c>
      <c r="AP233" s="360" t="s">
        <v>2020</v>
      </c>
      <c r="AQ233" s="192" t="s">
        <v>302</v>
      </c>
      <c r="AR233" s="360" t="s">
        <v>2020</v>
      </c>
      <c r="AS233" s="295" t="s">
        <v>287</v>
      </c>
      <c r="AT233" s="360"/>
      <c r="AU233" s="322"/>
      <c r="AV233" s="360" t="s">
        <v>2089</v>
      </c>
      <c r="AW233" s="160">
        <f t="shared" si="119"/>
        <v>14</v>
      </c>
      <c r="AX233" s="360" t="s">
        <v>2091</v>
      </c>
      <c r="AY233" s="160" t="str">
        <f t="shared" si="120"/>
        <v>tache14</v>
      </c>
      <c r="AZ233" s="360" t="s">
        <v>2091</v>
      </c>
      <c r="BA233" s="160" t="str">
        <f t="shared" si="121"/>
        <v>tache14</v>
      </c>
      <c r="BB233" s="360" t="s">
        <v>2091</v>
      </c>
      <c r="BC233" s="160" t="str">
        <f t="shared" si="122"/>
        <v>Vitale</v>
      </c>
      <c r="BD233" s="360" t="s">
        <v>2091</v>
      </c>
      <c r="BE233" s="160" t="str">
        <f t="shared" si="123"/>
        <v>Terminer</v>
      </c>
      <c r="BF233" s="360" t="s">
        <v>2091</v>
      </c>
      <c r="BG233" s="160" t="str">
        <f t="shared" si="124"/>
        <v>Realisation</v>
      </c>
      <c r="BH233" s="360" t="s">
        <v>2091</v>
      </c>
      <c r="BI233" s="371" t="str">
        <f t="shared" ca="1" si="125"/>
        <v>2023/04/22</v>
      </c>
      <c r="BJ233" s="360" t="s">
        <v>2091</v>
      </c>
      <c r="BK233" s="329" t="str">
        <f t="shared" ca="1" si="126"/>
        <v>2023/04/22</v>
      </c>
      <c r="BL233" s="360" t="s">
        <v>2091</v>
      </c>
      <c r="BM233" s="329" t="str">
        <f t="shared" ca="1" si="127"/>
        <v>2023/04/23</v>
      </c>
      <c r="BN233" s="360" t="s">
        <v>2091</v>
      </c>
      <c r="BO233" s="329" t="str">
        <f t="shared" ca="1" si="128"/>
        <v>2023/04/23</v>
      </c>
      <c r="BP233" s="360" t="s">
        <v>2091</v>
      </c>
      <c r="BQ233" s="329" t="str">
        <f t="shared" ca="1" si="129"/>
        <v>2023/04/22</v>
      </c>
      <c r="BR233" s="360" t="s">
        <v>2093</v>
      </c>
      <c r="BS233" s="160">
        <f t="shared" si="130"/>
        <v>6</v>
      </c>
      <c r="BT233" s="160" t="s">
        <v>2021</v>
      </c>
      <c r="BU233" s="322" t="str">
        <f t="shared" ca="1" si="131"/>
        <v>INSERT INTO TACHES(numTache,nameTache,descriptionTache,prioTache,stateTache,categoryTache,dateCreateTache,dateInProgressTache,dateToTestTache,dateEndThTache,dateEndRealTache,idProjet) VALUES ('14','tache14','tache14','Vitale','Terminer','Realisation','2023/04/22','2023/04/22','2023/04/23','2023/04/23','2023/04/22',6);</v>
      </c>
      <c r="BV233" s="322" t="s">
        <v>2480</v>
      </c>
    </row>
    <row r="234" spans="6:74" ht="30.05" customHeight="1" outlineLevel="1" thickBot="1" x14ac:dyDescent="0.35">
      <c r="F234" s="160">
        <f t="shared" si="140"/>
        <v>105</v>
      </c>
      <c r="G234" s="160">
        <f t="shared" si="140"/>
        <v>15</v>
      </c>
      <c r="H234" s="160" t="s">
        <v>2132</v>
      </c>
      <c r="I234" s="160" t="str">
        <f t="shared" si="116"/>
        <v>tache15</v>
      </c>
      <c r="J234" s="160" t="s">
        <v>1868</v>
      </c>
      <c r="K234" s="160" t="s">
        <v>2375</v>
      </c>
      <c r="L234" s="160" t="s">
        <v>1879</v>
      </c>
      <c r="M234" s="346">
        <f>Q228+1</f>
        <v>45042</v>
      </c>
      <c r="N234" s="343">
        <f t="shared" si="138"/>
        <v>45042</v>
      </c>
      <c r="O234" s="343">
        <f>M234</f>
        <v>45042</v>
      </c>
      <c r="P234" s="343">
        <f>M234</f>
        <v>45042</v>
      </c>
      <c r="Q234" s="343">
        <f>M234</f>
        <v>45042</v>
      </c>
      <c r="R234" s="160">
        <f t="shared" si="139"/>
        <v>6</v>
      </c>
      <c r="S234" s="160">
        <f t="shared" si="117"/>
        <v>2</v>
      </c>
      <c r="T234" s="160" t="s">
        <v>1922</v>
      </c>
      <c r="U234" s="322" t="str">
        <f t="shared" si="118"/>
        <v>TACHES</v>
      </c>
      <c r="V234" s="160" t="s">
        <v>2088</v>
      </c>
      <c r="W234" s="189" t="s">
        <v>355</v>
      </c>
      <c r="X234" s="360" t="s">
        <v>2020</v>
      </c>
      <c r="Y234" s="189" t="s">
        <v>337</v>
      </c>
      <c r="Z234" s="360" t="s">
        <v>2020</v>
      </c>
      <c r="AA234" s="189" t="s">
        <v>340</v>
      </c>
      <c r="AB234" s="360" t="s">
        <v>2020</v>
      </c>
      <c r="AC234" s="189" t="s">
        <v>266</v>
      </c>
      <c r="AD234" s="360" t="s">
        <v>2020</v>
      </c>
      <c r="AE234" s="189" t="s">
        <v>244</v>
      </c>
      <c r="AF234" s="360" t="s">
        <v>2020</v>
      </c>
      <c r="AG234" s="189" t="s">
        <v>296</v>
      </c>
      <c r="AH234" s="360" t="s">
        <v>2020</v>
      </c>
      <c r="AI234" s="189" t="s">
        <v>298</v>
      </c>
      <c r="AJ234" s="360" t="s">
        <v>2020</v>
      </c>
      <c r="AK234" s="189" t="s">
        <v>299</v>
      </c>
      <c r="AL234" s="360" t="s">
        <v>2020</v>
      </c>
      <c r="AM234" s="189" t="s">
        <v>300</v>
      </c>
      <c r="AN234" s="360" t="s">
        <v>2020</v>
      </c>
      <c r="AO234" s="189" t="s">
        <v>301</v>
      </c>
      <c r="AP234" s="360" t="s">
        <v>2020</v>
      </c>
      <c r="AQ234" s="192" t="s">
        <v>302</v>
      </c>
      <c r="AR234" s="360" t="s">
        <v>2020</v>
      </c>
      <c r="AS234" s="295" t="s">
        <v>287</v>
      </c>
      <c r="AT234" s="360"/>
      <c r="AU234" s="322"/>
      <c r="AV234" s="360" t="s">
        <v>2089</v>
      </c>
      <c r="AW234" s="160">
        <f t="shared" si="119"/>
        <v>15</v>
      </c>
      <c r="AX234" s="360" t="s">
        <v>2091</v>
      </c>
      <c r="AY234" s="160" t="str">
        <f t="shared" si="120"/>
        <v>tache15</v>
      </c>
      <c r="AZ234" s="360" t="s">
        <v>2091</v>
      </c>
      <c r="BA234" s="160" t="str">
        <f t="shared" si="121"/>
        <v>tache15</v>
      </c>
      <c r="BB234" s="360" t="s">
        <v>2091</v>
      </c>
      <c r="BC234" s="160" t="str">
        <f t="shared" si="122"/>
        <v>Importante</v>
      </c>
      <c r="BD234" s="360" t="s">
        <v>2091</v>
      </c>
      <c r="BE234" s="160" t="str">
        <f t="shared" si="123"/>
        <v>Terminer</v>
      </c>
      <c r="BF234" s="360" t="s">
        <v>2091</v>
      </c>
      <c r="BG234" s="160" t="str">
        <f t="shared" si="124"/>
        <v>Realisation</v>
      </c>
      <c r="BH234" s="360" t="s">
        <v>2091</v>
      </c>
      <c r="BI234" s="371" t="str">
        <f t="shared" ca="1" si="125"/>
        <v>2023/04/26</v>
      </c>
      <c r="BJ234" s="360" t="s">
        <v>2091</v>
      </c>
      <c r="BK234" s="329" t="str">
        <f t="shared" ca="1" si="126"/>
        <v>2023/04/26</v>
      </c>
      <c r="BL234" s="360" t="s">
        <v>2091</v>
      </c>
      <c r="BM234" s="329" t="str">
        <f t="shared" ca="1" si="127"/>
        <v>2023/04/26</v>
      </c>
      <c r="BN234" s="360" t="s">
        <v>2091</v>
      </c>
      <c r="BO234" s="329" t="str">
        <f t="shared" ca="1" si="128"/>
        <v>2023/04/26</v>
      </c>
      <c r="BP234" s="360" t="s">
        <v>2091</v>
      </c>
      <c r="BQ234" s="329" t="str">
        <f t="shared" ca="1" si="129"/>
        <v>2023/04/26</v>
      </c>
      <c r="BR234" s="360" t="s">
        <v>2093</v>
      </c>
      <c r="BS234" s="160">
        <f t="shared" si="130"/>
        <v>6</v>
      </c>
      <c r="BT234" s="160" t="s">
        <v>2021</v>
      </c>
      <c r="BU234" s="322" t="str">
        <f t="shared" ca="1" si="131"/>
        <v>INSERT INTO TACHES(numTache,nameTache,descriptionTache,prioTache,stateTache,categoryTache,dateCreateTache,dateInProgressTache,dateToTestTache,dateEndThTache,dateEndRealTache,idProjet) VALUES ('15','tache15','tache15','Importante','Terminer','Realisation','2023/04/26','2023/04/26','2023/04/26','2023/04/26','2023/04/26',6);</v>
      </c>
      <c r="BV234" s="322" t="s">
        <v>2481</v>
      </c>
    </row>
    <row r="235" spans="6:74" ht="20.05" customHeight="1" outlineLevel="1" thickBot="1" x14ac:dyDescent="0.35">
      <c r="F235" s="160">
        <f t="shared" si="140"/>
        <v>106</v>
      </c>
      <c r="G235" s="160">
        <f t="shared" si="140"/>
        <v>16</v>
      </c>
      <c r="H235" s="160" t="s">
        <v>2133</v>
      </c>
      <c r="I235" s="160" t="str">
        <f t="shared" si="116"/>
        <v>tache16</v>
      </c>
      <c r="J235" s="160" t="s">
        <v>1870</v>
      </c>
      <c r="K235" s="160" t="s">
        <v>2375</v>
      </c>
      <c r="L235" s="160" t="s">
        <v>1879</v>
      </c>
      <c r="M235" s="346">
        <f>Q227+1</f>
        <v>45044</v>
      </c>
      <c r="N235" s="343">
        <f t="shared" si="138"/>
        <v>45044</v>
      </c>
      <c r="O235" s="343">
        <f>N235+1</f>
        <v>45045</v>
      </c>
      <c r="P235" s="343">
        <f>O235</f>
        <v>45045</v>
      </c>
      <c r="Q235" s="343">
        <f>P235</f>
        <v>45045</v>
      </c>
      <c r="R235" s="160">
        <f t="shared" si="139"/>
        <v>6</v>
      </c>
      <c r="S235" s="160">
        <f t="shared" si="117"/>
        <v>2</v>
      </c>
      <c r="T235" s="160" t="s">
        <v>1922</v>
      </c>
      <c r="U235" s="322" t="str">
        <f t="shared" si="118"/>
        <v>TACHES</v>
      </c>
      <c r="V235" s="160" t="s">
        <v>2088</v>
      </c>
      <c r="W235" s="189" t="s">
        <v>355</v>
      </c>
      <c r="X235" s="360" t="s">
        <v>2020</v>
      </c>
      <c r="Y235" s="189" t="s">
        <v>337</v>
      </c>
      <c r="Z235" s="360" t="s">
        <v>2020</v>
      </c>
      <c r="AA235" s="189" t="s">
        <v>340</v>
      </c>
      <c r="AB235" s="360" t="s">
        <v>2020</v>
      </c>
      <c r="AC235" s="189" t="s">
        <v>266</v>
      </c>
      <c r="AD235" s="360" t="s">
        <v>2020</v>
      </c>
      <c r="AE235" s="189" t="s">
        <v>244</v>
      </c>
      <c r="AF235" s="360" t="s">
        <v>2020</v>
      </c>
      <c r="AG235" s="189" t="s">
        <v>296</v>
      </c>
      <c r="AH235" s="360" t="s">
        <v>2020</v>
      </c>
      <c r="AI235" s="189" t="s">
        <v>298</v>
      </c>
      <c r="AJ235" s="360" t="s">
        <v>2020</v>
      </c>
      <c r="AK235" s="189" t="s">
        <v>299</v>
      </c>
      <c r="AL235" s="360" t="s">
        <v>2020</v>
      </c>
      <c r="AM235" s="189" t="s">
        <v>300</v>
      </c>
      <c r="AN235" s="360" t="s">
        <v>2020</v>
      </c>
      <c r="AO235" s="189" t="s">
        <v>301</v>
      </c>
      <c r="AP235" s="360" t="s">
        <v>2020</v>
      </c>
      <c r="AQ235" s="192" t="s">
        <v>302</v>
      </c>
      <c r="AR235" s="360" t="s">
        <v>2020</v>
      </c>
      <c r="AS235" s="295" t="s">
        <v>287</v>
      </c>
      <c r="AT235" s="360"/>
      <c r="AU235" s="322"/>
      <c r="AV235" s="360" t="s">
        <v>2089</v>
      </c>
      <c r="AW235" s="160">
        <f t="shared" si="119"/>
        <v>16</v>
      </c>
      <c r="AX235" s="360" t="s">
        <v>2091</v>
      </c>
      <c r="AY235" s="160" t="str">
        <f t="shared" si="120"/>
        <v>tache16</v>
      </c>
      <c r="AZ235" s="360" t="s">
        <v>2091</v>
      </c>
      <c r="BA235" s="160" t="str">
        <f t="shared" si="121"/>
        <v>tache16</v>
      </c>
      <c r="BB235" s="360" t="s">
        <v>2091</v>
      </c>
      <c r="BC235" s="160" t="str">
        <f t="shared" si="122"/>
        <v>Confort</v>
      </c>
      <c r="BD235" s="360" t="s">
        <v>2091</v>
      </c>
      <c r="BE235" s="160" t="str">
        <f t="shared" si="123"/>
        <v>Terminer</v>
      </c>
      <c r="BF235" s="360" t="s">
        <v>2091</v>
      </c>
      <c r="BG235" s="160" t="str">
        <f t="shared" si="124"/>
        <v>Realisation</v>
      </c>
      <c r="BH235" s="360" t="s">
        <v>2091</v>
      </c>
      <c r="BI235" s="371" t="str">
        <f t="shared" ca="1" si="125"/>
        <v>2023/04/28</v>
      </c>
      <c r="BJ235" s="360" t="s">
        <v>2091</v>
      </c>
      <c r="BK235" s="329" t="str">
        <f t="shared" ca="1" si="126"/>
        <v>2023/04/28</v>
      </c>
      <c r="BL235" s="360" t="s">
        <v>2091</v>
      </c>
      <c r="BM235" s="329" t="str">
        <f t="shared" ca="1" si="127"/>
        <v>2023/04/29</v>
      </c>
      <c r="BN235" s="360" t="s">
        <v>2091</v>
      </c>
      <c r="BO235" s="329" t="str">
        <f t="shared" ca="1" si="128"/>
        <v>2023/04/29</v>
      </c>
      <c r="BP235" s="360" t="s">
        <v>2091</v>
      </c>
      <c r="BQ235" s="329" t="str">
        <f t="shared" ca="1" si="129"/>
        <v>2023/04/29</v>
      </c>
      <c r="BR235" s="360" t="s">
        <v>2093</v>
      </c>
      <c r="BS235" s="160">
        <f t="shared" si="130"/>
        <v>6</v>
      </c>
      <c r="BT235" s="160" t="s">
        <v>2021</v>
      </c>
      <c r="BU235" s="322" t="str">
        <f t="shared" ca="1" si="131"/>
        <v>INSERT INTO TACHES(numTache,nameTache,descriptionTache,prioTache,stateTache,categoryTache,dateCreateTache,dateInProgressTache,dateToTestTache,dateEndThTache,dateEndRealTache,idProjet) VALUES ('16','tache16','tache16','Confort','Terminer','Realisation','2023/04/28','2023/04/28','2023/04/29','2023/04/29','2023/04/29',6);</v>
      </c>
      <c r="BV235" s="322" t="s">
        <v>2482</v>
      </c>
    </row>
    <row r="236" spans="6:74" ht="20.05" customHeight="1" outlineLevel="1" thickBot="1" x14ac:dyDescent="0.35">
      <c r="F236" s="160">
        <f t="shared" si="140"/>
        <v>107</v>
      </c>
      <c r="G236" s="160">
        <f t="shared" si="140"/>
        <v>17</v>
      </c>
      <c r="H236" s="160" t="s">
        <v>2134</v>
      </c>
      <c r="I236" s="160" t="str">
        <f t="shared" si="116"/>
        <v>tache17</v>
      </c>
      <c r="J236" s="160" t="s">
        <v>1867</v>
      </c>
      <c r="K236" s="160" t="s">
        <v>2375</v>
      </c>
      <c r="L236" s="160" t="s">
        <v>1879</v>
      </c>
      <c r="M236" s="346">
        <f>Q233+1</f>
        <v>45039</v>
      </c>
      <c r="N236" s="343">
        <f t="shared" si="138"/>
        <v>45039</v>
      </c>
      <c r="O236" s="343">
        <f>M236+1</f>
        <v>45040</v>
      </c>
      <c r="P236" s="343">
        <f>M236+1</f>
        <v>45040</v>
      </c>
      <c r="Q236" s="343">
        <f>P236+1</f>
        <v>45041</v>
      </c>
      <c r="R236" s="160">
        <f t="shared" si="139"/>
        <v>6</v>
      </c>
      <c r="S236" s="160">
        <f t="shared" si="117"/>
        <v>3</v>
      </c>
      <c r="T236" s="160" t="s">
        <v>1922</v>
      </c>
      <c r="U236" s="322" t="str">
        <f t="shared" si="118"/>
        <v>TACHES</v>
      </c>
      <c r="V236" s="160" t="s">
        <v>2088</v>
      </c>
      <c r="W236" s="189" t="s">
        <v>355</v>
      </c>
      <c r="X236" s="360" t="s">
        <v>2020</v>
      </c>
      <c r="Y236" s="189" t="s">
        <v>337</v>
      </c>
      <c r="Z236" s="360" t="s">
        <v>2020</v>
      </c>
      <c r="AA236" s="189" t="s">
        <v>340</v>
      </c>
      <c r="AB236" s="360" t="s">
        <v>2020</v>
      </c>
      <c r="AC236" s="189" t="s">
        <v>266</v>
      </c>
      <c r="AD236" s="360" t="s">
        <v>2020</v>
      </c>
      <c r="AE236" s="189" t="s">
        <v>244</v>
      </c>
      <c r="AF236" s="360" t="s">
        <v>2020</v>
      </c>
      <c r="AG236" s="189" t="s">
        <v>296</v>
      </c>
      <c r="AH236" s="360" t="s">
        <v>2020</v>
      </c>
      <c r="AI236" s="189" t="s">
        <v>298</v>
      </c>
      <c r="AJ236" s="360" t="s">
        <v>2020</v>
      </c>
      <c r="AK236" s="189" t="s">
        <v>299</v>
      </c>
      <c r="AL236" s="360" t="s">
        <v>2020</v>
      </c>
      <c r="AM236" s="189" t="s">
        <v>300</v>
      </c>
      <c r="AN236" s="360" t="s">
        <v>2020</v>
      </c>
      <c r="AO236" s="189" t="s">
        <v>301</v>
      </c>
      <c r="AP236" s="360" t="s">
        <v>2020</v>
      </c>
      <c r="AQ236" s="192" t="s">
        <v>302</v>
      </c>
      <c r="AR236" s="360" t="s">
        <v>2020</v>
      </c>
      <c r="AS236" s="295" t="s">
        <v>287</v>
      </c>
      <c r="AT236" s="360"/>
      <c r="AU236" s="322"/>
      <c r="AV236" s="360" t="s">
        <v>2089</v>
      </c>
      <c r="AW236" s="160">
        <f t="shared" si="119"/>
        <v>17</v>
      </c>
      <c r="AX236" s="360" t="s">
        <v>2091</v>
      </c>
      <c r="AY236" s="160" t="str">
        <f t="shared" si="120"/>
        <v>tache17</v>
      </c>
      <c r="AZ236" s="360" t="s">
        <v>2091</v>
      </c>
      <c r="BA236" s="160" t="str">
        <f t="shared" si="121"/>
        <v>tache17</v>
      </c>
      <c r="BB236" s="360" t="s">
        <v>2091</v>
      </c>
      <c r="BC236" s="160" t="str">
        <f t="shared" si="122"/>
        <v>Vitale</v>
      </c>
      <c r="BD236" s="360" t="s">
        <v>2091</v>
      </c>
      <c r="BE236" s="160" t="str">
        <f t="shared" si="123"/>
        <v>Terminer</v>
      </c>
      <c r="BF236" s="360" t="s">
        <v>2091</v>
      </c>
      <c r="BG236" s="160" t="str">
        <f t="shared" si="124"/>
        <v>Realisation</v>
      </c>
      <c r="BH236" s="360" t="s">
        <v>2091</v>
      </c>
      <c r="BI236" s="371" t="str">
        <f t="shared" ca="1" si="125"/>
        <v>2023/04/23</v>
      </c>
      <c r="BJ236" s="360" t="s">
        <v>2091</v>
      </c>
      <c r="BK236" s="329" t="str">
        <f t="shared" ca="1" si="126"/>
        <v>2023/04/23</v>
      </c>
      <c r="BL236" s="360" t="s">
        <v>2091</v>
      </c>
      <c r="BM236" s="329" t="str">
        <f t="shared" ca="1" si="127"/>
        <v>2023/04/24</v>
      </c>
      <c r="BN236" s="360" t="s">
        <v>2091</v>
      </c>
      <c r="BO236" s="329" t="str">
        <f t="shared" ca="1" si="128"/>
        <v>2023/04/24</v>
      </c>
      <c r="BP236" s="360" t="s">
        <v>2091</v>
      </c>
      <c r="BQ236" s="329" t="str">
        <f t="shared" ca="1" si="129"/>
        <v>2023/04/25</v>
      </c>
      <c r="BR236" s="360" t="s">
        <v>2093</v>
      </c>
      <c r="BS236" s="160">
        <f t="shared" si="130"/>
        <v>6</v>
      </c>
      <c r="BT236" s="160" t="s">
        <v>2021</v>
      </c>
      <c r="BU236" s="322" t="str">
        <f t="shared" ca="1" si="131"/>
        <v>INSERT INTO TACHES(numTache,nameTache,descriptionTache,prioTache,stateTache,categoryTache,dateCreateTache,dateInProgressTache,dateToTestTache,dateEndThTache,dateEndRealTache,idProjet) VALUES ('17','tache17','tache17','Vitale','Terminer','Realisation','2023/04/23','2023/04/23','2023/04/24','2023/04/24','2023/04/25',6);</v>
      </c>
      <c r="BV236" s="322" t="s">
        <v>2483</v>
      </c>
    </row>
    <row r="237" spans="6:74" ht="28.2" customHeight="1" thickBot="1" x14ac:dyDescent="0.35">
      <c r="F237" s="160">
        <f t="shared" si="140"/>
        <v>108</v>
      </c>
      <c r="G237" s="160">
        <f t="shared" si="140"/>
        <v>18</v>
      </c>
      <c r="H237" s="160" t="s">
        <v>2135</v>
      </c>
      <c r="I237" s="160" t="str">
        <f t="shared" si="116"/>
        <v>tache18</v>
      </c>
      <c r="J237" s="160" t="s">
        <v>1867</v>
      </c>
      <c r="K237" s="160" t="s">
        <v>2375</v>
      </c>
      <c r="L237" s="160" t="s">
        <v>1880</v>
      </c>
      <c r="M237" s="346">
        <f>Q235+1</f>
        <v>45046</v>
      </c>
      <c r="N237" s="343">
        <f t="shared" si="138"/>
        <v>45046</v>
      </c>
      <c r="O237" s="343">
        <f>N237+2</f>
        <v>45048</v>
      </c>
      <c r="P237" s="343">
        <f>O237+1</f>
        <v>45049</v>
      </c>
      <c r="Q237" s="343">
        <f>P237</f>
        <v>45049</v>
      </c>
      <c r="R237" s="160">
        <f t="shared" si="139"/>
        <v>6</v>
      </c>
      <c r="S237" s="160">
        <f t="shared" si="117"/>
        <v>4</v>
      </c>
      <c r="T237" s="160" t="s">
        <v>1922</v>
      </c>
      <c r="U237" s="322" t="str">
        <f t="shared" si="118"/>
        <v>TACHES</v>
      </c>
      <c r="V237" s="160" t="s">
        <v>2088</v>
      </c>
      <c r="W237" s="189" t="s">
        <v>355</v>
      </c>
      <c r="X237" s="360" t="s">
        <v>2020</v>
      </c>
      <c r="Y237" s="189" t="s">
        <v>337</v>
      </c>
      <c r="Z237" s="360" t="s">
        <v>2020</v>
      </c>
      <c r="AA237" s="189" t="s">
        <v>340</v>
      </c>
      <c r="AB237" s="360" t="s">
        <v>2020</v>
      </c>
      <c r="AC237" s="189" t="s">
        <v>266</v>
      </c>
      <c r="AD237" s="360" t="s">
        <v>2020</v>
      </c>
      <c r="AE237" s="189" t="s">
        <v>244</v>
      </c>
      <c r="AF237" s="360" t="s">
        <v>2020</v>
      </c>
      <c r="AG237" s="189" t="s">
        <v>296</v>
      </c>
      <c r="AH237" s="360" t="s">
        <v>2020</v>
      </c>
      <c r="AI237" s="189" t="s">
        <v>298</v>
      </c>
      <c r="AJ237" s="360" t="s">
        <v>2020</v>
      </c>
      <c r="AK237" s="189" t="s">
        <v>299</v>
      </c>
      <c r="AL237" s="360" t="s">
        <v>2020</v>
      </c>
      <c r="AM237" s="189" t="s">
        <v>300</v>
      </c>
      <c r="AN237" s="360" t="s">
        <v>2020</v>
      </c>
      <c r="AO237" s="189" t="s">
        <v>301</v>
      </c>
      <c r="AP237" s="360" t="s">
        <v>2020</v>
      </c>
      <c r="AQ237" s="192" t="s">
        <v>302</v>
      </c>
      <c r="AR237" s="360" t="s">
        <v>2020</v>
      </c>
      <c r="AS237" s="295" t="s">
        <v>287</v>
      </c>
      <c r="AT237" s="360"/>
      <c r="AU237" s="322"/>
      <c r="AV237" s="360" t="s">
        <v>2089</v>
      </c>
      <c r="AW237" s="160">
        <f t="shared" si="119"/>
        <v>18</v>
      </c>
      <c r="AX237" s="360" t="s">
        <v>2091</v>
      </c>
      <c r="AY237" s="160" t="str">
        <f t="shared" si="120"/>
        <v>tache18</v>
      </c>
      <c r="AZ237" s="360" t="s">
        <v>2091</v>
      </c>
      <c r="BA237" s="160" t="str">
        <f t="shared" si="121"/>
        <v>tache18</v>
      </c>
      <c r="BB237" s="360" t="s">
        <v>2091</v>
      </c>
      <c r="BC237" s="160" t="str">
        <f t="shared" si="122"/>
        <v>Vitale</v>
      </c>
      <c r="BD237" s="360" t="s">
        <v>2091</v>
      </c>
      <c r="BE237" s="160" t="str">
        <f t="shared" si="123"/>
        <v>Terminer</v>
      </c>
      <c r="BF237" s="360" t="s">
        <v>2091</v>
      </c>
      <c r="BG237" s="160" t="str">
        <f t="shared" si="124"/>
        <v>Exploitation</v>
      </c>
      <c r="BH237" s="360" t="s">
        <v>2091</v>
      </c>
      <c r="BI237" s="371" t="str">
        <f t="shared" ca="1" si="125"/>
        <v>2023/04/30</v>
      </c>
      <c r="BJ237" s="360" t="s">
        <v>2091</v>
      </c>
      <c r="BK237" s="329" t="str">
        <f t="shared" ca="1" si="126"/>
        <v>2023/04/30</v>
      </c>
      <c r="BL237" s="360" t="s">
        <v>2091</v>
      </c>
      <c r="BM237" s="329" t="str">
        <f t="shared" ca="1" si="127"/>
        <v>2023/05/02</v>
      </c>
      <c r="BN237" s="360" t="s">
        <v>2091</v>
      </c>
      <c r="BO237" s="329" t="str">
        <f t="shared" ca="1" si="128"/>
        <v>2023/05/03</v>
      </c>
      <c r="BP237" s="360" t="s">
        <v>2091</v>
      </c>
      <c r="BQ237" s="329" t="str">
        <f t="shared" ca="1" si="129"/>
        <v>2023/05/03</v>
      </c>
      <c r="BR237" s="360" t="s">
        <v>2093</v>
      </c>
      <c r="BS237" s="160">
        <f t="shared" si="130"/>
        <v>6</v>
      </c>
      <c r="BT237" s="160" t="s">
        <v>2021</v>
      </c>
      <c r="BU237" s="322" t="str">
        <f t="shared" ca="1" si="131"/>
        <v>INSERT INTO TACHES(numTache,nameTache,descriptionTache,prioTache,stateTache,categoryTache,dateCreateTache,dateInProgressTache,dateToTestTache,dateEndThTache,dateEndRealTache,idProjet) VALUES ('18','tache18','tache18','Vitale','Terminer','Exploitation','2023/04/30','2023/04/30','2023/05/02','2023/05/03','2023/05/03',6);</v>
      </c>
      <c r="BV237" s="322" t="s">
        <v>2484</v>
      </c>
    </row>
    <row r="238" spans="6:74" ht="20.05" customHeight="1" outlineLevel="1" thickBot="1" x14ac:dyDescent="0.35">
      <c r="F238" s="160">
        <f t="shared" si="140"/>
        <v>109</v>
      </c>
      <c r="G238" s="160">
        <v>1</v>
      </c>
      <c r="H238" s="160" t="s">
        <v>2118</v>
      </c>
      <c r="I238" s="160" t="str">
        <f t="shared" si="116"/>
        <v>tache1</v>
      </c>
      <c r="J238" s="160" t="s">
        <v>1867</v>
      </c>
      <c r="K238" s="160" t="s">
        <v>2375</v>
      </c>
      <c r="L238" s="160" t="s">
        <v>1876</v>
      </c>
      <c r="M238" s="346">
        <v>45031</v>
      </c>
      <c r="N238" s="329">
        <v>45031</v>
      </c>
      <c r="O238" s="329">
        <v>45031</v>
      </c>
      <c r="P238" s="329" t="s">
        <v>1883</v>
      </c>
      <c r="Q238" s="329">
        <v>45031</v>
      </c>
      <c r="R238" s="160">
        <v>7</v>
      </c>
      <c r="S238" s="160">
        <f t="shared" si="117"/>
        <v>1</v>
      </c>
      <c r="T238" s="160" t="s">
        <v>1922</v>
      </c>
      <c r="U238" s="322" t="str">
        <f t="shared" si="118"/>
        <v>TACHES</v>
      </c>
      <c r="V238" s="160" t="s">
        <v>2088</v>
      </c>
      <c r="W238" s="189" t="s">
        <v>355</v>
      </c>
      <c r="X238" s="360" t="s">
        <v>2020</v>
      </c>
      <c r="Y238" s="189" t="s">
        <v>337</v>
      </c>
      <c r="Z238" s="360" t="s">
        <v>2020</v>
      </c>
      <c r="AA238" s="189" t="s">
        <v>340</v>
      </c>
      <c r="AB238" s="360" t="s">
        <v>2020</v>
      </c>
      <c r="AC238" s="189" t="s">
        <v>266</v>
      </c>
      <c r="AD238" s="360" t="s">
        <v>2020</v>
      </c>
      <c r="AE238" s="189" t="s">
        <v>244</v>
      </c>
      <c r="AF238" s="360" t="s">
        <v>2020</v>
      </c>
      <c r="AG238" s="189" t="s">
        <v>296</v>
      </c>
      <c r="AH238" s="360" t="s">
        <v>2020</v>
      </c>
      <c r="AI238" s="189" t="s">
        <v>298</v>
      </c>
      <c r="AJ238" s="360" t="s">
        <v>2020</v>
      </c>
      <c r="AK238" s="189" t="s">
        <v>299</v>
      </c>
      <c r="AL238" s="360" t="s">
        <v>2020</v>
      </c>
      <c r="AM238" s="189" t="s">
        <v>300</v>
      </c>
      <c r="AN238" s="360" t="s">
        <v>2020</v>
      </c>
      <c r="AO238" s="189" t="s">
        <v>301</v>
      </c>
      <c r="AP238" s="360" t="s">
        <v>2020</v>
      </c>
      <c r="AQ238" s="192" t="s">
        <v>302</v>
      </c>
      <c r="AR238" s="360" t="s">
        <v>2020</v>
      </c>
      <c r="AS238" s="295" t="s">
        <v>287</v>
      </c>
      <c r="AT238" s="360"/>
      <c r="AU238" s="322"/>
      <c r="AV238" s="360" t="s">
        <v>2089</v>
      </c>
      <c r="AW238" s="160">
        <f t="shared" si="119"/>
        <v>1</v>
      </c>
      <c r="AX238" s="360" t="s">
        <v>2091</v>
      </c>
      <c r="AY238" s="160" t="str">
        <f t="shared" si="120"/>
        <v>tache1</v>
      </c>
      <c r="AZ238" s="360" t="s">
        <v>2091</v>
      </c>
      <c r="BA238" s="160" t="str">
        <f t="shared" si="121"/>
        <v>tache1</v>
      </c>
      <c r="BB238" s="360" t="s">
        <v>2091</v>
      </c>
      <c r="BC238" s="160" t="str">
        <f t="shared" si="122"/>
        <v>Vitale</v>
      </c>
      <c r="BD238" s="360" t="s">
        <v>2091</v>
      </c>
      <c r="BE238" s="160" t="str">
        <f t="shared" si="123"/>
        <v>Terminer</v>
      </c>
      <c r="BF238" s="360" t="s">
        <v>2091</v>
      </c>
      <c r="BG238" s="160" t="str">
        <f t="shared" si="124"/>
        <v>Initialisation</v>
      </c>
      <c r="BH238" s="360" t="s">
        <v>2091</v>
      </c>
      <c r="BI238" s="371" t="str">
        <f t="shared" ca="1" si="125"/>
        <v>2023/04/15</v>
      </c>
      <c r="BJ238" s="360" t="s">
        <v>2091</v>
      </c>
      <c r="BK238" s="329" t="str">
        <f t="shared" ca="1" si="126"/>
        <v>2023/04/15</v>
      </c>
      <c r="BL238" s="360" t="s">
        <v>2091</v>
      </c>
      <c r="BM238" s="329" t="str">
        <f t="shared" ca="1" si="127"/>
        <v>2023/04/15</v>
      </c>
      <c r="BN238" s="360" t="s">
        <v>2091</v>
      </c>
      <c r="BO238" s="329" t="str">
        <f t="shared" ca="1" si="128"/>
        <v/>
      </c>
      <c r="BP238" s="360" t="s">
        <v>2091</v>
      </c>
      <c r="BQ238" s="329" t="str">
        <f t="shared" ca="1" si="129"/>
        <v>2023/04/15</v>
      </c>
      <c r="BR238" s="360" t="s">
        <v>2093</v>
      </c>
      <c r="BS238" s="160">
        <f t="shared" si="130"/>
        <v>7</v>
      </c>
      <c r="BT238" s="160" t="s">
        <v>2021</v>
      </c>
      <c r="BU238" s="322" t="str">
        <f t="shared" ca="1" si="131"/>
        <v>INSERT INTO TACHES(numTache,nameTache,descriptionTache,prioTache,stateTache,categoryTache,dateCreateTache,dateInProgressTache,dateToTestTache,dateEndThTache,dateEndRealTache,idProjet) VALUES ('1','tache1','tache1','Vitale','Terminer','Initialisation','2023/04/15','2023/04/15','2023/04/15','','2023/04/15',7);</v>
      </c>
      <c r="BV238" s="322" t="s">
        <v>2485</v>
      </c>
    </row>
    <row r="239" spans="6:74" ht="20.05" customHeight="1" outlineLevel="1" thickBot="1" x14ac:dyDescent="0.35">
      <c r="F239" s="160">
        <f t="shared" si="140"/>
        <v>110</v>
      </c>
      <c r="G239" s="160">
        <f>G238+1</f>
        <v>2</v>
      </c>
      <c r="H239" s="160" t="s">
        <v>2119</v>
      </c>
      <c r="I239" s="160" t="str">
        <f t="shared" si="116"/>
        <v>tache2</v>
      </c>
      <c r="J239" s="160" t="s">
        <v>1868</v>
      </c>
      <c r="K239" s="160" t="s">
        <v>2375</v>
      </c>
      <c r="L239" s="160" t="s">
        <v>1876</v>
      </c>
      <c r="M239" s="346">
        <v>45031</v>
      </c>
      <c r="N239" s="329">
        <v>45031</v>
      </c>
      <c r="O239" s="329">
        <v>45031</v>
      </c>
      <c r="P239" s="329">
        <v>45032</v>
      </c>
      <c r="Q239" s="329">
        <v>45032</v>
      </c>
      <c r="R239" s="160">
        <f t="shared" ref="R239:R256" si="141">R238</f>
        <v>7</v>
      </c>
      <c r="S239" s="160">
        <f t="shared" si="117"/>
        <v>1</v>
      </c>
      <c r="T239" s="160" t="s">
        <v>1922</v>
      </c>
      <c r="U239" s="322" t="str">
        <f t="shared" si="118"/>
        <v>TACHES</v>
      </c>
      <c r="V239" s="160" t="s">
        <v>2088</v>
      </c>
      <c r="W239" s="189" t="s">
        <v>355</v>
      </c>
      <c r="X239" s="360" t="s">
        <v>2020</v>
      </c>
      <c r="Y239" s="189" t="s">
        <v>337</v>
      </c>
      <c r="Z239" s="360" t="s">
        <v>2020</v>
      </c>
      <c r="AA239" s="189" t="s">
        <v>340</v>
      </c>
      <c r="AB239" s="360" t="s">
        <v>2020</v>
      </c>
      <c r="AC239" s="189" t="s">
        <v>266</v>
      </c>
      <c r="AD239" s="360" t="s">
        <v>2020</v>
      </c>
      <c r="AE239" s="189" t="s">
        <v>244</v>
      </c>
      <c r="AF239" s="360" t="s">
        <v>2020</v>
      </c>
      <c r="AG239" s="189" t="s">
        <v>296</v>
      </c>
      <c r="AH239" s="360" t="s">
        <v>2020</v>
      </c>
      <c r="AI239" s="189" t="s">
        <v>298</v>
      </c>
      <c r="AJ239" s="360" t="s">
        <v>2020</v>
      </c>
      <c r="AK239" s="189" t="s">
        <v>299</v>
      </c>
      <c r="AL239" s="360" t="s">
        <v>2020</v>
      </c>
      <c r="AM239" s="189" t="s">
        <v>300</v>
      </c>
      <c r="AN239" s="360" t="s">
        <v>2020</v>
      </c>
      <c r="AO239" s="189" t="s">
        <v>301</v>
      </c>
      <c r="AP239" s="360" t="s">
        <v>2020</v>
      </c>
      <c r="AQ239" s="192" t="s">
        <v>302</v>
      </c>
      <c r="AR239" s="360" t="s">
        <v>2020</v>
      </c>
      <c r="AS239" s="295" t="s">
        <v>287</v>
      </c>
      <c r="AT239" s="360"/>
      <c r="AU239" s="322"/>
      <c r="AV239" s="360" t="s">
        <v>2089</v>
      </c>
      <c r="AW239" s="160">
        <f t="shared" si="119"/>
        <v>2</v>
      </c>
      <c r="AX239" s="360" t="s">
        <v>2091</v>
      </c>
      <c r="AY239" s="160" t="str">
        <f t="shared" si="120"/>
        <v>tache2</v>
      </c>
      <c r="AZ239" s="360" t="s">
        <v>2091</v>
      </c>
      <c r="BA239" s="160" t="str">
        <f t="shared" si="121"/>
        <v>tache2</v>
      </c>
      <c r="BB239" s="360" t="s">
        <v>2091</v>
      </c>
      <c r="BC239" s="160" t="str">
        <f t="shared" si="122"/>
        <v>Importante</v>
      </c>
      <c r="BD239" s="360" t="s">
        <v>2091</v>
      </c>
      <c r="BE239" s="160" t="str">
        <f t="shared" si="123"/>
        <v>Terminer</v>
      </c>
      <c r="BF239" s="360" t="s">
        <v>2091</v>
      </c>
      <c r="BG239" s="160" t="str">
        <f t="shared" si="124"/>
        <v>Initialisation</v>
      </c>
      <c r="BH239" s="360" t="s">
        <v>2091</v>
      </c>
      <c r="BI239" s="371" t="str">
        <f t="shared" ca="1" si="125"/>
        <v>2023/04/15</v>
      </c>
      <c r="BJ239" s="360" t="s">
        <v>2091</v>
      </c>
      <c r="BK239" s="329" t="str">
        <f t="shared" ca="1" si="126"/>
        <v>2023/04/15</v>
      </c>
      <c r="BL239" s="360" t="s">
        <v>2091</v>
      </c>
      <c r="BM239" s="329" t="str">
        <f t="shared" ca="1" si="127"/>
        <v>2023/04/15</v>
      </c>
      <c r="BN239" s="360" t="s">
        <v>2091</v>
      </c>
      <c r="BO239" s="329" t="str">
        <f t="shared" ca="1" si="128"/>
        <v>2023/04/16</v>
      </c>
      <c r="BP239" s="360" t="s">
        <v>2091</v>
      </c>
      <c r="BQ239" s="329" t="str">
        <f t="shared" ca="1" si="129"/>
        <v>2023/04/16</v>
      </c>
      <c r="BR239" s="360" t="s">
        <v>2093</v>
      </c>
      <c r="BS239" s="160">
        <f t="shared" si="130"/>
        <v>7</v>
      </c>
      <c r="BT239" s="160" t="s">
        <v>2021</v>
      </c>
      <c r="BU239" s="322" t="str">
        <f t="shared" ca="1" si="131"/>
        <v>INSERT INTO TACHES(numTache,nameTache,descriptionTache,prioTache,stateTache,categoryTache,dateCreateTache,dateInProgressTache,dateToTestTache,dateEndThTache,dateEndRealTache,idProjet) VALUES ('2','tache2','tache2','Importante','Terminer','Initialisation','2023/04/15','2023/04/15','2023/04/15','2023/04/16','2023/04/16',7);</v>
      </c>
      <c r="BV239" s="322" t="s">
        <v>2486</v>
      </c>
    </row>
    <row r="240" spans="6:74" ht="20.05" customHeight="1" outlineLevel="1" thickBot="1" x14ac:dyDescent="0.35">
      <c r="F240" s="160">
        <f t="shared" si="140"/>
        <v>111</v>
      </c>
      <c r="G240" s="160">
        <f t="shared" si="140"/>
        <v>3</v>
      </c>
      <c r="H240" s="160" t="s">
        <v>2120</v>
      </c>
      <c r="I240" s="294" t="str">
        <f t="shared" si="116"/>
        <v>tache3</v>
      </c>
      <c r="J240" s="294" t="s">
        <v>1867</v>
      </c>
      <c r="K240" s="160" t="s">
        <v>2375</v>
      </c>
      <c r="L240" s="294" t="s">
        <v>1876</v>
      </c>
      <c r="M240" s="347">
        <v>45048</v>
      </c>
      <c r="N240" s="329">
        <v>45048</v>
      </c>
      <c r="O240" s="329">
        <v>45049</v>
      </c>
      <c r="P240" s="329">
        <v>45049</v>
      </c>
      <c r="Q240" s="329">
        <v>45049</v>
      </c>
      <c r="R240" s="160">
        <f t="shared" si="141"/>
        <v>7</v>
      </c>
      <c r="S240" s="160">
        <f t="shared" si="117"/>
        <v>3</v>
      </c>
      <c r="T240" s="160" t="s">
        <v>1922</v>
      </c>
      <c r="U240" s="322" t="str">
        <f t="shared" si="118"/>
        <v>TACHES</v>
      </c>
      <c r="V240" s="160" t="s">
        <v>2088</v>
      </c>
      <c r="W240" s="189" t="s">
        <v>355</v>
      </c>
      <c r="X240" s="360" t="s">
        <v>2020</v>
      </c>
      <c r="Y240" s="189" t="s">
        <v>337</v>
      </c>
      <c r="Z240" s="360" t="s">
        <v>2020</v>
      </c>
      <c r="AA240" s="189" t="s">
        <v>340</v>
      </c>
      <c r="AB240" s="360" t="s">
        <v>2020</v>
      </c>
      <c r="AC240" s="189" t="s">
        <v>266</v>
      </c>
      <c r="AD240" s="360" t="s">
        <v>2020</v>
      </c>
      <c r="AE240" s="189" t="s">
        <v>244</v>
      </c>
      <c r="AF240" s="360" t="s">
        <v>2020</v>
      </c>
      <c r="AG240" s="189" t="s">
        <v>296</v>
      </c>
      <c r="AH240" s="360" t="s">
        <v>2020</v>
      </c>
      <c r="AI240" s="189" t="s">
        <v>298</v>
      </c>
      <c r="AJ240" s="360" t="s">
        <v>2020</v>
      </c>
      <c r="AK240" s="189" t="s">
        <v>299</v>
      </c>
      <c r="AL240" s="360" t="s">
        <v>2020</v>
      </c>
      <c r="AM240" s="189" t="s">
        <v>300</v>
      </c>
      <c r="AN240" s="360" t="s">
        <v>2020</v>
      </c>
      <c r="AO240" s="189" t="s">
        <v>301</v>
      </c>
      <c r="AP240" s="360" t="s">
        <v>2020</v>
      </c>
      <c r="AQ240" s="192" t="s">
        <v>302</v>
      </c>
      <c r="AR240" s="360" t="s">
        <v>2020</v>
      </c>
      <c r="AS240" s="295" t="s">
        <v>287</v>
      </c>
      <c r="AT240" s="360"/>
      <c r="AU240" s="322"/>
      <c r="AV240" s="360" t="s">
        <v>2089</v>
      </c>
      <c r="AW240" s="160">
        <f t="shared" si="119"/>
        <v>3</v>
      </c>
      <c r="AX240" s="360" t="s">
        <v>2091</v>
      </c>
      <c r="AY240" s="160" t="str">
        <f t="shared" si="120"/>
        <v>tache3</v>
      </c>
      <c r="AZ240" s="360" t="s">
        <v>2091</v>
      </c>
      <c r="BA240" s="160" t="str">
        <f t="shared" si="121"/>
        <v>tache3</v>
      </c>
      <c r="BB240" s="360" t="s">
        <v>2091</v>
      </c>
      <c r="BC240" s="160" t="str">
        <f t="shared" si="122"/>
        <v>Vitale</v>
      </c>
      <c r="BD240" s="360" t="s">
        <v>2091</v>
      </c>
      <c r="BE240" s="160" t="str">
        <f t="shared" si="123"/>
        <v>Terminer</v>
      </c>
      <c r="BF240" s="360" t="s">
        <v>2091</v>
      </c>
      <c r="BG240" s="160" t="str">
        <f t="shared" si="124"/>
        <v>Initialisation</v>
      </c>
      <c r="BH240" s="360" t="s">
        <v>2091</v>
      </c>
      <c r="BI240" s="371" t="str">
        <f t="shared" ca="1" si="125"/>
        <v>2023/05/02</v>
      </c>
      <c r="BJ240" s="360" t="s">
        <v>2091</v>
      </c>
      <c r="BK240" s="329" t="str">
        <f t="shared" ca="1" si="126"/>
        <v>2023/05/02</v>
      </c>
      <c r="BL240" s="360" t="s">
        <v>2091</v>
      </c>
      <c r="BM240" s="329" t="str">
        <f t="shared" ca="1" si="127"/>
        <v>2023/05/03</v>
      </c>
      <c r="BN240" s="360" t="s">
        <v>2091</v>
      </c>
      <c r="BO240" s="329" t="str">
        <f t="shared" ca="1" si="128"/>
        <v>2023/05/03</v>
      </c>
      <c r="BP240" s="360" t="s">
        <v>2091</v>
      </c>
      <c r="BQ240" s="329" t="str">
        <f t="shared" ca="1" si="129"/>
        <v>2023/05/03</v>
      </c>
      <c r="BR240" s="360" t="s">
        <v>2093</v>
      </c>
      <c r="BS240" s="160">
        <f t="shared" si="130"/>
        <v>7</v>
      </c>
      <c r="BT240" s="160" t="s">
        <v>2021</v>
      </c>
      <c r="BU240" s="322" t="str">
        <f t="shared" ca="1" si="131"/>
        <v>INSERT INTO TACHES(numTache,nameTache,descriptionTache,prioTache,stateTache,categoryTache,dateCreateTache,dateInProgressTache,dateToTestTache,dateEndThTache,dateEndRealTache,idProjet) VALUES ('3','tache3','tache3','Vitale','Terminer','Initialisation','2023/05/02','2023/05/02','2023/05/03','2023/05/03','2023/05/03',7);</v>
      </c>
      <c r="BV240" s="322" t="s">
        <v>2487</v>
      </c>
    </row>
    <row r="241" spans="6:74" ht="20.05" customHeight="1" outlineLevel="1" thickBot="1" x14ac:dyDescent="0.35">
      <c r="F241" s="160">
        <f t="shared" si="140"/>
        <v>112</v>
      </c>
      <c r="G241" s="160">
        <f t="shared" si="140"/>
        <v>4</v>
      </c>
      <c r="H241" s="160" t="s">
        <v>2121</v>
      </c>
      <c r="I241" s="160" t="str">
        <f t="shared" si="116"/>
        <v>tache4</v>
      </c>
      <c r="J241" s="160" t="s">
        <v>1867</v>
      </c>
      <c r="K241" s="160" t="s">
        <v>2375</v>
      </c>
      <c r="L241" s="160" t="s">
        <v>1877</v>
      </c>
      <c r="M241" s="346">
        <v>45031</v>
      </c>
      <c r="N241" s="346">
        <v>45031</v>
      </c>
      <c r="O241" s="346">
        <v>45031</v>
      </c>
      <c r="P241" s="346">
        <v>45031</v>
      </c>
      <c r="Q241" s="346">
        <v>45031</v>
      </c>
      <c r="R241" s="160">
        <f t="shared" si="141"/>
        <v>7</v>
      </c>
      <c r="S241" s="160">
        <f t="shared" si="117"/>
        <v>1</v>
      </c>
      <c r="T241" s="160" t="s">
        <v>1922</v>
      </c>
      <c r="U241" s="322" t="str">
        <f t="shared" si="118"/>
        <v>TACHES</v>
      </c>
      <c r="V241" s="160" t="s">
        <v>2088</v>
      </c>
      <c r="W241" s="189" t="s">
        <v>355</v>
      </c>
      <c r="X241" s="360" t="s">
        <v>2020</v>
      </c>
      <c r="Y241" s="189" t="s">
        <v>337</v>
      </c>
      <c r="Z241" s="360" t="s">
        <v>2020</v>
      </c>
      <c r="AA241" s="189" t="s">
        <v>340</v>
      </c>
      <c r="AB241" s="360" t="s">
        <v>2020</v>
      </c>
      <c r="AC241" s="189" t="s">
        <v>266</v>
      </c>
      <c r="AD241" s="360" t="s">
        <v>2020</v>
      </c>
      <c r="AE241" s="189" t="s">
        <v>244</v>
      </c>
      <c r="AF241" s="360" t="s">
        <v>2020</v>
      </c>
      <c r="AG241" s="189" t="s">
        <v>296</v>
      </c>
      <c r="AH241" s="360" t="s">
        <v>2020</v>
      </c>
      <c r="AI241" s="189" t="s">
        <v>298</v>
      </c>
      <c r="AJ241" s="360" t="s">
        <v>2020</v>
      </c>
      <c r="AK241" s="189" t="s">
        <v>299</v>
      </c>
      <c r="AL241" s="360" t="s">
        <v>2020</v>
      </c>
      <c r="AM241" s="189" t="s">
        <v>300</v>
      </c>
      <c r="AN241" s="360" t="s">
        <v>2020</v>
      </c>
      <c r="AO241" s="189" t="s">
        <v>301</v>
      </c>
      <c r="AP241" s="360" t="s">
        <v>2020</v>
      </c>
      <c r="AQ241" s="192" t="s">
        <v>302</v>
      </c>
      <c r="AR241" s="360" t="s">
        <v>2020</v>
      </c>
      <c r="AS241" s="295" t="s">
        <v>287</v>
      </c>
      <c r="AT241" s="360"/>
      <c r="AU241" s="322"/>
      <c r="AV241" s="360" t="s">
        <v>2089</v>
      </c>
      <c r="AW241" s="160">
        <f t="shared" si="119"/>
        <v>4</v>
      </c>
      <c r="AX241" s="360" t="s">
        <v>2091</v>
      </c>
      <c r="AY241" s="160" t="str">
        <f t="shared" si="120"/>
        <v>tache4</v>
      </c>
      <c r="AZ241" s="360" t="s">
        <v>2091</v>
      </c>
      <c r="BA241" s="160" t="str">
        <f t="shared" si="121"/>
        <v>tache4</v>
      </c>
      <c r="BB241" s="360" t="s">
        <v>2091</v>
      </c>
      <c r="BC241" s="160" t="str">
        <f t="shared" si="122"/>
        <v>Vitale</v>
      </c>
      <c r="BD241" s="360" t="s">
        <v>2091</v>
      </c>
      <c r="BE241" s="160" t="str">
        <f t="shared" si="123"/>
        <v>Terminer</v>
      </c>
      <c r="BF241" s="360" t="s">
        <v>2091</v>
      </c>
      <c r="BG241" s="160" t="str">
        <f t="shared" si="124"/>
        <v>Analyse</v>
      </c>
      <c r="BH241" s="360" t="s">
        <v>2091</v>
      </c>
      <c r="BI241" s="371" t="str">
        <f t="shared" ca="1" si="125"/>
        <v>2023/04/15</v>
      </c>
      <c r="BJ241" s="360" t="s">
        <v>2091</v>
      </c>
      <c r="BK241" s="329" t="str">
        <f t="shared" ca="1" si="126"/>
        <v>2023/04/15</v>
      </c>
      <c r="BL241" s="360" t="s">
        <v>2091</v>
      </c>
      <c r="BM241" s="329" t="str">
        <f t="shared" ca="1" si="127"/>
        <v>2023/04/15</v>
      </c>
      <c r="BN241" s="360" t="s">
        <v>2091</v>
      </c>
      <c r="BO241" s="329" t="str">
        <f t="shared" ca="1" si="128"/>
        <v>2023/04/15</v>
      </c>
      <c r="BP241" s="360" t="s">
        <v>2091</v>
      </c>
      <c r="BQ241" s="329" t="str">
        <f t="shared" ca="1" si="129"/>
        <v>2023/04/15</v>
      </c>
      <c r="BR241" s="360" t="s">
        <v>2093</v>
      </c>
      <c r="BS241" s="160">
        <f t="shared" si="130"/>
        <v>7</v>
      </c>
      <c r="BT241" s="160" t="s">
        <v>2021</v>
      </c>
      <c r="BU241" s="322" t="str">
        <f t="shared" ca="1" si="131"/>
        <v>INSERT INTO TACHES(numTache,nameTache,descriptionTache,prioTache,stateTache,categoryTache,dateCreateTache,dateInProgressTache,dateToTestTache,dateEndThTache,dateEndRealTache,idProjet) VALUES ('4','tache4','tache4','Vitale','Terminer','Analyse','2023/04/15','2023/04/15','2023/04/15','2023/04/15','2023/04/15',7);</v>
      </c>
      <c r="BV241" s="322" t="s">
        <v>2488</v>
      </c>
    </row>
    <row r="242" spans="6:74" ht="20.05" customHeight="1" outlineLevel="1" thickBot="1" x14ac:dyDescent="0.35">
      <c r="F242" s="160">
        <f t="shared" si="140"/>
        <v>113</v>
      </c>
      <c r="G242" s="160">
        <f t="shared" si="140"/>
        <v>5</v>
      </c>
      <c r="H242" s="160" t="s">
        <v>2122</v>
      </c>
      <c r="I242" s="160" t="str">
        <f t="shared" si="116"/>
        <v>tache5</v>
      </c>
      <c r="J242" s="160" t="s">
        <v>1867</v>
      </c>
      <c r="K242" s="160" t="s">
        <v>2375</v>
      </c>
      <c r="L242" s="160" t="s">
        <v>1877</v>
      </c>
      <c r="M242" s="346">
        <v>45048</v>
      </c>
      <c r="N242" s="346">
        <v>45048</v>
      </c>
      <c r="O242" s="346">
        <v>45048</v>
      </c>
      <c r="P242" s="346">
        <v>45048</v>
      </c>
      <c r="Q242" s="346">
        <v>45048</v>
      </c>
      <c r="R242" s="160">
        <f t="shared" si="141"/>
        <v>7</v>
      </c>
      <c r="S242" s="160">
        <f t="shared" si="117"/>
        <v>2</v>
      </c>
      <c r="T242" s="160" t="s">
        <v>1922</v>
      </c>
      <c r="U242" s="322" t="str">
        <f t="shared" si="118"/>
        <v>TACHES</v>
      </c>
      <c r="V242" s="160" t="s">
        <v>2088</v>
      </c>
      <c r="W242" s="189" t="s">
        <v>355</v>
      </c>
      <c r="X242" s="360" t="s">
        <v>2020</v>
      </c>
      <c r="Y242" s="189" t="s">
        <v>337</v>
      </c>
      <c r="Z242" s="360" t="s">
        <v>2020</v>
      </c>
      <c r="AA242" s="189" t="s">
        <v>340</v>
      </c>
      <c r="AB242" s="360" t="s">
        <v>2020</v>
      </c>
      <c r="AC242" s="189" t="s">
        <v>266</v>
      </c>
      <c r="AD242" s="360" t="s">
        <v>2020</v>
      </c>
      <c r="AE242" s="189" t="s">
        <v>244</v>
      </c>
      <c r="AF242" s="360" t="s">
        <v>2020</v>
      </c>
      <c r="AG242" s="189" t="s">
        <v>296</v>
      </c>
      <c r="AH242" s="360" t="s">
        <v>2020</v>
      </c>
      <c r="AI242" s="189" t="s">
        <v>298</v>
      </c>
      <c r="AJ242" s="360" t="s">
        <v>2020</v>
      </c>
      <c r="AK242" s="189" t="s">
        <v>299</v>
      </c>
      <c r="AL242" s="360" t="s">
        <v>2020</v>
      </c>
      <c r="AM242" s="189" t="s">
        <v>300</v>
      </c>
      <c r="AN242" s="360" t="s">
        <v>2020</v>
      </c>
      <c r="AO242" s="189" t="s">
        <v>301</v>
      </c>
      <c r="AP242" s="360" t="s">
        <v>2020</v>
      </c>
      <c r="AQ242" s="192" t="s">
        <v>302</v>
      </c>
      <c r="AR242" s="360" t="s">
        <v>2020</v>
      </c>
      <c r="AS242" s="295" t="s">
        <v>287</v>
      </c>
      <c r="AT242" s="360"/>
      <c r="AU242" s="322"/>
      <c r="AV242" s="360" t="s">
        <v>2089</v>
      </c>
      <c r="AW242" s="160">
        <f t="shared" si="119"/>
        <v>5</v>
      </c>
      <c r="AX242" s="360" t="s">
        <v>2091</v>
      </c>
      <c r="AY242" s="160" t="str">
        <f t="shared" si="120"/>
        <v>tache5</v>
      </c>
      <c r="AZ242" s="360" t="s">
        <v>2091</v>
      </c>
      <c r="BA242" s="160" t="str">
        <f t="shared" si="121"/>
        <v>tache5</v>
      </c>
      <c r="BB242" s="360" t="s">
        <v>2091</v>
      </c>
      <c r="BC242" s="160" t="str">
        <f t="shared" si="122"/>
        <v>Vitale</v>
      </c>
      <c r="BD242" s="360" t="s">
        <v>2091</v>
      </c>
      <c r="BE242" s="160" t="str">
        <f t="shared" si="123"/>
        <v>Terminer</v>
      </c>
      <c r="BF242" s="360" t="s">
        <v>2091</v>
      </c>
      <c r="BG242" s="160" t="str">
        <f t="shared" si="124"/>
        <v>Analyse</v>
      </c>
      <c r="BH242" s="360" t="s">
        <v>2091</v>
      </c>
      <c r="BI242" s="371" t="str">
        <f t="shared" ca="1" si="125"/>
        <v>2023/05/02</v>
      </c>
      <c r="BJ242" s="360" t="s">
        <v>2091</v>
      </c>
      <c r="BK242" s="329" t="str">
        <f t="shared" ca="1" si="126"/>
        <v>2023/05/02</v>
      </c>
      <c r="BL242" s="360" t="s">
        <v>2091</v>
      </c>
      <c r="BM242" s="329" t="str">
        <f t="shared" ca="1" si="127"/>
        <v>2023/05/02</v>
      </c>
      <c r="BN242" s="360" t="s">
        <v>2091</v>
      </c>
      <c r="BO242" s="329" t="str">
        <f t="shared" ca="1" si="128"/>
        <v>2023/05/02</v>
      </c>
      <c r="BP242" s="360" t="s">
        <v>2091</v>
      </c>
      <c r="BQ242" s="329" t="str">
        <f t="shared" ca="1" si="129"/>
        <v>2023/05/02</v>
      </c>
      <c r="BR242" s="360" t="s">
        <v>2093</v>
      </c>
      <c r="BS242" s="160">
        <f t="shared" si="130"/>
        <v>7</v>
      </c>
      <c r="BT242" s="160" t="s">
        <v>2021</v>
      </c>
      <c r="BU242" s="322" t="str">
        <f t="shared" ca="1" si="131"/>
        <v>INSERT INTO TACHES(numTache,nameTache,descriptionTache,prioTache,stateTache,categoryTache,dateCreateTache,dateInProgressTache,dateToTestTache,dateEndThTache,dateEndRealTache,idProjet) VALUES ('5','tache5','tache5','Vitale','Terminer','Analyse','2023/05/02','2023/05/02','2023/05/02','2023/05/02','2023/05/02',7);</v>
      </c>
      <c r="BV242" s="322" t="s">
        <v>2489</v>
      </c>
    </row>
    <row r="243" spans="6:74" ht="78.3" customHeight="1" outlineLevel="1" thickBot="1" x14ac:dyDescent="0.35">
      <c r="F243" s="160">
        <f t="shared" si="140"/>
        <v>114</v>
      </c>
      <c r="G243" s="160">
        <f t="shared" si="140"/>
        <v>6</v>
      </c>
      <c r="H243" s="160" t="s">
        <v>2123</v>
      </c>
      <c r="I243" s="160" t="str">
        <f t="shared" si="116"/>
        <v>tache6</v>
      </c>
      <c r="J243" s="160" t="s">
        <v>1867</v>
      </c>
      <c r="K243" s="160" t="s">
        <v>2375</v>
      </c>
      <c r="L243" s="160" t="s">
        <v>1878</v>
      </c>
      <c r="M243" s="346">
        <v>45032</v>
      </c>
      <c r="N243" s="346">
        <v>45032</v>
      </c>
      <c r="O243" s="346">
        <v>45032</v>
      </c>
      <c r="P243" s="346">
        <v>45033</v>
      </c>
      <c r="Q243" s="346">
        <v>45033</v>
      </c>
      <c r="R243" s="160">
        <f t="shared" si="141"/>
        <v>7</v>
      </c>
      <c r="S243" s="160">
        <f t="shared" si="117"/>
        <v>2</v>
      </c>
      <c r="T243" s="160" t="s">
        <v>1922</v>
      </c>
      <c r="U243" s="322" t="str">
        <f t="shared" si="118"/>
        <v>TACHES</v>
      </c>
      <c r="V243" s="160" t="s">
        <v>2088</v>
      </c>
      <c r="W243" s="189" t="s">
        <v>355</v>
      </c>
      <c r="X243" s="360" t="s">
        <v>2020</v>
      </c>
      <c r="Y243" s="189" t="s">
        <v>337</v>
      </c>
      <c r="Z243" s="360" t="s">
        <v>2020</v>
      </c>
      <c r="AA243" s="189" t="s">
        <v>340</v>
      </c>
      <c r="AB243" s="360" t="s">
        <v>2020</v>
      </c>
      <c r="AC243" s="189" t="s">
        <v>266</v>
      </c>
      <c r="AD243" s="360" t="s">
        <v>2020</v>
      </c>
      <c r="AE243" s="189" t="s">
        <v>244</v>
      </c>
      <c r="AF243" s="360" t="s">
        <v>2020</v>
      </c>
      <c r="AG243" s="189" t="s">
        <v>296</v>
      </c>
      <c r="AH243" s="360" t="s">
        <v>2020</v>
      </c>
      <c r="AI243" s="189" t="s">
        <v>298</v>
      </c>
      <c r="AJ243" s="360" t="s">
        <v>2020</v>
      </c>
      <c r="AK243" s="189" t="s">
        <v>299</v>
      </c>
      <c r="AL243" s="360" t="s">
        <v>2020</v>
      </c>
      <c r="AM243" s="189" t="s">
        <v>300</v>
      </c>
      <c r="AN243" s="360" t="s">
        <v>2020</v>
      </c>
      <c r="AO243" s="189" t="s">
        <v>301</v>
      </c>
      <c r="AP243" s="360" t="s">
        <v>2020</v>
      </c>
      <c r="AQ243" s="192" t="s">
        <v>302</v>
      </c>
      <c r="AR243" s="360" t="s">
        <v>2020</v>
      </c>
      <c r="AS243" s="295" t="s">
        <v>287</v>
      </c>
      <c r="AT243" s="360"/>
      <c r="AU243" s="322"/>
      <c r="AV243" s="360" t="s">
        <v>2089</v>
      </c>
      <c r="AW243" s="160">
        <f t="shared" si="119"/>
        <v>6</v>
      </c>
      <c r="AX243" s="360" t="s">
        <v>2091</v>
      </c>
      <c r="AY243" s="160" t="str">
        <f t="shared" si="120"/>
        <v>tache6</v>
      </c>
      <c r="AZ243" s="360" t="s">
        <v>2091</v>
      </c>
      <c r="BA243" s="160" t="str">
        <f t="shared" si="121"/>
        <v>tache6</v>
      </c>
      <c r="BB243" s="360" t="s">
        <v>2091</v>
      </c>
      <c r="BC243" s="160" t="str">
        <f t="shared" si="122"/>
        <v>Vitale</v>
      </c>
      <c r="BD243" s="360" t="s">
        <v>2091</v>
      </c>
      <c r="BE243" s="160" t="str">
        <f t="shared" si="123"/>
        <v>Terminer</v>
      </c>
      <c r="BF243" s="360" t="s">
        <v>2091</v>
      </c>
      <c r="BG243" s="160" t="str">
        <f t="shared" si="124"/>
        <v>Conception</v>
      </c>
      <c r="BH243" s="360" t="s">
        <v>2091</v>
      </c>
      <c r="BI243" s="371" t="str">
        <f t="shared" ca="1" si="125"/>
        <v>2023/04/16</v>
      </c>
      <c r="BJ243" s="360" t="s">
        <v>2091</v>
      </c>
      <c r="BK243" s="329" t="str">
        <f t="shared" ca="1" si="126"/>
        <v>2023/04/16</v>
      </c>
      <c r="BL243" s="360" t="s">
        <v>2091</v>
      </c>
      <c r="BM243" s="329" t="str">
        <f t="shared" ca="1" si="127"/>
        <v>2023/04/16</v>
      </c>
      <c r="BN243" s="360" t="s">
        <v>2091</v>
      </c>
      <c r="BO243" s="329" t="str">
        <f t="shared" ca="1" si="128"/>
        <v>2023/04/17</v>
      </c>
      <c r="BP243" s="360" t="s">
        <v>2091</v>
      </c>
      <c r="BQ243" s="329" t="str">
        <f t="shared" ca="1" si="129"/>
        <v>2023/04/17</v>
      </c>
      <c r="BR243" s="360" t="s">
        <v>2093</v>
      </c>
      <c r="BS243" s="160">
        <f t="shared" si="130"/>
        <v>7</v>
      </c>
      <c r="BT243" s="160" t="s">
        <v>2021</v>
      </c>
      <c r="BU243" s="322" t="str">
        <f t="shared" ca="1" si="131"/>
        <v>INSERT INTO TACHES(numTache,nameTache,descriptionTache,prioTache,stateTache,categoryTache,dateCreateTache,dateInProgressTache,dateToTestTache,dateEndThTache,dateEndRealTache,idProjet) VALUES ('6','tache6','tache6','Vitale','Terminer','Conception','2023/04/16','2023/04/16','2023/04/16','2023/04/17','2023/04/17',7);</v>
      </c>
      <c r="BV243" s="322" t="s">
        <v>2490</v>
      </c>
    </row>
    <row r="244" spans="6:74" ht="90.35" customHeight="1" outlineLevel="1" thickBot="1" x14ac:dyDescent="0.35">
      <c r="F244" s="160">
        <f t="shared" ref="F244:G256" si="142">F243+1</f>
        <v>115</v>
      </c>
      <c r="G244" s="160">
        <f t="shared" si="142"/>
        <v>7</v>
      </c>
      <c r="H244" s="160" t="s">
        <v>2124</v>
      </c>
      <c r="I244" s="160" t="str">
        <f t="shared" si="116"/>
        <v>tache7</v>
      </c>
      <c r="J244" s="160" t="s">
        <v>1867</v>
      </c>
      <c r="K244" s="160" t="s">
        <v>2375</v>
      </c>
      <c r="L244" s="160" t="s">
        <v>1879</v>
      </c>
      <c r="M244" s="346">
        <v>45033</v>
      </c>
      <c r="N244" s="329">
        <f>M244+4</f>
        <v>45037</v>
      </c>
      <c r="O244" s="329">
        <f>N244+1</f>
        <v>45038</v>
      </c>
      <c r="P244" s="329">
        <f t="shared" ref="P244:Q244" si="143">O244+1</f>
        <v>45039</v>
      </c>
      <c r="Q244" s="329">
        <f t="shared" si="143"/>
        <v>45040</v>
      </c>
      <c r="R244" s="160">
        <f t="shared" si="141"/>
        <v>7</v>
      </c>
      <c r="S244" s="160">
        <f t="shared" si="117"/>
        <v>3</v>
      </c>
      <c r="T244" s="160" t="s">
        <v>1922</v>
      </c>
      <c r="U244" s="322" t="str">
        <f t="shared" si="118"/>
        <v>TACHES</v>
      </c>
      <c r="V244" s="160" t="s">
        <v>2088</v>
      </c>
      <c r="W244" s="189" t="s">
        <v>355</v>
      </c>
      <c r="X244" s="360" t="s">
        <v>2020</v>
      </c>
      <c r="Y244" s="189" t="s">
        <v>337</v>
      </c>
      <c r="Z244" s="360" t="s">
        <v>2020</v>
      </c>
      <c r="AA244" s="189" t="s">
        <v>340</v>
      </c>
      <c r="AB244" s="360" t="s">
        <v>2020</v>
      </c>
      <c r="AC244" s="189" t="s">
        <v>266</v>
      </c>
      <c r="AD244" s="360" t="s">
        <v>2020</v>
      </c>
      <c r="AE244" s="189" t="s">
        <v>244</v>
      </c>
      <c r="AF244" s="360" t="s">
        <v>2020</v>
      </c>
      <c r="AG244" s="189" t="s">
        <v>296</v>
      </c>
      <c r="AH244" s="360" t="s">
        <v>2020</v>
      </c>
      <c r="AI244" s="189" t="s">
        <v>298</v>
      </c>
      <c r="AJ244" s="360" t="s">
        <v>2020</v>
      </c>
      <c r="AK244" s="189" t="s">
        <v>299</v>
      </c>
      <c r="AL244" s="360" t="s">
        <v>2020</v>
      </c>
      <c r="AM244" s="189" t="s">
        <v>300</v>
      </c>
      <c r="AN244" s="360" t="s">
        <v>2020</v>
      </c>
      <c r="AO244" s="189" t="s">
        <v>301</v>
      </c>
      <c r="AP244" s="360" t="s">
        <v>2020</v>
      </c>
      <c r="AQ244" s="192" t="s">
        <v>302</v>
      </c>
      <c r="AR244" s="360" t="s">
        <v>2020</v>
      </c>
      <c r="AS244" s="295" t="s">
        <v>287</v>
      </c>
      <c r="AT244" s="360"/>
      <c r="AU244" s="322"/>
      <c r="AV244" s="360" t="s">
        <v>2089</v>
      </c>
      <c r="AW244" s="160">
        <f t="shared" si="119"/>
        <v>7</v>
      </c>
      <c r="AX244" s="360" t="s">
        <v>2091</v>
      </c>
      <c r="AY244" s="160" t="str">
        <f t="shared" si="120"/>
        <v>tache7</v>
      </c>
      <c r="AZ244" s="360" t="s">
        <v>2091</v>
      </c>
      <c r="BA244" s="160" t="str">
        <f t="shared" si="121"/>
        <v>tache7</v>
      </c>
      <c r="BB244" s="360" t="s">
        <v>2091</v>
      </c>
      <c r="BC244" s="160" t="str">
        <f t="shared" si="122"/>
        <v>Vitale</v>
      </c>
      <c r="BD244" s="360" t="s">
        <v>2091</v>
      </c>
      <c r="BE244" s="160" t="str">
        <f t="shared" si="123"/>
        <v>Terminer</v>
      </c>
      <c r="BF244" s="360" t="s">
        <v>2091</v>
      </c>
      <c r="BG244" s="160" t="str">
        <f t="shared" si="124"/>
        <v>Realisation</v>
      </c>
      <c r="BH244" s="360" t="s">
        <v>2091</v>
      </c>
      <c r="BI244" s="371" t="str">
        <f t="shared" ca="1" si="125"/>
        <v>2023/04/17</v>
      </c>
      <c r="BJ244" s="360" t="s">
        <v>2091</v>
      </c>
      <c r="BK244" s="329" t="str">
        <f t="shared" ca="1" si="126"/>
        <v>2023/04/21</v>
      </c>
      <c r="BL244" s="360" t="s">
        <v>2091</v>
      </c>
      <c r="BM244" s="329" t="str">
        <f t="shared" ca="1" si="127"/>
        <v>2023/04/22</v>
      </c>
      <c r="BN244" s="360" t="s">
        <v>2091</v>
      </c>
      <c r="BO244" s="329" t="str">
        <f t="shared" ca="1" si="128"/>
        <v>2023/04/23</v>
      </c>
      <c r="BP244" s="360" t="s">
        <v>2091</v>
      </c>
      <c r="BQ244" s="329" t="str">
        <f t="shared" ca="1" si="129"/>
        <v>2023/04/24</v>
      </c>
      <c r="BR244" s="360" t="s">
        <v>2093</v>
      </c>
      <c r="BS244" s="160">
        <f t="shared" si="130"/>
        <v>7</v>
      </c>
      <c r="BT244" s="160" t="s">
        <v>2021</v>
      </c>
      <c r="BU244" s="322" t="str">
        <f t="shared" ca="1" si="131"/>
        <v>INSERT INTO TACHES(numTache,nameTache,descriptionTache,prioTache,stateTache,categoryTache,dateCreateTache,dateInProgressTache,dateToTestTache,dateEndThTache,dateEndRealTache,idProjet) VALUES ('7','tache7','tache7','Vitale','Terminer','Realisation','2023/04/17','2023/04/21','2023/04/22','2023/04/23','2023/04/24',7);</v>
      </c>
      <c r="BV244" s="322" t="s">
        <v>2491</v>
      </c>
    </row>
    <row r="245" spans="6:74" ht="90.35" customHeight="1" outlineLevel="1" thickBot="1" x14ac:dyDescent="0.35">
      <c r="F245" s="160">
        <f t="shared" si="142"/>
        <v>116</v>
      </c>
      <c r="G245" s="160">
        <f t="shared" si="142"/>
        <v>8</v>
      </c>
      <c r="H245" s="160" t="s">
        <v>2125</v>
      </c>
      <c r="I245" s="160" t="str">
        <f t="shared" si="116"/>
        <v>tache8</v>
      </c>
      <c r="J245" s="160" t="s">
        <v>1867</v>
      </c>
      <c r="K245" s="160" t="s">
        <v>2375</v>
      </c>
      <c r="L245" s="160" t="s">
        <v>1879</v>
      </c>
      <c r="M245" s="346">
        <v>45033</v>
      </c>
      <c r="N245" s="329">
        <f>M245+5</f>
        <v>45038</v>
      </c>
      <c r="O245" s="329">
        <f>N245+1</f>
        <v>45039</v>
      </c>
      <c r="P245" s="329">
        <f t="shared" ref="P245:Q245" si="144">O245+1</f>
        <v>45040</v>
      </c>
      <c r="Q245" s="329">
        <f t="shared" si="144"/>
        <v>45041</v>
      </c>
      <c r="R245" s="160">
        <f t="shared" si="141"/>
        <v>7</v>
      </c>
      <c r="S245" s="160">
        <f t="shared" si="117"/>
        <v>3</v>
      </c>
      <c r="T245" s="160" t="s">
        <v>1922</v>
      </c>
      <c r="U245" s="322" t="str">
        <f t="shared" si="118"/>
        <v>TACHES</v>
      </c>
      <c r="V245" s="160" t="s">
        <v>2088</v>
      </c>
      <c r="W245" s="189" t="s">
        <v>355</v>
      </c>
      <c r="X245" s="360" t="s">
        <v>2020</v>
      </c>
      <c r="Y245" s="189" t="s">
        <v>337</v>
      </c>
      <c r="Z245" s="360" t="s">
        <v>2020</v>
      </c>
      <c r="AA245" s="189" t="s">
        <v>340</v>
      </c>
      <c r="AB245" s="360" t="s">
        <v>2020</v>
      </c>
      <c r="AC245" s="189" t="s">
        <v>266</v>
      </c>
      <c r="AD245" s="360" t="s">
        <v>2020</v>
      </c>
      <c r="AE245" s="189" t="s">
        <v>244</v>
      </c>
      <c r="AF245" s="360" t="s">
        <v>2020</v>
      </c>
      <c r="AG245" s="189" t="s">
        <v>296</v>
      </c>
      <c r="AH245" s="360" t="s">
        <v>2020</v>
      </c>
      <c r="AI245" s="189" t="s">
        <v>298</v>
      </c>
      <c r="AJ245" s="360" t="s">
        <v>2020</v>
      </c>
      <c r="AK245" s="189" t="s">
        <v>299</v>
      </c>
      <c r="AL245" s="360" t="s">
        <v>2020</v>
      </c>
      <c r="AM245" s="189" t="s">
        <v>300</v>
      </c>
      <c r="AN245" s="360" t="s">
        <v>2020</v>
      </c>
      <c r="AO245" s="189" t="s">
        <v>301</v>
      </c>
      <c r="AP245" s="360" t="s">
        <v>2020</v>
      </c>
      <c r="AQ245" s="192" t="s">
        <v>302</v>
      </c>
      <c r="AR245" s="360" t="s">
        <v>2020</v>
      </c>
      <c r="AS245" s="295" t="s">
        <v>287</v>
      </c>
      <c r="AT245" s="360"/>
      <c r="AU245" s="322"/>
      <c r="AV245" s="360" t="s">
        <v>2089</v>
      </c>
      <c r="AW245" s="160">
        <f t="shared" si="119"/>
        <v>8</v>
      </c>
      <c r="AX245" s="360" t="s">
        <v>2091</v>
      </c>
      <c r="AY245" s="160" t="str">
        <f t="shared" si="120"/>
        <v>tache8</v>
      </c>
      <c r="AZ245" s="360" t="s">
        <v>2091</v>
      </c>
      <c r="BA245" s="160" t="str">
        <f t="shared" si="121"/>
        <v>tache8</v>
      </c>
      <c r="BB245" s="360" t="s">
        <v>2091</v>
      </c>
      <c r="BC245" s="160" t="str">
        <f t="shared" si="122"/>
        <v>Vitale</v>
      </c>
      <c r="BD245" s="360" t="s">
        <v>2091</v>
      </c>
      <c r="BE245" s="160" t="str">
        <f t="shared" si="123"/>
        <v>Terminer</v>
      </c>
      <c r="BF245" s="360" t="s">
        <v>2091</v>
      </c>
      <c r="BG245" s="160" t="str">
        <f t="shared" si="124"/>
        <v>Realisation</v>
      </c>
      <c r="BH245" s="360" t="s">
        <v>2091</v>
      </c>
      <c r="BI245" s="371" t="str">
        <f t="shared" ca="1" si="125"/>
        <v>2023/04/17</v>
      </c>
      <c r="BJ245" s="360" t="s">
        <v>2091</v>
      </c>
      <c r="BK245" s="329" t="str">
        <f t="shared" ca="1" si="126"/>
        <v>2023/04/22</v>
      </c>
      <c r="BL245" s="360" t="s">
        <v>2091</v>
      </c>
      <c r="BM245" s="329" t="str">
        <f t="shared" ca="1" si="127"/>
        <v>2023/04/23</v>
      </c>
      <c r="BN245" s="360" t="s">
        <v>2091</v>
      </c>
      <c r="BO245" s="329" t="str">
        <f t="shared" ca="1" si="128"/>
        <v>2023/04/24</v>
      </c>
      <c r="BP245" s="360" t="s">
        <v>2091</v>
      </c>
      <c r="BQ245" s="329" t="str">
        <f t="shared" ca="1" si="129"/>
        <v>2023/04/25</v>
      </c>
      <c r="BR245" s="360" t="s">
        <v>2093</v>
      </c>
      <c r="BS245" s="160">
        <f t="shared" si="130"/>
        <v>7</v>
      </c>
      <c r="BT245" s="160" t="s">
        <v>2021</v>
      </c>
      <c r="BU245" s="322" t="str">
        <f t="shared" ca="1" si="131"/>
        <v>INSERT INTO TACHES(numTache,nameTache,descriptionTache,prioTache,stateTache,categoryTache,dateCreateTache,dateInProgressTache,dateToTestTache,dateEndThTache,dateEndRealTache,idProjet) VALUES ('8','tache8','tache8','Vitale','Terminer','Realisation','2023/04/17','2023/04/22','2023/04/23','2023/04/24','2023/04/25',7);</v>
      </c>
      <c r="BV245" s="322" t="s">
        <v>2492</v>
      </c>
    </row>
    <row r="246" spans="6:74" ht="20.05" customHeight="1" outlineLevel="1" thickBot="1" x14ac:dyDescent="0.35">
      <c r="F246" s="160">
        <f t="shared" si="142"/>
        <v>117</v>
      </c>
      <c r="G246" s="160">
        <f t="shared" si="142"/>
        <v>9</v>
      </c>
      <c r="H246" s="160" t="s">
        <v>2126</v>
      </c>
      <c r="I246" s="160" t="str">
        <f t="shared" si="116"/>
        <v>tache9</v>
      </c>
      <c r="J246" s="160" t="s">
        <v>1869</v>
      </c>
      <c r="K246" s="160" t="s">
        <v>2375</v>
      </c>
      <c r="L246" s="160" t="s">
        <v>1879</v>
      </c>
      <c r="M246" s="346">
        <v>45035</v>
      </c>
      <c r="N246" s="329">
        <f>M246+5</f>
        <v>45040</v>
      </c>
      <c r="O246" s="329">
        <f t="shared" ref="O246:Q255" si="145">N246+1</f>
        <v>45041</v>
      </c>
      <c r="P246" s="329">
        <f t="shared" si="145"/>
        <v>45042</v>
      </c>
      <c r="Q246" s="329">
        <f t="shared" si="145"/>
        <v>45043</v>
      </c>
      <c r="R246" s="160">
        <f t="shared" si="141"/>
        <v>7</v>
      </c>
      <c r="S246" s="160">
        <f t="shared" si="117"/>
        <v>5</v>
      </c>
      <c r="T246" s="160" t="s">
        <v>1922</v>
      </c>
      <c r="U246" s="322" t="str">
        <f t="shared" si="118"/>
        <v>TACHES</v>
      </c>
      <c r="V246" s="160" t="s">
        <v>2088</v>
      </c>
      <c r="W246" s="189" t="s">
        <v>355</v>
      </c>
      <c r="X246" s="360" t="s">
        <v>2020</v>
      </c>
      <c r="Y246" s="189" t="s">
        <v>337</v>
      </c>
      <c r="Z246" s="360" t="s">
        <v>2020</v>
      </c>
      <c r="AA246" s="189" t="s">
        <v>340</v>
      </c>
      <c r="AB246" s="360" t="s">
        <v>2020</v>
      </c>
      <c r="AC246" s="189" t="s">
        <v>266</v>
      </c>
      <c r="AD246" s="360" t="s">
        <v>2020</v>
      </c>
      <c r="AE246" s="189" t="s">
        <v>244</v>
      </c>
      <c r="AF246" s="360" t="s">
        <v>2020</v>
      </c>
      <c r="AG246" s="189" t="s">
        <v>296</v>
      </c>
      <c r="AH246" s="360" t="s">
        <v>2020</v>
      </c>
      <c r="AI246" s="189" t="s">
        <v>298</v>
      </c>
      <c r="AJ246" s="360" t="s">
        <v>2020</v>
      </c>
      <c r="AK246" s="189" t="s">
        <v>299</v>
      </c>
      <c r="AL246" s="360" t="s">
        <v>2020</v>
      </c>
      <c r="AM246" s="189" t="s">
        <v>300</v>
      </c>
      <c r="AN246" s="360" t="s">
        <v>2020</v>
      </c>
      <c r="AO246" s="189" t="s">
        <v>301</v>
      </c>
      <c r="AP246" s="360" t="s">
        <v>2020</v>
      </c>
      <c r="AQ246" s="192" t="s">
        <v>302</v>
      </c>
      <c r="AR246" s="360" t="s">
        <v>2020</v>
      </c>
      <c r="AS246" s="295" t="s">
        <v>287</v>
      </c>
      <c r="AT246" s="360"/>
      <c r="AU246" s="322"/>
      <c r="AV246" s="360" t="s">
        <v>2089</v>
      </c>
      <c r="AW246" s="160">
        <f t="shared" si="119"/>
        <v>9</v>
      </c>
      <c r="AX246" s="360" t="s">
        <v>2091</v>
      </c>
      <c r="AY246" s="160" t="str">
        <f t="shared" si="120"/>
        <v>tache9</v>
      </c>
      <c r="AZ246" s="360" t="s">
        <v>2091</v>
      </c>
      <c r="BA246" s="160" t="str">
        <f t="shared" si="121"/>
        <v>tache9</v>
      </c>
      <c r="BB246" s="360" t="s">
        <v>2091</v>
      </c>
      <c r="BC246" s="160" t="str">
        <f t="shared" si="122"/>
        <v>Utile</v>
      </c>
      <c r="BD246" s="360" t="s">
        <v>2091</v>
      </c>
      <c r="BE246" s="160" t="str">
        <f t="shared" si="123"/>
        <v>Terminer</v>
      </c>
      <c r="BF246" s="360" t="s">
        <v>2091</v>
      </c>
      <c r="BG246" s="160" t="str">
        <f t="shared" si="124"/>
        <v>Realisation</v>
      </c>
      <c r="BH246" s="360" t="s">
        <v>2091</v>
      </c>
      <c r="BI246" s="371" t="str">
        <f t="shared" ca="1" si="125"/>
        <v>2023/04/19</v>
      </c>
      <c r="BJ246" s="360" t="s">
        <v>2091</v>
      </c>
      <c r="BK246" s="329" t="str">
        <f t="shared" ca="1" si="126"/>
        <v>2023/04/24</v>
      </c>
      <c r="BL246" s="360" t="s">
        <v>2091</v>
      </c>
      <c r="BM246" s="329" t="str">
        <f t="shared" ca="1" si="127"/>
        <v>2023/04/25</v>
      </c>
      <c r="BN246" s="360" t="s">
        <v>2091</v>
      </c>
      <c r="BO246" s="329" t="str">
        <f t="shared" ca="1" si="128"/>
        <v>2023/04/26</v>
      </c>
      <c r="BP246" s="360" t="s">
        <v>2091</v>
      </c>
      <c r="BQ246" s="329" t="str">
        <f t="shared" ca="1" si="129"/>
        <v>2023/04/27</v>
      </c>
      <c r="BR246" s="360" t="s">
        <v>2093</v>
      </c>
      <c r="BS246" s="160">
        <f t="shared" si="130"/>
        <v>7</v>
      </c>
      <c r="BT246" s="160" t="s">
        <v>2021</v>
      </c>
      <c r="BU246" s="322" t="str">
        <f t="shared" ca="1" si="131"/>
        <v>INSERT INTO TACHES(numTache,nameTache,descriptionTache,prioTache,stateTache,categoryTache,dateCreateTache,dateInProgressTache,dateToTestTache,dateEndThTache,dateEndRealTache,idProjet) VALUES ('9','tache9','tache9','Utile','Terminer','Realisation','2023/04/19','2023/04/24','2023/04/25','2023/04/26','2023/04/27',7);</v>
      </c>
      <c r="BV246" s="322" t="s">
        <v>2493</v>
      </c>
    </row>
    <row r="247" spans="6:74" ht="20.05" customHeight="1" outlineLevel="1" thickBot="1" x14ac:dyDescent="0.35">
      <c r="F247" s="160">
        <f t="shared" si="142"/>
        <v>118</v>
      </c>
      <c r="G247" s="160">
        <f t="shared" si="142"/>
        <v>10</v>
      </c>
      <c r="H247" s="160" t="s">
        <v>2127</v>
      </c>
      <c r="I247" s="160" t="str">
        <f t="shared" si="116"/>
        <v>tache10</v>
      </c>
      <c r="J247" s="160" t="s">
        <v>1868</v>
      </c>
      <c r="K247" s="160" t="s">
        <v>2375</v>
      </c>
      <c r="L247" s="160" t="s">
        <v>1879</v>
      </c>
      <c r="M247" s="346">
        <v>45035</v>
      </c>
      <c r="N247" s="329">
        <f t="shared" ref="N247:N254" si="146">M247+5</f>
        <v>45040</v>
      </c>
      <c r="O247" s="329">
        <f t="shared" si="145"/>
        <v>45041</v>
      </c>
      <c r="P247" s="329">
        <f t="shared" si="145"/>
        <v>45042</v>
      </c>
      <c r="Q247" s="329">
        <f t="shared" si="145"/>
        <v>45043</v>
      </c>
      <c r="R247" s="160">
        <f t="shared" si="141"/>
        <v>7</v>
      </c>
      <c r="S247" s="160">
        <f t="shared" si="117"/>
        <v>5</v>
      </c>
      <c r="T247" s="160" t="s">
        <v>1922</v>
      </c>
      <c r="U247" s="322" t="str">
        <f t="shared" si="118"/>
        <v>TACHES</v>
      </c>
      <c r="V247" s="160" t="s">
        <v>2088</v>
      </c>
      <c r="W247" s="189" t="s">
        <v>355</v>
      </c>
      <c r="X247" s="360" t="s">
        <v>2020</v>
      </c>
      <c r="Y247" s="189" t="s">
        <v>337</v>
      </c>
      <c r="Z247" s="360" t="s">
        <v>2020</v>
      </c>
      <c r="AA247" s="189" t="s">
        <v>340</v>
      </c>
      <c r="AB247" s="360" t="s">
        <v>2020</v>
      </c>
      <c r="AC247" s="189" t="s">
        <v>266</v>
      </c>
      <c r="AD247" s="360" t="s">
        <v>2020</v>
      </c>
      <c r="AE247" s="189" t="s">
        <v>244</v>
      </c>
      <c r="AF247" s="360" t="s">
        <v>2020</v>
      </c>
      <c r="AG247" s="189" t="s">
        <v>296</v>
      </c>
      <c r="AH247" s="360" t="s">
        <v>2020</v>
      </c>
      <c r="AI247" s="189" t="s">
        <v>298</v>
      </c>
      <c r="AJ247" s="360" t="s">
        <v>2020</v>
      </c>
      <c r="AK247" s="189" t="s">
        <v>299</v>
      </c>
      <c r="AL247" s="360" t="s">
        <v>2020</v>
      </c>
      <c r="AM247" s="189" t="s">
        <v>300</v>
      </c>
      <c r="AN247" s="360" t="s">
        <v>2020</v>
      </c>
      <c r="AO247" s="189" t="s">
        <v>301</v>
      </c>
      <c r="AP247" s="360" t="s">
        <v>2020</v>
      </c>
      <c r="AQ247" s="192" t="s">
        <v>302</v>
      </c>
      <c r="AR247" s="360" t="s">
        <v>2020</v>
      </c>
      <c r="AS247" s="295" t="s">
        <v>287</v>
      </c>
      <c r="AT247" s="360"/>
      <c r="AU247" s="322"/>
      <c r="AV247" s="360" t="s">
        <v>2089</v>
      </c>
      <c r="AW247" s="160">
        <f t="shared" si="119"/>
        <v>10</v>
      </c>
      <c r="AX247" s="360" t="s">
        <v>2091</v>
      </c>
      <c r="AY247" s="160" t="str">
        <f t="shared" si="120"/>
        <v>tache10</v>
      </c>
      <c r="AZ247" s="360" t="s">
        <v>2091</v>
      </c>
      <c r="BA247" s="160" t="str">
        <f t="shared" si="121"/>
        <v>tache10</v>
      </c>
      <c r="BB247" s="360" t="s">
        <v>2091</v>
      </c>
      <c r="BC247" s="160" t="str">
        <f t="shared" si="122"/>
        <v>Importante</v>
      </c>
      <c r="BD247" s="360" t="s">
        <v>2091</v>
      </c>
      <c r="BE247" s="160" t="str">
        <f t="shared" si="123"/>
        <v>Terminer</v>
      </c>
      <c r="BF247" s="360" t="s">
        <v>2091</v>
      </c>
      <c r="BG247" s="160" t="str">
        <f t="shared" si="124"/>
        <v>Realisation</v>
      </c>
      <c r="BH247" s="360" t="s">
        <v>2091</v>
      </c>
      <c r="BI247" s="371" t="str">
        <f t="shared" ca="1" si="125"/>
        <v>2023/04/19</v>
      </c>
      <c r="BJ247" s="360" t="s">
        <v>2091</v>
      </c>
      <c r="BK247" s="329" t="str">
        <f t="shared" ca="1" si="126"/>
        <v>2023/04/24</v>
      </c>
      <c r="BL247" s="360" t="s">
        <v>2091</v>
      </c>
      <c r="BM247" s="329" t="str">
        <f t="shared" ca="1" si="127"/>
        <v>2023/04/25</v>
      </c>
      <c r="BN247" s="360" t="s">
        <v>2091</v>
      </c>
      <c r="BO247" s="329" t="str">
        <f t="shared" ca="1" si="128"/>
        <v>2023/04/26</v>
      </c>
      <c r="BP247" s="360" t="s">
        <v>2091</v>
      </c>
      <c r="BQ247" s="329" t="str">
        <f t="shared" ca="1" si="129"/>
        <v>2023/04/27</v>
      </c>
      <c r="BR247" s="360" t="s">
        <v>2093</v>
      </c>
      <c r="BS247" s="160">
        <f t="shared" si="130"/>
        <v>7</v>
      </c>
      <c r="BT247" s="160" t="s">
        <v>2021</v>
      </c>
      <c r="BU247" s="322" t="str">
        <f t="shared" ca="1" si="131"/>
        <v>INSERT INTO TACHES(numTache,nameTache,descriptionTache,prioTache,stateTache,categoryTache,dateCreateTache,dateInProgressTache,dateToTestTache,dateEndThTache,dateEndRealTache,idProjet) VALUES ('10','tache10','tache10','Importante','Terminer','Realisation','2023/04/19','2023/04/24','2023/04/25','2023/04/26','2023/04/27',7);</v>
      </c>
      <c r="BV247" s="322" t="s">
        <v>2494</v>
      </c>
    </row>
    <row r="248" spans="6:74" ht="20.05" customHeight="1" outlineLevel="1" thickBot="1" x14ac:dyDescent="0.35">
      <c r="F248" s="160">
        <f t="shared" si="142"/>
        <v>119</v>
      </c>
      <c r="G248" s="160">
        <f t="shared" si="142"/>
        <v>11</v>
      </c>
      <c r="H248" s="160" t="s">
        <v>2128</v>
      </c>
      <c r="I248" s="160" t="str">
        <f t="shared" si="116"/>
        <v>tache11</v>
      </c>
      <c r="J248" s="160" t="s">
        <v>1867</v>
      </c>
      <c r="K248" s="160" t="s">
        <v>2375</v>
      </c>
      <c r="L248" s="160" t="s">
        <v>1879</v>
      </c>
      <c r="M248" s="346">
        <v>45036</v>
      </c>
      <c r="N248" s="329">
        <f t="shared" si="146"/>
        <v>45041</v>
      </c>
      <c r="O248" s="329">
        <f t="shared" si="145"/>
        <v>45042</v>
      </c>
      <c r="P248" s="329">
        <f t="shared" si="145"/>
        <v>45043</v>
      </c>
      <c r="Q248" s="329">
        <f t="shared" si="145"/>
        <v>45044</v>
      </c>
      <c r="R248" s="160">
        <f t="shared" si="141"/>
        <v>7</v>
      </c>
      <c r="S248" s="160">
        <f t="shared" si="117"/>
        <v>5</v>
      </c>
      <c r="T248" s="160" t="s">
        <v>1922</v>
      </c>
      <c r="U248" s="322" t="str">
        <f t="shared" si="118"/>
        <v>TACHES</v>
      </c>
      <c r="V248" s="160" t="s">
        <v>2088</v>
      </c>
      <c r="W248" s="189" t="s">
        <v>355</v>
      </c>
      <c r="X248" s="360" t="s">
        <v>2020</v>
      </c>
      <c r="Y248" s="189" t="s">
        <v>337</v>
      </c>
      <c r="Z248" s="360" t="s">
        <v>2020</v>
      </c>
      <c r="AA248" s="189" t="s">
        <v>340</v>
      </c>
      <c r="AB248" s="360" t="s">
        <v>2020</v>
      </c>
      <c r="AC248" s="189" t="s">
        <v>266</v>
      </c>
      <c r="AD248" s="360" t="s">
        <v>2020</v>
      </c>
      <c r="AE248" s="189" t="s">
        <v>244</v>
      </c>
      <c r="AF248" s="360" t="s">
        <v>2020</v>
      </c>
      <c r="AG248" s="189" t="s">
        <v>296</v>
      </c>
      <c r="AH248" s="360" t="s">
        <v>2020</v>
      </c>
      <c r="AI248" s="189" t="s">
        <v>298</v>
      </c>
      <c r="AJ248" s="360" t="s">
        <v>2020</v>
      </c>
      <c r="AK248" s="189" t="s">
        <v>299</v>
      </c>
      <c r="AL248" s="360" t="s">
        <v>2020</v>
      </c>
      <c r="AM248" s="189" t="s">
        <v>300</v>
      </c>
      <c r="AN248" s="360" t="s">
        <v>2020</v>
      </c>
      <c r="AO248" s="189" t="s">
        <v>301</v>
      </c>
      <c r="AP248" s="360" t="s">
        <v>2020</v>
      </c>
      <c r="AQ248" s="192" t="s">
        <v>302</v>
      </c>
      <c r="AR248" s="360" t="s">
        <v>2020</v>
      </c>
      <c r="AS248" s="295" t="s">
        <v>287</v>
      </c>
      <c r="AT248" s="360"/>
      <c r="AU248" s="322"/>
      <c r="AV248" s="360" t="s">
        <v>2089</v>
      </c>
      <c r="AW248" s="160">
        <f t="shared" si="119"/>
        <v>11</v>
      </c>
      <c r="AX248" s="360" t="s">
        <v>2091</v>
      </c>
      <c r="AY248" s="160" t="str">
        <f t="shared" si="120"/>
        <v>tache11</v>
      </c>
      <c r="AZ248" s="360" t="s">
        <v>2091</v>
      </c>
      <c r="BA248" s="160" t="str">
        <f t="shared" si="121"/>
        <v>tache11</v>
      </c>
      <c r="BB248" s="360" t="s">
        <v>2091</v>
      </c>
      <c r="BC248" s="160" t="str">
        <f t="shared" si="122"/>
        <v>Vitale</v>
      </c>
      <c r="BD248" s="360" t="s">
        <v>2091</v>
      </c>
      <c r="BE248" s="160" t="str">
        <f t="shared" si="123"/>
        <v>Terminer</v>
      </c>
      <c r="BF248" s="360" t="s">
        <v>2091</v>
      </c>
      <c r="BG248" s="160" t="str">
        <f t="shared" si="124"/>
        <v>Realisation</v>
      </c>
      <c r="BH248" s="360" t="s">
        <v>2091</v>
      </c>
      <c r="BI248" s="371" t="str">
        <f t="shared" ca="1" si="125"/>
        <v>2023/04/20</v>
      </c>
      <c r="BJ248" s="360" t="s">
        <v>2091</v>
      </c>
      <c r="BK248" s="329" t="str">
        <f t="shared" ca="1" si="126"/>
        <v>2023/04/25</v>
      </c>
      <c r="BL248" s="360" t="s">
        <v>2091</v>
      </c>
      <c r="BM248" s="329" t="str">
        <f t="shared" ca="1" si="127"/>
        <v>2023/04/26</v>
      </c>
      <c r="BN248" s="360" t="s">
        <v>2091</v>
      </c>
      <c r="BO248" s="329" t="str">
        <f t="shared" ca="1" si="128"/>
        <v>2023/04/27</v>
      </c>
      <c r="BP248" s="360" t="s">
        <v>2091</v>
      </c>
      <c r="BQ248" s="329" t="str">
        <f t="shared" ca="1" si="129"/>
        <v>2023/04/28</v>
      </c>
      <c r="BR248" s="360" t="s">
        <v>2093</v>
      </c>
      <c r="BS248" s="160">
        <f t="shared" si="130"/>
        <v>7</v>
      </c>
      <c r="BT248" s="160" t="s">
        <v>2021</v>
      </c>
      <c r="BU248" s="322" t="str">
        <f t="shared" ca="1" si="131"/>
        <v>INSERT INTO TACHES(numTache,nameTache,descriptionTache,prioTache,stateTache,categoryTache,dateCreateTache,dateInProgressTache,dateToTestTache,dateEndThTache,dateEndRealTache,idProjet) VALUES ('11','tache11','tache11','Vitale','Terminer','Realisation','2023/04/20','2023/04/25','2023/04/26','2023/04/27','2023/04/28',7);</v>
      </c>
      <c r="BV248" s="322" t="s">
        <v>2495</v>
      </c>
    </row>
    <row r="249" spans="6:74" ht="20.05" customHeight="1" outlineLevel="1" thickBot="1" x14ac:dyDescent="0.35">
      <c r="F249" s="160">
        <f t="shared" si="142"/>
        <v>120</v>
      </c>
      <c r="G249" s="160">
        <f t="shared" si="142"/>
        <v>12</v>
      </c>
      <c r="H249" s="160" t="s">
        <v>2129</v>
      </c>
      <c r="I249" s="160" t="str">
        <f t="shared" si="116"/>
        <v>tache12</v>
      </c>
      <c r="J249" s="160" t="s">
        <v>1867</v>
      </c>
      <c r="K249" s="160" t="s">
        <v>2375</v>
      </c>
      <c r="L249" s="160" t="s">
        <v>1879</v>
      </c>
      <c r="M249" s="348">
        <v>45041</v>
      </c>
      <c r="N249" s="329">
        <f t="shared" si="146"/>
        <v>45046</v>
      </c>
      <c r="O249" s="329">
        <f t="shared" si="145"/>
        <v>45047</v>
      </c>
      <c r="P249" s="329">
        <f t="shared" si="145"/>
        <v>45048</v>
      </c>
      <c r="Q249" s="329">
        <f t="shared" si="145"/>
        <v>45049</v>
      </c>
      <c r="R249" s="160">
        <f t="shared" si="141"/>
        <v>7</v>
      </c>
      <c r="S249" s="160">
        <f t="shared" si="117"/>
        <v>4</v>
      </c>
      <c r="T249" s="160" t="s">
        <v>1922</v>
      </c>
      <c r="U249" s="322" t="str">
        <f t="shared" si="118"/>
        <v>TACHES</v>
      </c>
      <c r="V249" s="160" t="s">
        <v>2088</v>
      </c>
      <c r="W249" s="189" t="s">
        <v>355</v>
      </c>
      <c r="X249" s="360" t="s">
        <v>2020</v>
      </c>
      <c r="Y249" s="189" t="s">
        <v>337</v>
      </c>
      <c r="Z249" s="360" t="s">
        <v>2020</v>
      </c>
      <c r="AA249" s="189" t="s">
        <v>340</v>
      </c>
      <c r="AB249" s="360" t="s">
        <v>2020</v>
      </c>
      <c r="AC249" s="189" t="s">
        <v>266</v>
      </c>
      <c r="AD249" s="360" t="s">
        <v>2020</v>
      </c>
      <c r="AE249" s="189" t="s">
        <v>244</v>
      </c>
      <c r="AF249" s="360" t="s">
        <v>2020</v>
      </c>
      <c r="AG249" s="189" t="s">
        <v>296</v>
      </c>
      <c r="AH249" s="360" t="s">
        <v>2020</v>
      </c>
      <c r="AI249" s="189" t="s">
        <v>298</v>
      </c>
      <c r="AJ249" s="360" t="s">
        <v>2020</v>
      </c>
      <c r="AK249" s="189" t="s">
        <v>299</v>
      </c>
      <c r="AL249" s="360" t="s">
        <v>2020</v>
      </c>
      <c r="AM249" s="189" t="s">
        <v>300</v>
      </c>
      <c r="AN249" s="360" t="s">
        <v>2020</v>
      </c>
      <c r="AO249" s="189" t="s">
        <v>301</v>
      </c>
      <c r="AP249" s="360" t="s">
        <v>2020</v>
      </c>
      <c r="AQ249" s="192" t="s">
        <v>302</v>
      </c>
      <c r="AR249" s="360" t="s">
        <v>2020</v>
      </c>
      <c r="AS249" s="295" t="s">
        <v>287</v>
      </c>
      <c r="AT249" s="360"/>
      <c r="AU249" s="322"/>
      <c r="AV249" s="360" t="s">
        <v>2089</v>
      </c>
      <c r="AW249" s="160">
        <f t="shared" si="119"/>
        <v>12</v>
      </c>
      <c r="AX249" s="360" t="s">
        <v>2091</v>
      </c>
      <c r="AY249" s="160" t="str">
        <f t="shared" si="120"/>
        <v>tache12</v>
      </c>
      <c r="AZ249" s="360" t="s">
        <v>2091</v>
      </c>
      <c r="BA249" s="160" t="str">
        <f t="shared" si="121"/>
        <v>tache12</v>
      </c>
      <c r="BB249" s="360" t="s">
        <v>2091</v>
      </c>
      <c r="BC249" s="160" t="str">
        <f t="shared" si="122"/>
        <v>Vitale</v>
      </c>
      <c r="BD249" s="360" t="s">
        <v>2091</v>
      </c>
      <c r="BE249" s="160" t="str">
        <f t="shared" si="123"/>
        <v>Terminer</v>
      </c>
      <c r="BF249" s="360" t="s">
        <v>2091</v>
      </c>
      <c r="BG249" s="160" t="str">
        <f t="shared" si="124"/>
        <v>Realisation</v>
      </c>
      <c r="BH249" s="360" t="s">
        <v>2091</v>
      </c>
      <c r="BI249" s="371" t="str">
        <f t="shared" ca="1" si="125"/>
        <v>2023/04/25</v>
      </c>
      <c r="BJ249" s="360" t="s">
        <v>2091</v>
      </c>
      <c r="BK249" s="329" t="str">
        <f t="shared" ca="1" si="126"/>
        <v>2023/04/30</v>
      </c>
      <c r="BL249" s="360" t="s">
        <v>2091</v>
      </c>
      <c r="BM249" s="329" t="str">
        <f t="shared" ca="1" si="127"/>
        <v>2023/05/01</v>
      </c>
      <c r="BN249" s="360" t="s">
        <v>2091</v>
      </c>
      <c r="BO249" s="329" t="str">
        <f t="shared" ca="1" si="128"/>
        <v>2023/05/02</v>
      </c>
      <c r="BP249" s="360" t="s">
        <v>2091</v>
      </c>
      <c r="BQ249" s="329" t="str">
        <f t="shared" ca="1" si="129"/>
        <v>2023/05/03</v>
      </c>
      <c r="BR249" s="360" t="s">
        <v>2093</v>
      </c>
      <c r="BS249" s="160">
        <f t="shared" si="130"/>
        <v>7</v>
      </c>
      <c r="BT249" s="160" t="s">
        <v>2021</v>
      </c>
      <c r="BU249" s="322" t="str">
        <f t="shared" ca="1" si="131"/>
        <v>INSERT INTO TACHES(numTache,nameTache,descriptionTache,prioTache,stateTache,categoryTache,dateCreateTache,dateInProgressTache,dateToTestTache,dateEndThTache,dateEndRealTache,idProjet) VALUES ('12','tache12','tache12','Vitale','Terminer','Realisation','2023/04/25','2023/04/30','2023/05/01','2023/05/02','2023/05/03',7);</v>
      </c>
      <c r="BV249" s="322" t="s">
        <v>2496</v>
      </c>
    </row>
    <row r="250" spans="6:74" ht="20.05" customHeight="1" outlineLevel="1" thickBot="1" x14ac:dyDescent="0.35">
      <c r="F250" s="160">
        <f t="shared" si="142"/>
        <v>121</v>
      </c>
      <c r="G250" s="160">
        <f t="shared" si="142"/>
        <v>13</v>
      </c>
      <c r="H250" s="160" t="s">
        <v>2130</v>
      </c>
      <c r="I250" s="160" t="str">
        <f t="shared" si="116"/>
        <v>tache13</v>
      </c>
      <c r="J250" s="160" t="s">
        <v>1867</v>
      </c>
      <c r="K250" s="160" t="s">
        <v>2375</v>
      </c>
      <c r="L250" s="160" t="s">
        <v>1879</v>
      </c>
      <c r="M250" s="348">
        <v>45048</v>
      </c>
      <c r="N250" s="329">
        <f t="shared" si="146"/>
        <v>45053</v>
      </c>
      <c r="O250" s="329">
        <f t="shared" si="145"/>
        <v>45054</v>
      </c>
      <c r="P250" s="329">
        <f t="shared" si="145"/>
        <v>45055</v>
      </c>
      <c r="Q250" s="329">
        <f t="shared" si="145"/>
        <v>45056</v>
      </c>
      <c r="R250" s="160">
        <f t="shared" si="141"/>
        <v>7</v>
      </c>
      <c r="S250" s="160">
        <f t="shared" si="117"/>
        <v>4</v>
      </c>
      <c r="T250" s="160" t="s">
        <v>1922</v>
      </c>
      <c r="U250" s="322" t="str">
        <f t="shared" si="118"/>
        <v>TACHES</v>
      </c>
      <c r="V250" s="160" t="s">
        <v>2088</v>
      </c>
      <c r="W250" s="189" t="s">
        <v>355</v>
      </c>
      <c r="X250" s="360" t="s">
        <v>2020</v>
      </c>
      <c r="Y250" s="189" t="s">
        <v>337</v>
      </c>
      <c r="Z250" s="360" t="s">
        <v>2020</v>
      </c>
      <c r="AA250" s="189" t="s">
        <v>340</v>
      </c>
      <c r="AB250" s="360" t="s">
        <v>2020</v>
      </c>
      <c r="AC250" s="189" t="s">
        <v>266</v>
      </c>
      <c r="AD250" s="360" t="s">
        <v>2020</v>
      </c>
      <c r="AE250" s="189" t="s">
        <v>244</v>
      </c>
      <c r="AF250" s="360" t="s">
        <v>2020</v>
      </c>
      <c r="AG250" s="189" t="s">
        <v>296</v>
      </c>
      <c r="AH250" s="360" t="s">
        <v>2020</v>
      </c>
      <c r="AI250" s="189" t="s">
        <v>298</v>
      </c>
      <c r="AJ250" s="360" t="s">
        <v>2020</v>
      </c>
      <c r="AK250" s="189" t="s">
        <v>299</v>
      </c>
      <c r="AL250" s="360" t="s">
        <v>2020</v>
      </c>
      <c r="AM250" s="189" t="s">
        <v>300</v>
      </c>
      <c r="AN250" s="360" t="s">
        <v>2020</v>
      </c>
      <c r="AO250" s="189" t="s">
        <v>301</v>
      </c>
      <c r="AP250" s="360" t="s">
        <v>2020</v>
      </c>
      <c r="AQ250" s="192" t="s">
        <v>302</v>
      </c>
      <c r="AR250" s="360" t="s">
        <v>2020</v>
      </c>
      <c r="AS250" s="295" t="s">
        <v>287</v>
      </c>
      <c r="AT250" s="360"/>
      <c r="AU250" s="322"/>
      <c r="AV250" s="360" t="s">
        <v>2089</v>
      </c>
      <c r="AW250" s="160">
        <f t="shared" si="119"/>
        <v>13</v>
      </c>
      <c r="AX250" s="360" t="s">
        <v>2091</v>
      </c>
      <c r="AY250" s="160" t="str">
        <f t="shared" si="120"/>
        <v>tache13</v>
      </c>
      <c r="AZ250" s="360" t="s">
        <v>2091</v>
      </c>
      <c r="BA250" s="160" t="str">
        <f t="shared" si="121"/>
        <v>tache13</v>
      </c>
      <c r="BB250" s="360" t="s">
        <v>2091</v>
      </c>
      <c r="BC250" s="160" t="str">
        <f t="shared" si="122"/>
        <v>Vitale</v>
      </c>
      <c r="BD250" s="360" t="s">
        <v>2091</v>
      </c>
      <c r="BE250" s="160" t="str">
        <f t="shared" si="123"/>
        <v>Terminer</v>
      </c>
      <c r="BF250" s="360" t="s">
        <v>2091</v>
      </c>
      <c r="BG250" s="160" t="str">
        <f t="shared" si="124"/>
        <v>Realisation</v>
      </c>
      <c r="BH250" s="360" t="s">
        <v>2091</v>
      </c>
      <c r="BI250" s="371" t="str">
        <f t="shared" ca="1" si="125"/>
        <v>2023/05/02</v>
      </c>
      <c r="BJ250" s="360" t="s">
        <v>2091</v>
      </c>
      <c r="BK250" s="329" t="str">
        <f t="shared" ca="1" si="126"/>
        <v>2023/05/07</v>
      </c>
      <c r="BL250" s="360" t="s">
        <v>2091</v>
      </c>
      <c r="BM250" s="329" t="str">
        <f t="shared" ca="1" si="127"/>
        <v>2023/05/08</v>
      </c>
      <c r="BN250" s="360" t="s">
        <v>2091</v>
      </c>
      <c r="BO250" s="329" t="str">
        <f t="shared" ca="1" si="128"/>
        <v>2023/05/09</v>
      </c>
      <c r="BP250" s="360" t="s">
        <v>2091</v>
      </c>
      <c r="BQ250" s="329" t="str">
        <f t="shared" ca="1" si="129"/>
        <v>2023/05/10</v>
      </c>
      <c r="BR250" s="360" t="s">
        <v>2093</v>
      </c>
      <c r="BS250" s="160">
        <f t="shared" si="130"/>
        <v>7</v>
      </c>
      <c r="BT250" s="160" t="s">
        <v>2021</v>
      </c>
      <c r="BU250" s="322" t="str">
        <f t="shared" ca="1" si="131"/>
        <v>INSERT INTO TACHES(numTache,nameTache,descriptionTache,prioTache,stateTache,categoryTache,dateCreateTache,dateInProgressTache,dateToTestTache,dateEndThTache,dateEndRealTache,idProjet) VALUES ('13','tache13','tache13','Vitale','Terminer','Realisation','2023/05/02','2023/05/07','2023/05/08','2023/05/09','2023/05/10',7);</v>
      </c>
      <c r="BV250" s="322" t="s">
        <v>2497</v>
      </c>
    </row>
    <row r="251" spans="6:74" ht="15.65" outlineLevel="1" thickBot="1" x14ac:dyDescent="0.35">
      <c r="F251" s="160">
        <f t="shared" si="142"/>
        <v>122</v>
      </c>
      <c r="G251" s="160">
        <f t="shared" si="142"/>
        <v>14</v>
      </c>
      <c r="H251" s="160" t="s">
        <v>2131</v>
      </c>
      <c r="I251" s="160" t="str">
        <f t="shared" si="116"/>
        <v>tache14</v>
      </c>
      <c r="J251" s="160" t="s">
        <v>1867</v>
      </c>
      <c r="K251" s="160" t="s">
        <v>2375</v>
      </c>
      <c r="L251" s="160" t="s">
        <v>1879</v>
      </c>
      <c r="M251" s="348">
        <v>45048</v>
      </c>
      <c r="N251" s="329">
        <f t="shared" si="146"/>
        <v>45053</v>
      </c>
      <c r="O251" s="329">
        <f t="shared" si="145"/>
        <v>45054</v>
      </c>
      <c r="P251" s="329">
        <f t="shared" si="145"/>
        <v>45055</v>
      </c>
      <c r="Q251" s="329">
        <f t="shared" si="145"/>
        <v>45056</v>
      </c>
      <c r="R251" s="160">
        <f t="shared" si="141"/>
        <v>7</v>
      </c>
      <c r="S251" s="160">
        <f t="shared" si="117"/>
        <v>4</v>
      </c>
      <c r="T251" s="160" t="s">
        <v>1922</v>
      </c>
      <c r="U251" s="322" t="str">
        <f t="shared" si="118"/>
        <v>TACHES</v>
      </c>
      <c r="V251" s="160" t="s">
        <v>2088</v>
      </c>
      <c r="W251" s="189" t="s">
        <v>355</v>
      </c>
      <c r="X251" s="360" t="s">
        <v>2020</v>
      </c>
      <c r="Y251" s="189" t="s">
        <v>337</v>
      </c>
      <c r="Z251" s="360" t="s">
        <v>2020</v>
      </c>
      <c r="AA251" s="189" t="s">
        <v>340</v>
      </c>
      <c r="AB251" s="360" t="s">
        <v>2020</v>
      </c>
      <c r="AC251" s="189" t="s">
        <v>266</v>
      </c>
      <c r="AD251" s="360" t="s">
        <v>2020</v>
      </c>
      <c r="AE251" s="189" t="s">
        <v>244</v>
      </c>
      <c r="AF251" s="360" t="s">
        <v>2020</v>
      </c>
      <c r="AG251" s="189" t="s">
        <v>296</v>
      </c>
      <c r="AH251" s="360" t="s">
        <v>2020</v>
      </c>
      <c r="AI251" s="189" t="s">
        <v>298</v>
      </c>
      <c r="AJ251" s="360" t="s">
        <v>2020</v>
      </c>
      <c r="AK251" s="189" t="s">
        <v>299</v>
      </c>
      <c r="AL251" s="360" t="s">
        <v>2020</v>
      </c>
      <c r="AM251" s="189" t="s">
        <v>300</v>
      </c>
      <c r="AN251" s="360" t="s">
        <v>2020</v>
      </c>
      <c r="AO251" s="189" t="s">
        <v>301</v>
      </c>
      <c r="AP251" s="360" t="s">
        <v>2020</v>
      </c>
      <c r="AQ251" s="192" t="s">
        <v>302</v>
      </c>
      <c r="AR251" s="360" t="s">
        <v>2020</v>
      </c>
      <c r="AS251" s="295" t="s">
        <v>287</v>
      </c>
      <c r="AT251" s="360"/>
      <c r="AU251" s="322"/>
      <c r="AV251" s="360" t="s">
        <v>2089</v>
      </c>
      <c r="AW251" s="160">
        <f t="shared" si="119"/>
        <v>14</v>
      </c>
      <c r="AX251" s="360" t="s">
        <v>2091</v>
      </c>
      <c r="AY251" s="160" t="str">
        <f t="shared" si="120"/>
        <v>tache14</v>
      </c>
      <c r="AZ251" s="360" t="s">
        <v>2091</v>
      </c>
      <c r="BA251" s="160" t="str">
        <f t="shared" si="121"/>
        <v>tache14</v>
      </c>
      <c r="BB251" s="360" t="s">
        <v>2091</v>
      </c>
      <c r="BC251" s="160" t="str">
        <f t="shared" si="122"/>
        <v>Vitale</v>
      </c>
      <c r="BD251" s="360" t="s">
        <v>2091</v>
      </c>
      <c r="BE251" s="160" t="str">
        <f t="shared" si="123"/>
        <v>Terminer</v>
      </c>
      <c r="BF251" s="360" t="s">
        <v>2091</v>
      </c>
      <c r="BG251" s="160" t="str">
        <f t="shared" si="124"/>
        <v>Realisation</v>
      </c>
      <c r="BH251" s="360" t="s">
        <v>2091</v>
      </c>
      <c r="BI251" s="371" t="str">
        <f t="shared" ca="1" si="125"/>
        <v>2023/05/02</v>
      </c>
      <c r="BJ251" s="360" t="s">
        <v>2091</v>
      </c>
      <c r="BK251" s="329" t="str">
        <f t="shared" ca="1" si="126"/>
        <v>2023/05/07</v>
      </c>
      <c r="BL251" s="360" t="s">
        <v>2091</v>
      </c>
      <c r="BM251" s="329" t="str">
        <f t="shared" ca="1" si="127"/>
        <v>2023/05/08</v>
      </c>
      <c r="BN251" s="360" t="s">
        <v>2091</v>
      </c>
      <c r="BO251" s="329" t="str">
        <f t="shared" ca="1" si="128"/>
        <v>2023/05/09</v>
      </c>
      <c r="BP251" s="360" t="s">
        <v>2091</v>
      </c>
      <c r="BQ251" s="329" t="str">
        <f t="shared" ca="1" si="129"/>
        <v>2023/05/10</v>
      </c>
      <c r="BR251" s="360" t="s">
        <v>2093</v>
      </c>
      <c r="BS251" s="160">
        <f t="shared" si="130"/>
        <v>7</v>
      </c>
      <c r="BT251" s="160" t="s">
        <v>2021</v>
      </c>
      <c r="BU251" s="322" t="str">
        <f t="shared" ca="1" si="131"/>
        <v>INSERT INTO TACHES(numTache,nameTache,descriptionTache,prioTache,stateTache,categoryTache,dateCreateTache,dateInProgressTache,dateToTestTache,dateEndThTache,dateEndRealTache,idProjet) VALUES ('14','tache14','tache14','Vitale','Terminer','Realisation','2023/05/02','2023/05/07','2023/05/08','2023/05/09','2023/05/10',7);</v>
      </c>
      <c r="BV251" s="322" t="s">
        <v>2498</v>
      </c>
    </row>
    <row r="252" spans="6:74" ht="28.05" customHeight="1" outlineLevel="1" thickBot="1" x14ac:dyDescent="0.35">
      <c r="F252" s="160">
        <f t="shared" si="142"/>
        <v>123</v>
      </c>
      <c r="G252" s="160">
        <f t="shared" si="142"/>
        <v>15</v>
      </c>
      <c r="H252" s="160" t="s">
        <v>2132</v>
      </c>
      <c r="I252" s="160" t="str">
        <f t="shared" si="116"/>
        <v>tache15</v>
      </c>
      <c r="J252" s="160" t="s">
        <v>1867</v>
      </c>
      <c r="K252" s="160" t="s">
        <v>2375</v>
      </c>
      <c r="L252" s="160" t="s">
        <v>1879</v>
      </c>
      <c r="M252" s="348">
        <v>45046</v>
      </c>
      <c r="N252" s="329">
        <f t="shared" si="146"/>
        <v>45051</v>
      </c>
      <c r="O252" s="329">
        <f t="shared" si="145"/>
        <v>45052</v>
      </c>
      <c r="P252" s="329">
        <f t="shared" si="145"/>
        <v>45053</v>
      </c>
      <c r="Q252" s="329">
        <f t="shared" si="145"/>
        <v>45054</v>
      </c>
      <c r="R252" s="160">
        <f t="shared" si="141"/>
        <v>7</v>
      </c>
      <c r="S252" s="160">
        <f t="shared" si="117"/>
        <v>3</v>
      </c>
      <c r="T252" s="160" t="s">
        <v>1922</v>
      </c>
      <c r="U252" s="322" t="str">
        <f t="shared" si="118"/>
        <v>TACHES</v>
      </c>
      <c r="V252" s="160" t="s">
        <v>2088</v>
      </c>
      <c r="W252" s="189" t="s">
        <v>355</v>
      </c>
      <c r="X252" s="360" t="s">
        <v>2020</v>
      </c>
      <c r="Y252" s="189" t="s">
        <v>337</v>
      </c>
      <c r="Z252" s="360" t="s">
        <v>2020</v>
      </c>
      <c r="AA252" s="189" t="s">
        <v>340</v>
      </c>
      <c r="AB252" s="360" t="s">
        <v>2020</v>
      </c>
      <c r="AC252" s="189" t="s">
        <v>266</v>
      </c>
      <c r="AD252" s="360" t="s">
        <v>2020</v>
      </c>
      <c r="AE252" s="189" t="s">
        <v>244</v>
      </c>
      <c r="AF252" s="360" t="s">
        <v>2020</v>
      </c>
      <c r="AG252" s="189" t="s">
        <v>296</v>
      </c>
      <c r="AH252" s="360" t="s">
        <v>2020</v>
      </c>
      <c r="AI252" s="189" t="s">
        <v>298</v>
      </c>
      <c r="AJ252" s="360" t="s">
        <v>2020</v>
      </c>
      <c r="AK252" s="189" t="s">
        <v>299</v>
      </c>
      <c r="AL252" s="360" t="s">
        <v>2020</v>
      </c>
      <c r="AM252" s="189" t="s">
        <v>300</v>
      </c>
      <c r="AN252" s="360" t="s">
        <v>2020</v>
      </c>
      <c r="AO252" s="189" t="s">
        <v>301</v>
      </c>
      <c r="AP252" s="360" t="s">
        <v>2020</v>
      </c>
      <c r="AQ252" s="192" t="s">
        <v>302</v>
      </c>
      <c r="AR252" s="360" t="s">
        <v>2020</v>
      </c>
      <c r="AS252" s="295" t="s">
        <v>287</v>
      </c>
      <c r="AT252" s="360"/>
      <c r="AU252" s="322"/>
      <c r="AV252" s="360" t="s">
        <v>2089</v>
      </c>
      <c r="AW252" s="160">
        <f t="shared" si="119"/>
        <v>15</v>
      </c>
      <c r="AX252" s="360" t="s">
        <v>2091</v>
      </c>
      <c r="AY252" s="160" t="str">
        <f t="shared" si="120"/>
        <v>tache15</v>
      </c>
      <c r="AZ252" s="360" t="s">
        <v>2091</v>
      </c>
      <c r="BA252" s="160" t="str">
        <f t="shared" si="121"/>
        <v>tache15</v>
      </c>
      <c r="BB252" s="360" t="s">
        <v>2091</v>
      </c>
      <c r="BC252" s="160" t="str">
        <f t="shared" si="122"/>
        <v>Vitale</v>
      </c>
      <c r="BD252" s="360" t="s">
        <v>2091</v>
      </c>
      <c r="BE252" s="160" t="str">
        <f t="shared" si="123"/>
        <v>Terminer</v>
      </c>
      <c r="BF252" s="360" t="s">
        <v>2091</v>
      </c>
      <c r="BG252" s="160" t="str">
        <f t="shared" si="124"/>
        <v>Realisation</v>
      </c>
      <c r="BH252" s="360" t="s">
        <v>2091</v>
      </c>
      <c r="BI252" s="371" t="str">
        <f t="shared" ca="1" si="125"/>
        <v>2023/04/30</v>
      </c>
      <c r="BJ252" s="360" t="s">
        <v>2091</v>
      </c>
      <c r="BK252" s="329" t="str">
        <f t="shared" ca="1" si="126"/>
        <v>2023/05/05</v>
      </c>
      <c r="BL252" s="360" t="s">
        <v>2091</v>
      </c>
      <c r="BM252" s="329" t="str">
        <f t="shared" ca="1" si="127"/>
        <v>2023/05/06</v>
      </c>
      <c r="BN252" s="360" t="s">
        <v>2091</v>
      </c>
      <c r="BO252" s="329" t="str">
        <f t="shared" ca="1" si="128"/>
        <v>2023/05/07</v>
      </c>
      <c r="BP252" s="360" t="s">
        <v>2091</v>
      </c>
      <c r="BQ252" s="329" t="str">
        <f t="shared" ca="1" si="129"/>
        <v>2023/05/08</v>
      </c>
      <c r="BR252" s="360" t="s">
        <v>2093</v>
      </c>
      <c r="BS252" s="160">
        <f t="shared" si="130"/>
        <v>7</v>
      </c>
      <c r="BT252" s="160" t="s">
        <v>2021</v>
      </c>
      <c r="BU252" s="322" t="str">
        <f t="shared" ca="1" si="131"/>
        <v>INSERT INTO TACHES(numTache,nameTache,descriptionTache,prioTache,stateTache,categoryTache,dateCreateTache,dateInProgressTache,dateToTestTache,dateEndThTache,dateEndRealTache,idProjet) VALUES ('15','tache15','tache15','Vitale','Terminer','Realisation','2023/04/30','2023/05/05','2023/05/06','2023/05/07','2023/05/08',7);</v>
      </c>
      <c r="BV252" s="322" t="s">
        <v>2499</v>
      </c>
    </row>
    <row r="253" spans="6:74" ht="30.05" customHeight="1" outlineLevel="1" thickBot="1" x14ac:dyDescent="0.35">
      <c r="F253" s="160">
        <f t="shared" si="142"/>
        <v>124</v>
      </c>
      <c r="G253" s="160">
        <f t="shared" si="142"/>
        <v>16</v>
      </c>
      <c r="H253" s="160" t="s">
        <v>2133</v>
      </c>
      <c r="I253" s="160" t="str">
        <f t="shared" si="116"/>
        <v>tache16</v>
      </c>
      <c r="J253" s="160" t="s">
        <v>1868</v>
      </c>
      <c r="K253" s="160" t="s">
        <v>2375</v>
      </c>
      <c r="L253" s="160" t="s">
        <v>1879</v>
      </c>
      <c r="M253" s="348">
        <v>45053</v>
      </c>
      <c r="N253" s="329">
        <f t="shared" si="146"/>
        <v>45058</v>
      </c>
      <c r="O253" s="329">
        <f t="shared" si="145"/>
        <v>45059</v>
      </c>
      <c r="P253" s="329">
        <f t="shared" si="145"/>
        <v>45060</v>
      </c>
      <c r="Q253" s="329">
        <v>45060</v>
      </c>
      <c r="R253" s="160">
        <f t="shared" si="141"/>
        <v>7</v>
      </c>
      <c r="S253" s="160">
        <f t="shared" si="117"/>
        <v>2</v>
      </c>
      <c r="T253" s="160" t="s">
        <v>1922</v>
      </c>
      <c r="U253" s="322" t="str">
        <f t="shared" si="118"/>
        <v>TACHES</v>
      </c>
      <c r="V253" s="160" t="s">
        <v>2088</v>
      </c>
      <c r="W253" s="189" t="s">
        <v>355</v>
      </c>
      <c r="X253" s="360" t="s">
        <v>2020</v>
      </c>
      <c r="Y253" s="189" t="s">
        <v>337</v>
      </c>
      <c r="Z253" s="360" t="s">
        <v>2020</v>
      </c>
      <c r="AA253" s="189" t="s">
        <v>340</v>
      </c>
      <c r="AB253" s="360" t="s">
        <v>2020</v>
      </c>
      <c r="AC253" s="189" t="s">
        <v>266</v>
      </c>
      <c r="AD253" s="360" t="s">
        <v>2020</v>
      </c>
      <c r="AE253" s="189" t="s">
        <v>244</v>
      </c>
      <c r="AF253" s="360" t="s">
        <v>2020</v>
      </c>
      <c r="AG253" s="189" t="s">
        <v>296</v>
      </c>
      <c r="AH253" s="360" t="s">
        <v>2020</v>
      </c>
      <c r="AI253" s="189" t="s">
        <v>298</v>
      </c>
      <c r="AJ253" s="360" t="s">
        <v>2020</v>
      </c>
      <c r="AK253" s="189" t="s">
        <v>299</v>
      </c>
      <c r="AL253" s="360" t="s">
        <v>2020</v>
      </c>
      <c r="AM253" s="189" t="s">
        <v>300</v>
      </c>
      <c r="AN253" s="360" t="s">
        <v>2020</v>
      </c>
      <c r="AO253" s="189" t="s">
        <v>301</v>
      </c>
      <c r="AP253" s="360" t="s">
        <v>2020</v>
      </c>
      <c r="AQ253" s="192" t="s">
        <v>302</v>
      </c>
      <c r="AR253" s="360" t="s">
        <v>2020</v>
      </c>
      <c r="AS253" s="295" t="s">
        <v>287</v>
      </c>
      <c r="AT253" s="360"/>
      <c r="AU253" s="322"/>
      <c r="AV253" s="360" t="s">
        <v>2089</v>
      </c>
      <c r="AW253" s="160">
        <f t="shared" si="119"/>
        <v>16</v>
      </c>
      <c r="AX253" s="360" t="s">
        <v>2091</v>
      </c>
      <c r="AY253" s="160" t="str">
        <f t="shared" si="120"/>
        <v>tache16</v>
      </c>
      <c r="AZ253" s="360" t="s">
        <v>2091</v>
      </c>
      <c r="BA253" s="160" t="str">
        <f t="shared" si="121"/>
        <v>tache16</v>
      </c>
      <c r="BB253" s="360" t="s">
        <v>2091</v>
      </c>
      <c r="BC253" s="160" t="str">
        <f t="shared" si="122"/>
        <v>Importante</v>
      </c>
      <c r="BD253" s="360" t="s">
        <v>2091</v>
      </c>
      <c r="BE253" s="160" t="str">
        <f t="shared" si="123"/>
        <v>Terminer</v>
      </c>
      <c r="BF253" s="360" t="s">
        <v>2091</v>
      </c>
      <c r="BG253" s="160" t="str">
        <f t="shared" si="124"/>
        <v>Realisation</v>
      </c>
      <c r="BH253" s="360" t="s">
        <v>2091</v>
      </c>
      <c r="BI253" s="371" t="str">
        <f t="shared" ca="1" si="125"/>
        <v>2023/05/07</v>
      </c>
      <c r="BJ253" s="360" t="s">
        <v>2091</v>
      </c>
      <c r="BK253" s="329" t="str">
        <f t="shared" ca="1" si="126"/>
        <v>2023/05/12</v>
      </c>
      <c r="BL253" s="360" t="s">
        <v>2091</v>
      </c>
      <c r="BM253" s="329" t="str">
        <f t="shared" ca="1" si="127"/>
        <v>2023/05/13</v>
      </c>
      <c r="BN253" s="360" t="s">
        <v>2091</v>
      </c>
      <c r="BO253" s="329" t="str">
        <f t="shared" ca="1" si="128"/>
        <v>2023/05/14</v>
      </c>
      <c r="BP253" s="360" t="s">
        <v>2091</v>
      </c>
      <c r="BQ253" s="329" t="str">
        <f t="shared" ca="1" si="129"/>
        <v>2023/05/14</v>
      </c>
      <c r="BR253" s="360" t="s">
        <v>2093</v>
      </c>
      <c r="BS253" s="160">
        <f t="shared" si="130"/>
        <v>7</v>
      </c>
      <c r="BT253" s="160" t="s">
        <v>2021</v>
      </c>
      <c r="BU253" s="322" t="str">
        <f t="shared" ca="1" si="131"/>
        <v>INSERT INTO TACHES(numTache,nameTache,descriptionTache,prioTache,stateTache,categoryTache,dateCreateTache,dateInProgressTache,dateToTestTache,dateEndThTache,dateEndRealTache,idProjet) VALUES ('16','tache16','tache16','Importante','Terminer','Realisation','2023/05/07','2023/05/12','2023/05/13','2023/05/14','2023/05/14',7);</v>
      </c>
      <c r="BV253" s="322" t="s">
        <v>2500</v>
      </c>
    </row>
    <row r="254" spans="6:74" ht="20.05" customHeight="1" outlineLevel="1" thickBot="1" x14ac:dyDescent="0.35">
      <c r="F254" s="160">
        <f t="shared" si="142"/>
        <v>125</v>
      </c>
      <c r="G254" s="160">
        <f t="shared" si="142"/>
        <v>17</v>
      </c>
      <c r="H254" s="160" t="s">
        <v>2134</v>
      </c>
      <c r="I254" s="160" t="str">
        <f t="shared" si="116"/>
        <v>tache17</v>
      </c>
      <c r="J254" s="160" t="s">
        <v>1870</v>
      </c>
      <c r="K254" s="160" t="s">
        <v>2375</v>
      </c>
      <c r="L254" s="160" t="s">
        <v>1879</v>
      </c>
      <c r="M254" s="348">
        <v>45054</v>
      </c>
      <c r="N254" s="329">
        <f t="shared" si="146"/>
        <v>45059</v>
      </c>
      <c r="O254" s="329">
        <f t="shared" si="145"/>
        <v>45060</v>
      </c>
      <c r="P254" s="329">
        <f t="shared" si="145"/>
        <v>45061</v>
      </c>
      <c r="Q254" s="329">
        <v>45061</v>
      </c>
      <c r="R254" s="160">
        <f t="shared" si="141"/>
        <v>7</v>
      </c>
      <c r="S254" s="160">
        <f t="shared" si="117"/>
        <v>2</v>
      </c>
      <c r="T254" s="160" t="s">
        <v>1922</v>
      </c>
      <c r="U254" s="322" t="str">
        <f t="shared" si="118"/>
        <v>TACHES</v>
      </c>
      <c r="V254" s="160" t="s">
        <v>2088</v>
      </c>
      <c r="W254" s="189" t="s">
        <v>355</v>
      </c>
      <c r="X254" s="360" t="s">
        <v>2020</v>
      </c>
      <c r="Y254" s="189" t="s">
        <v>337</v>
      </c>
      <c r="Z254" s="360" t="s">
        <v>2020</v>
      </c>
      <c r="AA254" s="189" t="s">
        <v>340</v>
      </c>
      <c r="AB254" s="360" t="s">
        <v>2020</v>
      </c>
      <c r="AC254" s="189" t="s">
        <v>266</v>
      </c>
      <c r="AD254" s="360" t="s">
        <v>2020</v>
      </c>
      <c r="AE254" s="189" t="s">
        <v>244</v>
      </c>
      <c r="AF254" s="360" t="s">
        <v>2020</v>
      </c>
      <c r="AG254" s="189" t="s">
        <v>296</v>
      </c>
      <c r="AH254" s="360" t="s">
        <v>2020</v>
      </c>
      <c r="AI254" s="189" t="s">
        <v>298</v>
      </c>
      <c r="AJ254" s="360" t="s">
        <v>2020</v>
      </c>
      <c r="AK254" s="189" t="s">
        <v>299</v>
      </c>
      <c r="AL254" s="360" t="s">
        <v>2020</v>
      </c>
      <c r="AM254" s="189" t="s">
        <v>300</v>
      </c>
      <c r="AN254" s="360" t="s">
        <v>2020</v>
      </c>
      <c r="AO254" s="189" t="s">
        <v>301</v>
      </c>
      <c r="AP254" s="360" t="s">
        <v>2020</v>
      </c>
      <c r="AQ254" s="192" t="s">
        <v>302</v>
      </c>
      <c r="AR254" s="360" t="s">
        <v>2020</v>
      </c>
      <c r="AS254" s="295" t="s">
        <v>287</v>
      </c>
      <c r="AT254" s="360"/>
      <c r="AU254" s="322"/>
      <c r="AV254" s="360" t="s">
        <v>2089</v>
      </c>
      <c r="AW254" s="160">
        <f t="shared" si="119"/>
        <v>17</v>
      </c>
      <c r="AX254" s="360" t="s">
        <v>2091</v>
      </c>
      <c r="AY254" s="160" t="str">
        <f t="shared" si="120"/>
        <v>tache17</v>
      </c>
      <c r="AZ254" s="360" t="s">
        <v>2091</v>
      </c>
      <c r="BA254" s="160" t="str">
        <f t="shared" si="121"/>
        <v>tache17</v>
      </c>
      <c r="BB254" s="360" t="s">
        <v>2091</v>
      </c>
      <c r="BC254" s="160" t="str">
        <f t="shared" si="122"/>
        <v>Confort</v>
      </c>
      <c r="BD254" s="360" t="s">
        <v>2091</v>
      </c>
      <c r="BE254" s="160" t="str">
        <f t="shared" si="123"/>
        <v>Terminer</v>
      </c>
      <c r="BF254" s="360" t="s">
        <v>2091</v>
      </c>
      <c r="BG254" s="160" t="str">
        <f t="shared" si="124"/>
        <v>Realisation</v>
      </c>
      <c r="BH254" s="360" t="s">
        <v>2091</v>
      </c>
      <c r="BI254" s="371" t="str">
        <f t="shared" ca="1" si="125"/>
        <v>2023/05/08</v>
      </c>
      <c r="BJ254" s="360" t="s">
        <v>2091</v>
      </c>
      <c r="BK254" s="329" t="str">
        <f t="shared" ca="1" si="126"/>
        <v>2023/05/13</v>
      </c>
      <c r="BL254" s="360" t="s">
        <v>2091</v>
      </c>
      <c r="BM254" s="329" t="str">
        <f t="shared" ca="1" si="127"/>
        <v>2023/05/14</v>
      </c>
      <c r="BN254" s="360" t="s">
        <v>2091</v>
      </c>
      <c r="BO254" s="329" t="str">
        <f t="shared" ca="1" si="128"/>
        <v>2023/05/15</v>
      </c>
      <c r="BP254" s="360" t="s">
        <v>2091</v>
      </c>
      <c r="BQ254" s="329" t="str">
        <f t="shared" ca="1" si="129"/>
        <v>2023/05/15</v>
      </c>
      <c r="BR254" s="360" t="s">
        <v>2093</v>
      </c>
      <c r="BS254" s="160">
        <f t="shared" si="130"/>
        <v>7</v>
      </c>
      <c r="BT254" s="160" t="s">
        <v>2021</v>
      </c>
      <c r="BU254" s="322" t="str">
        <f t="shared" ca="1" si="131"/>
        <v>INSERT INTO TACHES(numTache,nameTache,descriptionTache,prioTache,stateTache,categoryTache,dateCreateTache,dateInProgressTache,dateToTestTache,dateEndThTache,dateEndRealTache,idProjet) VALUES ('17','tache17','tache17','Confort','Terminer','Realisation','2023/05/08','2023/05/13','2023/05/14','2023/05/15','2023/05/15',7);</v>
      </c>
      <c r="BV254" s="322" t="s">
        <v>2501</v>
      </c>
    </row>
    <row r="255" spans="6:74" ht="20.05" customHeight="1" outlineLevel="1" thickBot="1" x14ac:dyDescent="0.35">
      <c r="F255" s="160">
        <f t="shared" si="142"/>
        <v>126</v>
      </c>
      <c r="G255" s="160">
        <f t="shared" si="142"/>
        <v>18</v>
      </c>
      <c r="H255" s="160" t="s">
        <v>2135</v>
      </c>
      <c r="I255" s="160" t="str">
        <f t="shared" si="116"/>
        <v>tache18</v>
      </c>
      <c r="J255" s="160" t="s">
        <v>1867</v>
      </c>
      <c r="K255" s="160" t="s">
        <v>2375</v>
      </c>
      <c r="L255" s="160" t="s">
        <v>1879</v>
      </c>
      <c r="M255" s="348">
        <v>45044</v>
      </c>
      <c r="N255" s="329">
        <v>45060</v>
      </c>
      <c r="O255" s="329">
        <f t="shared" si="145"/>
        <v>45061</v>
      </c>
      <c r="P255" s="329">
        <v>45071</v>
      </c>
      <c r="Q255" s="329">
        <v>45061</v>
      </c>
      <c r="R255" s="160">
        <f t="shared" si="141"/>
        <v>7</v>
      </c>
      <c r="S255" s="160">
        <f t="shared" si="117"/>
        <v>2</v>
      </c>
      <c r="T255" s="160" t="s">
        <v>1922</v>
      </c>
      <c r="U255" s="322" t="str">
        <f t="shared" si="118"/>
        <v>TACHES</v>
      </c>
      <c r="V255" s="160" t="s">
        <v>2088</v>
      </c>
      <c r="W255" s="189" t="s">
        <v>355</v>
      </c>
      <c r="X255" s="360" t="s">
        <v>2020</v>
      </c>
      <c r="Y255" s="189" t="s">
        <v>337</v>
      </c>
      <c r="Z255" s="360" t="s">
        <v>2020</v>
      </c>
      <c r="AA255" s="189" t="s">
        <v>340</v>
      </c>
      <c r="AB255" s="360" t="s">
        <v>2020</v>
      </c>
      <c r="AC255" s="189" t="s">
        <v>266</v>
      </c>
      <c r="AD255" s="360" t="s">
        <v>2020</v>
      </c>
      <c r="AE255" s="189" t="s">
        <v>244</v>
      </c>
      <c r="AF255" s="360" t="s">
        <v>2020</v>
      </c>
      <c r="AG255" s="189" t="s">
        <v>296</v>
      </c>
      <c r="AH255" s="360" t="s">
        <v>2020</v>
      </c>
      <c r="AI255" s="189" t="s">
        <v>298</v>
      </c>
      <c r="AJ255" s="360" t="s">
        <v>2020</v>
      </c>
      <c r="AK255" s="189" t="s">
        <v>299</v>
      </c>
      <c r="AL255" s="360" t="s">
        <v>2020</v>
      </c>
      <c r="AM255" s="189" t="s">
        <v>300</v>
      </c>
      <c r="AN255" s="360" t="s">
        <v>2020</v>
      </c>
      <c r="AO255" s="189" t="s">
        <v>301</v>
      </c>
      <c r="AP255" s="360" t="s">
        <v>2020</v>
      </c>
      <c r="AQ255" s="192" t="s">
        <v>302</v>
      </c>
      <c r="AR255" s="360" t="s">
        <v>2020</v>
      </c>
      <c r="AS255" s="295" t="s">
        <v>287</v>
      </c>
      <c r="AT255" s="360"/>
      <c r="AU255" s="322"/>
      <c r="AV255" s="360" t="s">
        <v>2089</v>
      </c>
      <c r="AW255" s="160">
        <f t="shared" si="119"/>
        <v>18</v>
      </c>
      <c r="AX255" s="360" t="s">
        <v>2091</v>
      </c>
      <c r="AY255" s="160" t="str">
        <f t="shared" si="120"/>
        <v>tache18</v>
      </c>
      <c r="AZ255" s="360" t="s">
        <v>2091</v>
      </c>
      <c r="BA255" s="160" t="str">
        <f t="shared" si="121"/>
        <v>tache18</v>
      </c>
      <c r="BB255" s="360" t="s">
        <v>2091</v>
      </c>
      <c r="BC255" s="160" t="str">
        <f t="shared" si="122"/>
        <v>Vitale</v>
      </c>
      <c r="BD255" s="360" t="s">
        <v>2091</v>
      </c>
      <c r="BE255" s="160" t="str">
        <f t="shared" si="123"/>
        <v>Terminer</v>
      </c>
      <c r="BF255" s="360" t="s">
        <v>2091</v>
      </c>
      <c r="BG255" s="160" t="str">
        <f t="shared" si="124"/>
        <v>Realisation</v>
      </c>
      <c r="BH255" s="360" t="s">
        <v>2091</v>
      </c>
      <c r="BI255" s="371" t="str">
        <f t="shared" ca="1" si="125"/>
        <v>2023/04/28</v>
      </c>
      <c r="BJ255" s="360" t="s">
        <v>2091</v>
      </c>
      <c r="BK255" s="329" t="str">
        <f t="shared" ca="1" si="126"/>
        <v>2023/05/14</v>
      </c>
      <c r="BL255" s="360" t="s">
        <v>2091</v>
      </c>
      <c r="BM255" s="329" t="str">
        <f t="shared" ca="1" si="127"/>
        <v>2023/05/15</v>
      </c>
      <c r="BN255" s="360" t="s">
        <v>2091</v>
      </c>
      <c r="BO255" s="329" t="str">
        <f t="shared" ca="1" si="128"/>
        <v>2023/05/25</v>
      </c>
      <c r="BP255" s="360" t="s">
        <v>2091</v>
      </c>
      <c r="BQ255" s="329" t="str">
        <f t="shared" ca="1" si="129"/>
        <v>2023/05/15</v>
      </c>
      <c r="BR255" s="360" t="s">
        <v>2093</v>
      </c>
      <c r="BS255" s="160">
        <f t="shared" si="130"/>
        <v>7</v>
      </c>
      <c r="BT255" s="160" t="s">
        <v>2021</v>
      </c>
      <c r="BU255" s="322" t="str">
        <f t="shared" ca="1" si="131"/>
        <v>INSERT INTO TACHES(numTache,nameTache,descriptionTache,prioTache,stateTache,categoryTache,dateCreateTache,dateInProgressTache,dateToTestTache,dateEndThTache,dateEndRealTache,idProjet) VALUES ('18','tache18','tache18','Vitale','Terminer','Realisation','2023/04/28','2023/05/14','2023/05/15','2023/05/25','2023/05/15',7);</v>
      </c>
      <c r="BV255" s="322" t="s">
        <v>2502</v>
      </c>
    </row>
    <row r="256" spans="6:74" ht="28.2" customHeight="1" thickBot="1" x14ac:dyDescent="0.35">
      <c r="F256" s="160">
        <f t="shared" si="142"/>
        <v>127</v>
      </c>
      <c r="G256" s="160">
        <f t="shared" si="142"/>
        <v>19</v>
      </c>
      <c r="H256" s="160" t="s">
        <v>2136</v>
      </c>
      <c r="I256" s="160" t="str">
        <f t="shared" si="116"/>
        <v>tache19</v>
      </c>
      <c r="J256" s="160" t="s">
        <v>1867</v>
      </c>
      <c r="K256" s="160" t="s">
        <v>2375</v>
      </c>
      <c r="L256" s="160" t="s">
        <v>1880</v>
      </c>
      <c r="M256" s="348">
        <v>45044</v>
      </c>
      <c r="N256" s="348">
        <v>45061</v>
      </c>
      <c r="O256" s="348">
        <v>45061</v>
      </c>
      <c r="P256" s="348">
        <v>45063</v>
      </c>
      <c r="Q256" s="348">
        <v>45063</v>
      </c>
      <c r="R256" s="160">
        <f t="shared" si="141"/>
        <v>7</v>
      </c>
      <c r="S256" s="160">
        <f t="shared" si="117"/>
        <v>4</v>
      </c>
      <c r="T256" s="160" t="s">
        <v>1922</v>
      </c>
      <c r="U256" s="322" t="str">
        <f t="shared" si="118"/>
        <v>TACHES</v>
      </c>
      <c r="V256" s="160" t="s">
        <v>2088</v>
      </c>
      <c r="W256" s="189" t="s">
        <v>355</v>
      </c>
      <c r="X256" s="360" t="s">
        <v>2020</v>
      </c>
      <c r="Y256" s="189" t="s">
        <v>337</v>
      </c>
      <c r="Z256" s="360" t="s">
        <v>2020</v>
      </c>
      <c r="AA256" s="189" t="s">
        <v>340</v>
      </c>
      <c r="AB256" s="360" t="s">
        <v>2020</v>
      </c>
      <c r="AC256" s="189" t="s">
        <v>266</v>
      </c>
      <c r="AD256" s="360" t="s">
        <v>2020</v>
      </c>
      <c r="AE256" s="189" t="s">
        <v>244</v>
      </c>
      <c r="AF256" s="360" t="s">
        <v>2020</v>
      </c>
      <c r="AG256" s="189" t="s">
        <v>296</v>
      </c>
      <c r="AH256" s="360" t="s">
        <v>2020</v>
      </c>
      <c r="AI256" s="189" t="s">
        <v>298</v>
      </c>
      <c r="AJ256" s="360" t="s">
        <v>2020</v>
      </c>
      <c r="AK256" s="189" t="s">
        <v>299</v>
      </c>
      <c r="AL256" s="360" t="s">
        <v>2020</v>
      </c>
      <c r="AM256" s="189" t="s">
        <v>300</v>
      </c>
      <c r="AN256" s="360" t="s">
        <v>2020</v>
      </c>
      <c r="AO256" s="189" t="s">
        <v>301</v>
      </c>
      <c r="AP256" s="360" t="s">
        <v>2020</v>
      </c>
      <c r="AQ256" s="192" t="s">
        <v>302</v>
      </c>
      <c r="AR256" s="360" t="s">
        <v>2020</v>
      </c>
      <c r="AS256" s="295" t="s">
        <v>287</v>
      </c>
      <c r="AT256" s="360"/>
      <c r="AU256" s="322"/>
      <c r="AV256" s="360" t="s">
        <v>2089</v>
      </c>
      <c r="AW256" s="160">
        <f t="shared" si="119"/>
        <v>19</v>
      </c>
      <c r="AX256" s="360" t="s">
        <v>2091</v>
      </c>
      <c r="AY256" s="160" t="str">
        <f t="shared" si="120"/>
        <v>tache19</v>
      </c>
      <c r="AZ256" s="360" t="s">
        <v>2091</v>
      </c>
      <c r="BA256" s="160" t="str">
        <f t="shared" si="121"/>
        <v>tache19</v>
      </c>
      <c r="BB256" s="360" t="s">
        <v>2091</v>
      </c>
      <c r="BC256" s="160" t="str">
        <f t="shared" si="122"/>
        <v>Vitale</v>
      </c>
      <c r="BD256" s="360" t="s">
        <v>2091</v>
      </c>
      <c r="BE256" s="160" t="str">
        <f t="shared" si="123"/>
        <v>Terminer</v>
      </c>
      <c r="BF256" s="360" t="s">
        <v>2091</v>
      </c>
      <c r="BG256" s="160" t="str">
        <f t="shared" si="124"/>
        <v>Exploitation</v>
      </c>
      <c r="BH256" s="360" t="s">
        <v>2091</v>
      </c>
      <c r="BI256" s="371" t="str">
        <f ca="1">IF(AND(M256&lt;=TODAY(),M256&lt;&gt;""),TEXT(M256,"aaaa/mm/jj"),"")</f>
        <v>2023/04/28</v>
      </c>
      <c r="BJ256" s="360" t="s">
        <v>2091</v>
      </c>
      <c r="BK256" s="329" t="str">
        <f t="shared" ca="1" si="126"/>
        <v>2023/05/15</v>
      </c>
      <c r="BL256" s="360" t="s">
        <v>2091</v>
      </c>
      <c r="BM256" s="329" t="str">
        <f t="shared" ca="1" si="127"/>
        <v>2023/05/15</v>
      </c>
      <c r="BN256" s="360" t="s">
        <v>2091</v>
      </c>
      <c r="BO256" s="329" t="str">
        <f t="shared" ca="1" si="128"/>
        <v>2023/05/17</v>
      </c>
      <c r="BP256" s="360" t="s">
        <v>2091</v>
      </c>
      <c r="BQ256" s="329" t="str">
        <f t="shared" ca="1" si="129"/>
        <v>2023/05/17</v>
      </c>
      <c r="BR256" s="360" t="s">
        <v>2093</v>
      </c>
      <c r="BS256" s="160">
        <f t="shared" si="130"/>
        <v>7</v>
      </c>
      <c r="BT256" s="160" t="s">
        <v>2021</v>
      </c>
      <c r="BU256" s="322" t="str">
        <f t="shared" ca="1" si="131"/>
        <v>INSERT INTO TACHES(numTache,nameTache,descriptionTache,prioTache,stateTache,categoryTache,dateCreateTache,dateInProgressTache,dateToTestTache,dateEndThTache,dateEndRealTache,idProjet) VALUES ('19','tache19','tache19','Vitale','Terminer','Exploitation','2023/04/28','2023/05/15','2023/05/15','2023/05/17','2023/05/17',7);</v>
      </c>
      <c r="BV256" s="322" t="s">
        <v>2503</v>
      </c>
    </row>
    <row r="257" spans="5:52" ht="20.05" customHeight="1" x14ac:dyDescent="0.3"/>
    <row r="258" spans="5:52" ht="20.05" customHeight="1" x14ac:dyDescent="0.3"/>
    <row r="259" spans="5:52" ht="20.05" customHeight="1" x14ac:dyDescent="0.3"/>
    <row r="260" spans="5:52" ht="20.05" customHeight="1" x14ac:dyDescent="0.3"/>
    <row r="261" spans="5:52" ht="20.05" customHeight="1" x14ac:dyDescent="0.3"/>
    <row r="263" spans="5:52" ht="28.05" customHeight="1" x14ac:dyDescent="0.3"/>
    <row r="264" spans="5:52" ht="30.05" customHeight="1" thickBot="1" x14ac:dyDescent="0.35">
      <c r="E264" s="160" t="s">
        <v>374</v>
      </c>
      <c r="F264" s="274" t="s">
        <v>346</v>
      </c>
      <c r="G264" s="197" t="s">
        <v>168</v>
      </c>
      <c r="H264" s="354" t="s">
        <v>1889</v>
      </c>
      <c r="I264" s="197" t="s">
        <v>303</v>
      </c>
      <c r="J264" s="199" t="s">
        <v>213</v>
      </c>
      <c r="K264" s="197" t="s">
        <v>211</v>
      </c>
      <c r="L264" s="197" t="s">
        <v>304</v>
      </c>
      <c r="M264" s="294" t="s">
        <v>287</v>
      </c>
      <c r="N264" s="294" t="s">
        <v>349</v>
      </c>
      <c r="T264" s="160" t="s">
        <v>1922</v>
      </c>
      <c r="U264" s="322" t="str">
        <f>E264</f>
        <v>DOCUMENTS</v>
      </c>
      <c r="V264" s="160" t="s">
        <v>2088</v>
      </c>
      <c r="W264" s="197" t="s">
        <v>168</v>
      </c>
      <c r="X264" s="360" t="s">
        <v>2020</v>
      </c>
      <c r="Y264" s="197" t="s">
        <v>303</v>
      </c>
      <c r="Z264" s="360" t="s">
        <v>2020</v>
      </c>
      <c r="AA264" s="199" t="s">
        <v>213</v>
      </c>
      <c r="AB264" s="360" t="s">
        <v>2020</v>
      </c>
      <c r="AC264" s="197" t="s">
        <v>211</v>
      </c>
      <c r="AD264" s="360" t="s">
        <v>2020</v>
      </c>
      <c r="AE264" s="197" t="s">
        <v>304</v>
      </c>
      <c r="AF264" s="360" t="s">
        <v>2020</v>
      </c>
      <c r="AG264" s="294" t="s">
        <v>287</v>
      </c>
      <c r="AH264" s="360" t="s">
        <v>2020</v>
      </c>
      <c r="AI264" s="294" t="s">
        <v>349</v>
      </c>
      <c r="AJ264" s="360" t="s">
        <v>2089</v>
      </c>
      <c r="AK264" s="197" t="s">
        <v>168</v>
      </c>
      <c r="AL264" s="360" t="s">
        <v>2091</v>
      </c>
      <c r="AM264" s="197" t="s">
        <v>303</v>
      </c>
      <c r="AN264" s="360" t="s">
        <v>2091</v>
      </c>
      <c r="AO264" s="199" t="s">
        <v>213</v>
      </c>
      <c r="AP264" s="360" t="s">
        <v>2091</v>
      </c>
      <c r="AQ264" s="197" t="s">
        <v>211</v>
      </c>
      <c r="AR264" s="360" t="s">
        <v>2091</v>
      </c>
      <c r="AS264" s="197" t="s">
        <v>304</v>
      </c>
      <c r="AT264" s="360" t="s">
        <v>2093</v>
      </c>
      <c r="AU264" s="294" t="s">
        <v>287</v>
      </c>
      <c r="AV264" s="360" t="s">
        <v>2020</v>
      </c>
      <c r="AW264" s="294" t="s">
        <v>349</v>
      </c>
      <c r="AX264" s="160" t="s">
        <v>2021</v>
      </c>
      <c r="AY264" s="322"/>
    </row>
    <row r="265" spans="5:52" ht="20.05" customHeight="1" outlineLevel="1" thickBot="1" x14ac:dyDescent="0.35">
      <c r="F265" s="160">
        <v>1</v>
      </c>
      <c r="G265" s="160" t="s">
        <v>104</v>
      </c>
      <c r="H265" s="354">
        <f>COUNTIF(G265,G265)</f>
        <v>1</v>
      </c>
      <c r="I265" s="160" t="str">
        <f t="shared" ref="I265:I328" si="147">UPPER(MID(G265,1,3)&amp;H265&amp;"-"&amp;SUBSTITUTE(_xlfn.XLOOKUP(M265,F$117:F$124,G$117:G$124)," ",""))</f>
        <v>DEV1-MUNICIPALITÉDEPARIS11E-PROJ231</v>
      </c>
      <c r="J265" s="160" t="s">
        <v>1891</v>
      </c>
      <c r="K265" s="329">
        <f>IF(N265=0,"",_xlfn.XLOOKUP(N265,F$32:F$54,G$32:G$54))</f>
        <v>44900</v>
      </c>
      <c r="L265" s="160" t="s">
        <v>2137</v>
      </c>
      <c r="M265" s="160">
        <v>1</v>
      </c>
      <c r="N265" s="160">
        <v>1</v>
      </c>
      <c r="S265" s="353"/>
      <c r="T265" s="160" t="s">
        <v>1922</v>
      </c>
      <c r="U265" s="160" t="str">
        <f>U264</f>
        <v>DOCUMENTS</v>
      </c>
      <c r="V265" s="160" t="s">
        <v>2088</v>
      </c>
      <c r="W265" s="197" t="s">
        <v>168</v>
      </c>
      <c r="X265" s="360" t="s">
        <v>2020</v>
      </c>
      <c r="Y265" s="197" t="s">
        <v>303</v>
      </c>
      <c r="Z265" s="360" t="s">
        <v>2020</v>
      </c>
      <c r="AA265" s="199" t="s">
        <v>213</v>
      </c>
      <c r="AB265" s="360" t="s">
        <v>2020</v>
      </c>
      <c r="AC265" s="197" t="s">
        <v>211</v>
      </c>
      <c r="AD265" s="360" t="s">
        <v>2020</v>
      </c>
      <c r="AE265" s="197" t="s">
        <v>304</v>
      </c>
      <c r="AF265" s="360" t="s">
        <v>2020</v>
      </c>
      <c r="AG265" s="294" t="s">
        <v>287</v>
      </c>
      <c r="AH265" s="360" t="s">
        <v>2020</v>
      </c>
      <c r="AI265" s="294" t="s">
        <v>349</v>
      </c>
      <c r="AJ265" s="360" t="s">
        <v>2089</v>
      </c>
      <c r="AK265" s="160" t="str">
        <f>G265</f>
        <v>Devis</v>
      </c>
      <c r="AL265" s="360" t="s">
        <v>2091</v>
      </c>
      <c r="AM265" s="160" t="str">
        <f>I265</f>
        <v>DEV1-MUNICIPALITÉDEPARIS11E-PROJ231</v>
      </c>
      <c r="AN265" s="360" t="s">
        <v>2091</v>
      </c>
      <c r="AO265" s="160" t="str">
        <f>J265</f>
        <v>Proposition commerciale du projet</v>
      </c>
      <c r="AP265" s="360" t="s">
        <v>2091</v>
      </c>
      <c r="AQ265" s="160" t="str">
        <f ca="1">IF(AND(K265&lt;=TODAY(),K265&lt;&gt;""),TEXT(K265,"aaaa/mm/jj"),"")</f>
        <v>2022/12/05</v>
      </c>
      <c r="AR265" s="360" t="s">
        <v>2091</v>
      </c>
      <c r="AS265" s="160" t="str">
        <f>L265</f>
        <v>https:\\localhost\testPathFile1</v>
      </c>
      <c r="AT265" s="360" t="s">
        <v>2093</v>
      </c>
      <c r="AU265" s="160">
        <f>M265</f>
        <v>1</v>
      </c>
      <c r="AV265" s="360" t="s">
        <v>2020</v>
      </c>
      <c r="AW265" s="160">
        <f>N265</f>
        <v>1</v>
      </c>
      <c r="AX265" s="160" t="s">
        <v>2021</v>
      </c>
      <c r="AY265" s="160" t="str">
        <f ca="1">T265&amp;U265&amp;V265&amp;W265&amp;X265&amp;Y265&amp;Z265&amp;AA265&amp;AB265&amp;AC265&amp;AD265&amp;AE265&amp;AF265&amp;AG265&amp;AH265&amp;AI265&amp;AJ265&amp;AK265&amp;AL265&amp;AM265&amp;AN265&amp;AO265&amp;AP265&amp;AQ265&amp;AR265&amp;AS264&amp;AT265&amp;AU265&amp;AV265&amp;AW265&amp;AX265</f>
        <v>INSERT INTO DOCUMENTS(catDoc,nameDoc,descriptionDoc,dateDoc,pathDoc,idProjet,idDeGeneration) VALUES ('Devis','DEV1-MUNICIPALITÉDEPARIS11E-PROJ231','Proposition commerciale du projet','2022/12/05','pathDoc',1,1);</v>
      </c>
      <c r="AZ265" s="160" t="s">
        <v>2222</v>
      </c>
    </row>
    <row r="266" spans="5:52" ht="20.05" customHeight="1" outlineLevel="1" thickBot="1" x14ac:dyDescent="0.35">
      <c r="F266" s="160">
        <f>F265+1</f>
        <v>2</v>
      </c>
      <c r="G266" s="160" t="s">
        <v>105</v>
      </c>
      <c r="H266" s="354">
        <f>COUNTIF(G$265:G266,G266)</f>
        <v>1</v>
      </c>
      <c r="I266" s="160" t="str">
        <f t="shared" si="147"/>
        <v>FAC1-MUNICIPALITÉDEPARIS11E-PROJ231</v>
      </c>
      <c r="J266" s="160" t="s">
        <v>2230</v>
      </c>
      <c r="K266" s="329">
        <f>IF(N266=0,"",_xlfn.XLOOKUP(N266,F$32:F$54,G$32:G$54))</f>
        <v>44905</v>
      </c>
      <c r="L266" s="160" t="s">
        <v>2138</v>
      </c>
      <c r="M266" s="160">
        <v>1</v>
      </c>
      <c r="N266" s="160">
        <v>3</v>
      </c>
      <c r="S266" s="353"/>
      <c r="T266" s="160" t="s">
        <v>1922</v>
      </c>
      <c r="U266" s="160" t="str">
        <f t="shared" ref="U266:U329" si="148">U265</f>
        <v>DOCUMENTS</v>
      </c>
      <c r="V266" s="160" t="s">
        <v>2088</v>
      </c>
      <c r="W266" s="197" t="s">
        <v>168</v>
      </c>
      <c r="X266" s="360" t="s">
        <v>2020</v>
      </c>
      <c r="Y266" s="197" t="s">
        <v>303</v>
      </c>
      <c r="Z266" s="360" t="s">
        <v>2020</v>
      </c>
      <c r="AA266" s="199" t="s">
        <v>213</v>
      </c>
      <c r="AB266" s="360" t="s">
        <v>2020</v>
      </c>
      <c r="AC266" s="197" t="s">
        <v>211</v>
      </c>
      <c r="AD266" s="360" t="s">
        <v>2020</v>
      </c>
      <c r="AE266" s="197" t="s">
        <v>304</v>
      </c>
      <c r="AF266" s="360" t="s">
        <v>2020</v>
      </c>
      <c r="AG266" s="294" t="s">
        <v>287</v>
      </c>
      <c r="AH266" s="360" t="s">
        <v>2020</v>
      </c>
      <c r="AI266" s="294" t="s">
        <v>349</v>
      </c>
      <c r="AJ266" s="360" t="s">
        <v>2089</v>
      </c>
      <c r="AK266" s="160" t="str">
        <f t="shared" ref="AK266:AK329" si="149">G266</f>
        <v>Facture</v>
      </c>
      <c r="AL266" s="360" t="s">
        <v>2091</v>
      </c>
      <c r="AM266" s="160" t="str">
        <f t="shared" ref="AM266:AM329" si="150">I266</f>
        <v>FAC1-MUNICIPALITÉDEPARIS11E-PROJ231</v>
      </c>
      <c r="AN266" s="360" t="s">
        <v>2091</v>
      </c>
      <c r="AO266" s="160" t="str">
        <f t="shared" ref="AO266:AO329" si="151">J266</f>
        <v>Facture accompte pour démarrer les travaux</v>
      </c>
      <c r="AP266" s="360" t="s">
        <v>2091</v>
      </c>
      <c r="AQ266" s="160" t="str">
        <f t="shared" ref="AQ266:AQ329" ca="1" si="152">IF(AND(K266&lt;=TODAY(),K266&lt;&gt;""),TEXT(K266,"aaaa/mm/jj"),"")</f>
        <v>2022/12/10</v>
      </c>
      <c r="AR266" s="360" t="s">
        <v>2091</v>
      </c>
      <c r="AS266" s="160" t="str">
        <f t="shared" ref="AS266:AS329" si="153">L266</f>
        <v>https:\\localhost\testPathFile2</v>
      </c>
      <c r="AT266" s="360" t="s">
        <v>2093</v>
      </c>
      <c r="AU266" s="160">
        <f t="shared" ref="AU266:AU329" si="154">M266</f>
        <v>1</v>
      </c>
      <c r="AV266" s="360" t="s">
        <v>2020</v>
      </c>
      <c r="AW266" s="160">
        <f t="shared" ref="AW266:AW326" si="155">N266</f>
        <v>3</v>
      </c>
      <c r="AX266" s="160" t="s">
        <v>2021</v>
      </c>
      <c r="AY266" s="160" t="str">
        <f t="shared" ref="AY266:AY329" ca="1" si="156">T266&amp;U266&amp;V266&amp;W266&amp;X266&amp;Y266&amp;Z266&amp;AA266&amp;AB266&amp;AC266&amp;AD266&amp;AE266&amp;AF266&amp;AG266&amp;AH266&amp;AI266&amp;AJ266&amp;AK266&amp;AL266&amp;AM266&amp;AN266&amp;AO266&amp;AP266&amp;AQ266&amp;AR266&amp;AS265&amp;AT266&amp;AU266&amp;AV266&amp;AW266&amp;AX266</f>
        <v>INSERT INTO DOCUMENTS(catDoc,nameDoc,descriptionDoc,dateDoc,pathDoc,idProjet,idDeGeneration) VALUES ('Facture','FAC1-MUNICIPALITÉDEPARIS11E-PROJ231','Facture accompte pour démarrer les travaux','2022/12/10','https:\\localhost\testPathFile1',1,3);</v>
      </c>
      <c r="AZ266" s="160" t="s">
        <v>2232</v>
      </c>
    </row>
    <row r="267" spans="5:52" ht="32.6" customHeight="1" outlineLevel="1" thickBot="1" x14ac:dyDescent="0.35">
      <c r="F267" s="160">
        <f t="shared" ref="F267:F330" si="157">F266+1</f>
        <v>3</v>
      </c>
      <c r="G267" s="160" t="s">
        <v>106</v>
      </c>
      <c r="H267" s="354">
        <f>COUNTIF(G$265:G267,G267)</f>
        <v>1</v>
      </c>
      <c r="I267" s="160" t="str">
        <f t="shared" si="147"/>
        <v>PLA1-MUNICIPALITÉDEPARIS11E-PROJ231</v>
      </c>
      <c r="J267" s="160" t="s">
        <v>1893</v>
      </c>
      <c r="K267" s="329">
        <v>44915</v>
      </c>
      <c r="L267" s="160" t="s">
        <v>2139</v>
      </c>
      <c r="M267" s="160">
        <v>1</v>
      </c>
      <c r="N267" s="160">
        <v>0</v>
      </c>
      <c r="S267" s="353"/>
      <c r="T267" s="160" t="s">
        <v>1922</v>
      </c>
      <c r="U267" s="160" t="str">
        <f t="shared" si="148"/>
        <v>DOCUMENTS</v>
      </c>
      <c r="V267" s="160" t="s">
        <v>2088</v>
      </c>
      <c r="W267" s="197" t="s">
        <v>168</v>
      </c>
      <c r="X267" s="360" t="s">
        <v>2020</v>
      </c>
      <c r="Y267" s="197" t="s">
        <v>303</v>
      </c>
      <c r="Z267" s="360" t="s">
        <v>2020</v>
      </c>
      <c r="AA267" s="199" t="s">
        <v>213</v>
      </c>
      <c r="AB267" s="360" t="s">
        <v>2020</v>
      </c>
      <c r="AC267" s="197" t="s">
        <v>211</v>
      </c>
      <c r="AD267" s="360" t="s">
        <v>2020</v>
      </c>
      <c r="AE267" s="197" t="s">
        <v>304</v>
      </c>
      <c r="AF267" s="360" t="s">
        <v>2020</v>
      </c>
      <c r="AG267" s="294" t="s">
        <v>287</v>
      </c>
      <c r="AH267" s="360" t="s">
        <v>2020</v>
      </c>
      <c r="AI267" s="294" t="s">
        <v>349</v>
      </c>
      <c r="AJ267" s="360" t="s">
        <v>2089</v>
      </c>
      <c r="AK267" s="160" t="str">
        <f t="shared" si="149"/>
        <v>Plan</v>
      </c>
      <c r="AL267" s="360" t="s">
        <v>2091</v>
      </c>
      <c r="AM267" s="160" t="str">
        <f t="shared" si="150"/>
        <v>PLA1-MUNICIPALITÉDEPARIS11E-PROJ231</v>
      </c>
      <c r="AN267" s="360" t="s">
        <v>2091</v>
      </c>
      <c r="AO267" s="160" t="str">
        <f t="shared" si="151"/>
        <v>Plan de face - etc</v>
      </c>
      <c r="AP267" s="360" t="s">
        <v>2091</v>
      </c>
      <c r="AQ267" s="160" t="str">
        <f t="shared" ca="1" si="152"/>
        <v>2022/12/20</v>
      </c>
      <c r="AR267" s="360" t="s">
        <v>2091</v>
      </c>
      <c r="AS267" s="160" t="str">
        <f t="shared" si="153"/>
        <v>https:\\localhost\testPathFile3</v>
      </c>
      <c r="AT267" s="360" t="s">
        <v>2093</v>
      </c>
      <c r="AU267" s="160">
        <f t="shared" si="154"/>
        <v>1</v>
      </c>
      <c r="AV267" s="360" t="s">
        <v>2020</v>
      </c>
      <c r="AW267" s="360" t="s">
        <v>1959</v>
      </c>
      <c r="AX267" s="160" t="s">
        <v>2021</v>
      </c>
      <c r="AY267" s="160" t="str">
        <f t="shared" ca="1" si="156"/>
        <v>INSERT INTO DOCUMENTS(catDoc,nameDoc,descriptionDoc,dateDoc,pathDoc,idProjet,idDeGeneration) VALUES ('Plan','PLA1-MUNICIPALITÉDEPARIS11E-PROJ231','Plan de face - etc','2022/12/20','https:\\localhost\testPathFile2',1,NULL);</v>
      </c>
      <c r="AZ267" s="160" t="s">
        <v>2247</v>
      </c>
    </row>
    <row r="268" spans="5:52" ht="25.85" customHeight="1" outlineLevel="1" thickBot="1" x14ac:dyDescent="0.35">
      <c r="F268" s="160">
        <f t="shared" si="157"/>
        <v>4</v>
      </c>
      <c r="G268" s="160" t="s">
        <v>106</v>
      </c>
      <c r="H268" s="354">
        <f>COUNTIF(G$265:G268,G268)</f>
        <v>2</v>
      </c>
      <c r="I268" s="160" t="str">
        <f t="shared" si="147"/>
        <v>PLA2-MUNICIPALITÉDEPARIS11E-PROJ231</v>
      </c>
      <c r="J268" s="160" t="s">
        <v>1894</v>
      </c>
      <c r="K268" s="329">
        <v>44915</v>
      </c>
      <c r="L268" s="160" t="s">
        <v>2140</v>
      </c>
      <c r="M268" s="160">
        <v>1</v>
      </c>
      <c r="N268" s="160">
        <v>0</v>
      </c>
      <c r="S268" s="353"/>
      <c r="T268" s="160" t="s">
        <v>1922</v>
      </c>
      <c r="U268" s="160" t="str">
        <f t="shared" si="148"/>
        <v>DOCUMENTS</v>
      </c>
      <c r="V268" s="160" t="s">
        <v>2088</v>
      </c>
      <c r="W268" s="197" t="s">
        <v>168</v>
      </c>
      <c r="X268" s="360" t="s">
        <v>2020</v>
      </c>
      <c r="Y268" s="197" t="s">
        <v>303</v>
      </c>
      <c r="Z268" s="360" t="s">
        <v>2020</v>
      </c>
      <c r="AA268" s="199" t="s">
        <v>213</v>
      </c>
      <c r="AB268" s="360" t="s">
        <v>2020</v>
      </c>
      <c r="AC268" s="197" t="s">
        <v>211</v>
      </c>
      <c r="AD268" s="360" t="s">
        <v>2020</v>
      </c>
      <c r="AE268" s="197" t="s">
        <v>304</v>
      </c>
      <c r="AF268" s="360" t="s">
        <v>2020</v>
      </c>
      <c r="AG268" s="294" t="s">
        <v>287</v>
      </c>
      <c r="AH268" s="360" t="s">
        <v>2020</v>
      </c>
      <c r="AI268" s="294" t="s">
        <v>349</v>
      </c>
      <c r="AJ268" s="360" t="s">
        <v>2089</v>
      </c>
      <c r="AK268" s="160" t="str">
        <f t="shared" si="149"/>
        <v>Plan</v>
      </c>
      <c r="AL268" s="360" t="s">
        <v>2091</v>
      </c>
      <c r="AM268" s="160" t="str">
        <f t="shared" si="150"/>
        <v>PLA2-MUNICIPALITÉDEPARIS11E-PROJ231</v>
      </c>
      <c r="AN268" s="360" t="s">
        <v>2091</v>
      </c>
      <c r="AO268" s="160" t="str">
        <f t="shared" si="151"/>
        <v>Plan de coté Est - etc</v>
      </c>
      <c r="AP268" s="360" t="s">
        <v>2091</v>
      </c>
      <c r="AQ268" s="160" t="str">
        <f t="shared" ca="1" si="152"/>
        <v>2022/12/20</v>
      </c>
      <c r="AR268" s="360" t="s">
        <v>2091</v>
      </c>
      <c r="AS268" s="160" t="str">
        <f t="shared" si="153"/>
        <v>https:\\localhost\testPathFile4</v>
      </c>
      <c r="AT268" s="360" t="s">
        <v>2093</v>
      </c>
      <c r="AU268" s="160">
        <f t="shared" si="154"/>
        <v>1</v>
      </c>
      <c r="AV268" s="360" t="s">
        <v>2020</v>
      </c>
      <c r="AW268" s="360" t="s">
        <v>1959</v>
      </c>
      <c r="AX268" s="160" t="s">
        <v>2021</v>
      </c>
      <c r="AY268" s="160" t="str">
        <f t="shared" ca="1" si="156"/>
        <v>INSERT INTO DOCUMENTS(catDoc,nameDoc,descriptionDoc,dateDoc,pathDoc,idProjet,idDeGeneration) VALUES ('Plan','PLA2-MUNICIPALITÉDEPARIS11E-PROJ231','Plan de coté Est - etc','2022/12/20','https:\\localhost\testPathFile3',1,NULL);</v>
      </c>
      <c r="AZ268" s="160" t="s">
        <v>2248</v>
      </c>
    </row>
    <row r="269" spans="5:52" ht="15.65" outlineLevel="1" thickBot="1" x14ac:dyDescent="0.35">
      <c r="F269" s="160">
        <f t="shared" si="157"/>
        <v>5</v>
      </c>
      <c r="G269" s="160" t="s">
        <v>1885</v>
      </c>
      <c r="H269" s="354">
        <f>COUNTIF(G$265:G269,G269)</f>
        <v>1</v>
      </c>
      <c r="I269" s="160" t="str">
        <f t="shared" si="147"/>
        <v>IMG1-MUNICIPALITÉDEPARIS11E-PROJ231</v>
      </c>
      <c r="J269" s="160" t="s">
        <v>1895</v>
      </c>
      <c r="K269" s="329">
        <v>44916</v>
      </c>
      <c r="L269" s="160" t="s">
        <v>2141</v>
      </c>
      <c r="M269" s="160">
        <v>1</v>
      </c>
      <c r="N269" s="160">
        <v>0</v>
      </c>
      <c r="S269" s="353"/>
      <c r="T269" s="160" t="s">
        <v>1922</v>
      </c>
      <c r="U269" s="160" t="str">
        <f t="shared" si="148"/>
        <v>DOCUMENTS</v>
      </c>
      <c r="V269" s="160" t="s">
        <v>2088</v>
      </c>
      <c r="W269" s="197" t="s">
        <v>168</v>
      </c>
      <c r="X269" s="360" t="s">
        <v>2020</v>
      </c>
      <c r="Y269" s="197" t="s">
        <v>303</v>
      </c>
      <c r="Z269" s="360" t="s">
        <v>2020</v>
      </c>
      <c r="AA269" s="199" t="s">
        <v>213</v>
      </c>
      <c r="AB269" s="360" t="s">
        <v>2020</v>
      </c>
      <c r="AC269" s="197" t="s">
        <v>211</v>
      </c>
      <c r="AD269" s="360" t="s">
        <v>2020</v>
      </c>
      <c r="AE269" s="197" t="s">
        <v>304</v>
      </c>
      <c r="AF269" s="360" t="s">
        <v>2020</v>
      </c>
      <c r="AG269" s="294" t="s">
        <v>287</v>
      </c>
      <c r="AH269" s="360" t="s">
        <v>2020</v>
      </c>
      <c r="AI269" s="294" t="s">
        <v>349</v>
      </c>
      <c r="AJ269" s="360" t="s">
        <v>2089</v>
      </c>
      <c r="AK269" s="160" t="str">
        <f t="shared" si="149"/>
        <v>ImgPhoto</v>
      </c>
      <c r="AL269" s="360" t="s">
        <v>2091</v>
      </c>
      <c r="AM269" s="160" t="str">
        <f t="shared" si="150"/>
        <v>IMG1-MUNICIPALITÉDEPARIS11E-PROJ231</v>
      </c>
      <c r="AN269" s="360" t="s">
        <v>2091</v>
      </c>
      <c r="AO269" s="160" t="str">
        <f t="shared" si="151"/>
        <v>Photo de projection de face</v>
      </c>
      <c r="AP269" s="360" t="s">
        <v>2091</v>
      </c>
      <c r="AQ269" s="160" t="str">
        <f t="shared" ca="1" si="152"/>
        <v>2022/12/21</v>
      </c>
      <c r="AR269" s="360" t="s">
        <v>2091</v>
      </c>
      <c r="AS269" s="160" t="str">
        <f t="shared" si="153"/>
        <v>https:\\localhost\testPathFile5</v>
      </c>
      <c r="AT269" s="360" t="s">
        <v>2093</v>
      </c>
      <c r="AU269" s="160">
        <f t="shared" si="154"/>
        <v>1</v>
      </c>
      <c r="AV269" s="360" t="s">
        <v>2020</v>
      </c>
      <c r="AW269" s="360" t="s">
        <v>1959</v>
      </c>
      <c r="AX269" s="160" t="s">
        <v>2021</v>
      </c>
      <c r="AY269" s="160" t="str">
        <f t="shared" ca="1" si="156"/>
        <v>INSERT INTO DOCUMENTS(catDoc,nameDoc,descriptionDoc,dateDoc,pathDoc,idProjet,idDeGeneration) VALUES ('ImgPhoto','IMG1-MUNICIPALITÉDEPARIS11E-PROJ231','Photo de projection de face','2022/12/21','https:\\localhost\testPathFile4',1,NULL);</v>
      </c>
      <c r="AZ269" s="160" t="s">
        <v>2249</v>
      </c>
    </row>
    <row r="270" spans="5:52" ht="28.05" customHeight="1" outlineLevel="1" thickBot="1" x14ac:dyDescent="0.35">
      <c r="F270" s="160">
        <f t="shared" si="157"/>
        <v>6</v>
      </c>
      <c r="G270" s="160" t="s">
        <v>1885</v>
      </c>
      <c r="H270" s="354">
        <f>COUNTIF(G$265:G270,G270)</f>
        <v>2</v>
      </c>
      <c r="I270" s="160" t="str">
        <f t="shared" si="147"/>
        <v>IMG2-MUNICIPALITÉDEPARIS11E-PROJ231</v>
      </c>
      <c r="J270" s="160" t="s">
        <v>1896</v>
      </c>
      <c r="K270" s="329">
        <v>44916</v>
      </c>
      <c r="L270" s="160" t="s">
        <v>2142</v>
      </c>
      <c r="M270" s="160">
        <v>1</v>
      </c>
      <c r="N270" s="160">
        <v>0</v>
      </c>
      <c r="S270" s="353"/>
      <c r="T270" s="160" t="s">
        <v>1922</v>
      </c>
      <c r="U270" s="160" t="str">
        <f t="shared" si="148"/>
        <v>DOCUMENTS</v>
      </c>
      <c r="V270" s="160" t="s">
        <v>2088</v>
      </c>
      <c r="W270" s="197" t="s">
        <v>168</v>
      </c>
      <c r="X270" s="360" t="s">
        <v>2020</v>
      </c>
      <c r="Y270" s="197" t="s">
        <v>303</v>
      </c>
      <c r="Z270" s="360" t="s">
        <v>2020</v>
      </c>
      <c r="AA270" s="199" t="s">
        <v>213</v>
      </c>
      <c r="AB270" s="360" t="s">
        <v>2020</v>
      </c>
      <c r="AC270" s="197" t="s">
        <v>211</v>
      </c>
      <c r="AD270" s="360" t="s">
        <v>2020</v>
      </c>
      <c r="AE270" s="197" t="s">
        <v>304</v>
      </c>
      <c r="AF270" s="360" t="s">
        <v>2020</v>
      </c>
      <c r="AG270" s="294" t="s">
        <v>287</v>
      </c>
      <c r="AH270" s="360" t="s">
        <v>2020</v>
      </c>
      <c r="AI270" s="294" t="s">
        <v>349</v>
      </c>
      <c r="AJ270" s="360" t="s">
        <v>2089</v>
      </c>
      <c r="AK270" s="160" t="str">
        <f t="shared" si="149"/>
        <v>ImgPhoto</v>
      </c>
      <c r="AL270" s="360" t="s">
        <v>2091</v>
      </c>
      <c r="AM270" s="160" t="str">
        <f t="shared" si="150"/>
        <v>IMG2-MUNICIPALITÉDEPARIS11E-PROJ231</v>
      </c>
      <c r="AN270" s="360" t="s">
        <v>2091</v>
      </c>
      <c r="AO270" s="160" t="str">
        <f t="shared" si="151"/>
        <v>Photo de projection de coté Est</v>
      </c>
      <c r="AP270" s="360" t="s">
        <v>2091</v>
      </c>
      <c r="AQ270" s="160" t="str">
        <f t="shared" ca="1" si="152"/>
        <v>2022/12/21</v>
      </c>
      <c r="AR270" s="360" t="s">
        <v>2091</v>
      </c>
      <c r="AS270" s="160" t="str">
        <f t="shared" si="153"/>
        <v>https:\\localhost\testPathFile6</v>
      </c>
      <c r="AT270" s="360" t="s">
        <v>2093</v>
      </c>
      <c r="AU270" s="160">
        <f t="shared" si="154"/>
        <v>1</v>
      </c>
      <c r="AV270" s="360" t="s">
        <v>2020</v>
      </c>
      <c r="AW270" s="360" t="s">
        <v>1959</v>
      </c>
      <c r="AX270" s="160" t="s">
        <v>2021</v>
      </c>
      <c r="AY270" s="160" t="str">
        <f t="shared" ca="1" si="156"/>
        <v>INSERT INTO DOCUMENTS(catDoc,nameDoc,descriptionDoc,dateDoc,pathDoc,idProjet,idDeGeneration) VALUES ('ImgPhoto','IMG2-MUNICIPALITÉDEPARIS11E-PROJ231','Photo de projection de coté Est','2022/12/21','https:\\localhost\testPathFile5',1,NULL);</v>
      </c>
      <c r="AZ270" s="160" t="s">
        <v>2250</v>
      </c>
    </row>
    <row r="271" spans="5:52" ht="30.05" customHeight="1" outlineLevel="1" thickBot="1" x14ac:dyDescent="0.35">
      <c r="F271" s="160">
        <f t="shared" si="157"/>
        <v>7</v>
      </c>
      <c r="G271" s="160" t="s">
        <v>1885</v>
      </c>
      <c r="H271" s="354">
        <f>COUNTIF(G$265:G271,G271)</f>
        <v>3</v>
      </c>
      <c r="I271" s="160" t="str">
        <f t="shared" si="147"/>
        <v>IMG3-MUNICIPALITÉDEPARIS11E-PROJ231</v>
      </c>
      <c r="J271" s="160" t="s">
        <v>1897</v>
      </c>
      <c r="K271" s="329">
        <v>44917</v>
      </c>
      <c r="L271" s="160" t="s">
        <v>2143</v>
      </c>
      <c r="M271" s="160">
        <v>1</v>
      </c>
      <c r="N271" s="160">
        <v>0</v>
      </c>
      <c r="S271" s="353"/>
      <c r="T271" s="160" t="s">
        <v>1922</v>
      </c>
      <c r="U271" s="160" t="str">
        <f t="shared" si="148"/>
        <v>DOCUMENTS</v>
      </c>
      <c r="V271" s="160" t="s">
        <v>2088</v>
      </c>
      <c r="W271" s="197" t="s">
        <v>168</v>
      </c>
      <c r="X271" s="360" t="s">
        <v>2020</v>
      </c>
      <c r="Y271" s="197" t="s">
        <v>303</v>
      </c>
      <c r="Z271" s="360" t="s">
        <v>2020</v>
      </c>
      <c r="AA271" s="199" t="s">
        <v>213</v>
      </c>
      <c r="AB271" s="360" t="s">
        <v>2020</v>
      </c>
      <c r="AC271" s="197" t="s">
        <v>211</v>
      </c>
      <c r="AD271" s="360" t="s">
        <v>2020</v>
      </c>
      <c r="AE271" s="197" t="s">
        <v>304</v>
      </c>
      <c r="AF271" s="360" t="s">
        <v>2020</v>
      </c>
      <c r="AG271" s="294" t="s">
        <v>287</v>
      </c>
      <c r="AH271" s="360" t="s">
        <v>2020</v>
      </c>
      <c r="AI271" s="294" t="s">
        <v>349</v>
      </c>
      <c r="AJ271" s="360" t="s">
        <v>2089</v>
      </c>
      <c r="AK271" s="160" t="str">
        <f t="shared" si="149"/>
        <v>ImgPhoto</v>
      </c>
      <c r="AL271" s="360" t="s">
        <v>2091</v>
      </c>
      <c r="AM271" s="160" t="str">
        <f t="shared" si="150"/>
        <v>IMG3-MUNICIPALITÉDEPARIS11E-PROJ231</v>
      </c>
      <c r="AN271" s="360" t="s">
        <v>2091</v>
      </c>
      <c r="AO271" s="160" t="str">
        <f t="shared" si="151"/>
        <v>Photo de projection dcoté Ouest et Sud</v>
      </c>
      <c r="AP271" s="360" t="s">
        <v>2091</v>
      </c>
      <c r="AQ271" s="160" t="str">
        <f t="shared" ca="1" si="152"/>
        <v>2022/12/22</v>
      </c>
      <c r="AR271" s="360" t="s">
        <v>2091</v>
      </c>
      <c r="AS271" s="160" t="str">
        <f t="shared" si="153"/>
        <v>https:\\localhost\testPathFile7</v>
      </c>
      <c r="AT271" s="360" t="s">
        <v>2093</v>
      </c>
      <c r="AU271" s="160">
        <f t="shared" si="154"/>
        <v>1</v>
      </c>
      <c r="AV271" s="360" t="s">
        <v>2020</v>
      </c>
      <c r="AW271" s="360" t="s">
        <v>1959</v>
      </c>
      <c r="AX271" s="160" t="s">
        <v>2021</v>
      </c>
      <c r="AY271" s="160" t="str">
        <f t="shared" ca="1" si="156"/>
        <v>INSERT INTO DOCUMENTS(catDoc,nameDoc,descriptionDoc,dateDoc,pathDoc,idProjet,idDeGeneration) VALUES ('ImgPhoto','IMG3-MUNICIPALITÉDEPARIS11E-PROJ231','Photo de projection dcoté Ouest et Sud','2022/12/22','https:\\localhost\testPathFile6',1,NULL);</v>
      </c>
      <c r="AZ271" s="160" t="s">
        <v>2251</v>
      </c>
    </row>
    <row r="272" spans="5:52" ht="20.05" customHeight="1" outlineLevel="1" thickBot="1" x14ac:dyDescent="0.35">
      <c r="F272" s="160">
        <f t="shared" si="157"/>
        <v>8</v>
      </c>
      <c r="G272" s="160" t="s">
        <v>109</v>
      </c>
      <c r="H272" s="354">
        <f>COUNTIF(G$265:G272,G272)</f>
        <v>1</v>
      </c>
      <c r="I272" s="160" t="str">
        <f t="shared" si="147"/>
        <v>SCH1-MUNICIPALITÉDEPARIS11E-PROJ231</v>
      </c>
      <c r="J272" s="160" t="s">
        <v>1898</v>
      </c>
      <c r="K272" s="329">
        <v>44918</v>
      </c>
      <c r="L272" s="160" t="s">
        <v>2144</v>
      </c>
      <c r="M272" s="160">
        <v>1</v>
      </c>
      <c r="N272" s="160">
        <v>0</v>
      </c>
      <c r="S272" s="353"/>
      <c r="T272" s="160" t="s">
        <v>1922</v>
      </c>
      <c r="U272" s="160" t="str">
        <f t="shared" si="148"/>
        <v>DOCUMENTS</v>
      </c>
      <c r="V272" s="160" t="s">
        <v>2088</v>
      </c>
      <c r="W272" s="197" t="s">
        <v>168</v>
      </c>
      <c r="X272" s="360" t="s">
        <v>2020</v>
      </c>
      <c r="Y272" s="197" t="s">
        <v>303</v>
      </c>
      <c r="Z272" s="360" t="s">
        <v>2020</v>
      </c>
      <c r="AA272" s="199" t="s">
        <v>213</v>
      </c>
      <c r="AB272" s="360" t="s">
        <v>2020</v>
      </c>
      <c r="AC272" s="197" t="s">
        <v>211</v>
      </c>
      <c r="AD272" s="360" t="s">
        <v>2020</v>
      </c>
      <c r="AE272" s="197" t="s">
        <v>304</v>
      </c>
      <c r="AF272" s="360" t="s">
        <v>2020</v>
      </c>
      <c r="AG272" s="294" t="s">
        <v>287</v>
      </c>
      <c r="AH272" s="360" t="s">
        <v>2020</v>
      </c>
      <c r="AI272" s="294" t="s">
        <v>349</v>
      </c>
      <c r="AJ272" s="360" t="s">
        <v>2089</v>
      </c>
      <c r="AK272" s="160" t="str">
        <f t="shared" si="149"/>
        <v>Schema</v>
      </c>
      <c r="AL272" s="360" t="s">
        <v>2091</v>
      </c>
      <c r="AM272" s="160" t="str">
        <f t="shared" si="150"/>
        <v>SCH1-MUNICIPALITÉDEPARIS11E-PROJ231</v>
      </c>
      <c r="AN272" s="360" t="s">
        <v>2091</v>
      </c>
      <c r="AO272" s="160" t="str">
        <f t="shared" si="151"/>
        <v>Schema de principe de circulation</v>
      </c>
      <c r="AP272" s="360" t="s">
        <v>2091</v>
      </c>
      <c r="AQ272" s="160" t="str">
        <f t="shared" ca="1" si="152"/>
        <v>2022/12/23</v>
      </c>
      <c r="AR272" s="360" t="s">
        <v>2091</v>
      </c>
      <c r="AS272" s="160" t="str">
        <f t="shared" si="153"/>
        <v>https:\\localhost\testPathFile8</v>
      </c>
      <c r="AT272" s="360" t="s">
        <v>2093</v>
      </c>
      <c r="AU272" s="160">
        <f t="shared" si="154"/>
        <v>1</v>
      </c>
      <c r="AV272" s="360" t="s">
        <v>2020</v>
      </c>
      <c r="AW272" s="360" t="s">
        <v>1959</v>
      </c>
      <c r="AX272" s="160" t="s">
        <v>2021</v>
      </c>
      <c r="AY272" s="160" t="str">
        <f t="shared" ca="1" si="156"/>
        <v>INSERT INTO DOCUMENTS(catDoc,nameDoc,descriptionDoc,dateDoc,pathDoc,idProjet,idDeGeneration) VALUES ('Schema','SCH1-MUNICIPALITÉDEPARIS11E-PROJ231','Schema de principe de circulation','2022/12/23','https:\\localhost\testPathFile7',1,NULL);</v>
      </c>
      <c r="AZ272" s="160" t="s">
        <v>2252</v>
      </c>
    </row>
    <row r="273" spans="6:52" ht="20.05" customHeight="1" outlineLevel="1" thickBot="1" x14ac:dyDescent="0.35">
      <c r="F273" s="160">
        <f t="shared" si="157"/>
        <v>9</v>
      </c>
      <c r="G273" s="160" t="s">
        <v>1887</v>
      </c>
      <c r="H273" s="354">
        <f>COUNTIF(G$265:G273,G273)</f>
        <v>1</v>
      </c>
      <c r="I273" s="160" t="str">
        <f t="shared" si="147"/>
        <v>DIV1-MUNICIPALITÉDEPARIS11E-PROJ231</v>
      </c>
      <c r="J273" s="160" t="s">
        <v>2231</v>
      </c>
      <c r="K273" s="329">
        <v>44922</v>
      </c>
      <c r="L273" s="160" t="s">
        <v>2145</v>
      </c>
      <c r="M273" s="160">
        <v>1</v>
      </c>
      <c r="N273" s="160">
        <v>0</v>
      </c>
      <c r="S273" s="353"/>
      <c r="T273" s="160" t="s">
        <v>1922</v>
      </c>
      <c r="U273" s="160" t="str">
        <f t="shared" si="148"/>
        <v>DOCUMENTS</v>
      </c>
      <c r="V273" s="160" t="s">
        <v>2088</v>
      </c>
      <c r="W273" s="197" t="s">
        <v>168</v>
      </c>
      <c r="X273" s="360" t="s">
        <v>2020</v>
      </c>
      <c r="Y273" s="197" t="s">
        <v>303</v>
      </c>
      <c r="Z273" s="360" t="s">
        <v>2020</v>
      </c>
      <c r="AA273" s="199" t="s">
        <v>213</v>
      </c>
      <c r="AB273" s="360" t="s">
        <v>2020</v>
      </c>
      <c r="AC273" s="197" t="s">
        <v>211</v>
      </c>
      <c r="AD273" s="360" t="s">
        <v>2020</v>
      </c>
      <c r="AE273" s="197" t="s">
        <v>304</v>
      </c>
      <c r="AF273" s="360" t="s">
        <v>2020</v>
      </c>
      <c r="AG273" s="294" t="s">
        <v>287</v>
      </c>
      <c r="AH273" s="360" t="s">
        <v>2020</v>
      </c>
      <c r="AI273" s="294" t="s">
        <v>349</v>
      </c>
      <c r="AJ273" s="360" t="s">
        <v>2089</v>
      </c>
      <c r="AK273" s="160" t="str">
        <f t="shared" si="149"/>
        <v>Divers</v>
      </c>
      <c r="AL273" s="360" t="s">
        <v>2091</v>
      </c>
      <c r="AM273" s="160" t="str">
        <f t="shared" si="150"/>
        <v>DIV1-MUNICIPALITÉDEPARIS11E-PROJ231</v>
      </c>
      <c r="AN273" s="360" t="s">
        <v>2091</v>
      </c>
      <c r="AO273" s="160" t="str">
        <f t="shared" si="151"/>
        <v>Relevé de Coût pour ameublement</v>
      </c>
      <c r="AP273" s="360" t="s">
        <v>2091</v>
      </c>
      <c r="AQ273" s="160" t="str">
        <f t="shared" ca="1" si="152"/>
        <v>2022/12/27</v>
      </c>
      <c r="AR273" s="360" t="s">
        <v>2091</v>
      </c>
      <c r="AS273" s="160" t="str">
        <f t="shared" si="153"/>
        <v>https:\\localhost\testPathFile9</v>
      </c>
      <c r="AT273" s="360" t="s">
        <v>2093</v>
      </c>
      <c r="AU273" s="160">
        <f t="shared" si="154"/>
        <v>1</v>
      </c>
      <c r="AV273" s="360" t="s">
        <v>2020</v>
      </c>
      <c r="AW273" s="360" t="s">
        <v>1959</v>
      </c>
      <c r="AX273" s="160" t="s">
        <v>2021</v>
      </c>
      <c r="AY273" s="160" t="str">
        <f t="shared" ca="1" si="156"/>
        <v>INSERT INTO DOCUMENTS(catDoc,nameDoc,descriptionDoc,dateDoc,pathDoc,idProjet,idDeGeneration) VALUES ('Divers','DIV1-MUNICIPALITÉDEPARIS11E-PROJ231','Relevé de Coût pour ameublement','2022/12/27','https:\\localhost\testPathFile8',1,NULL);</v>
      </c>
      <c r="AZ273" s="160" t="s">
        <v>2284</v>
      </c>
    </row>
    <row r="274" spans="6:52" ht="20.05" customHeight="1" outlineLevel="1" thickBot="1" x14ac:dyDescent="0.35">
      <c r="F274" s="160">
        <f t="shared" si="157"/>
        <v>10</v>
      </c>
      <c r="G274" s="160" t="s">
        <v>1887</v>
      </c>
      <c r="H274" s="354">
        <f>COUNTIF(G$265:G274,G274)</f>
        <v>2</v>
      </c>
      <c r="I274" s="160" t="str">
        <f t="shared" si="147"/>
        <v>DIV2-MUNICIPALITÉDEPARIS11E-PROJ231</v>
      </c>
      <c r="J274" s="160" t="s">
        <v>1900</v>
      </c>
      <c r="K274" s="329">
        <v>44921</v>
      </c>
      <c r="L274" s="160" t="s">
        <v>2146</v>
      </c>
      <c r="M274" s="160">
        <v>1</v>
      </c>
      <c r="N274" s="160">
        <v>0</v>
      </c>
      <c r="S274" s="353"/>
      <c r="T274" s="160" t="s">
        <v>1922</v>
      </c>
      <c r="U274" s="160" t="str">
        <f t="shared" si="148"/>
        <v>DOCUMENTS</v>
      </c>
      <c r="V274" s="160" t="s">
        <v>2088</v>
      </c>
      <c r="W274" s="197" t="s">
        <v>168</v>
      </c>
      <c r="X274" s="360" t="s">
        <v>2020</v>
      </c>
      <c r="Y274" s="197" t="s">
        <v>303</v>
      </c>
      <c r="Z274" s="360" t="s">
        <v>2020</v>
      </c>
      <c r="AA274" s="199" t="s">
        <v>213</v>
      </c>
      <c r="AB274" s="360" t="s">
        <v>2020</v>
      </c>
      <c r="AC274" s="197" t="s">
        <v>211</v>
      </c>
      <c r="AD274" s="360" t="s">
        <v>2020</v>
      </c>
      <c r="AE274" s="197" t="s">
        <v>304</v>
      </c>
      <c r="AF274" s="360" t="s">
        <v>2020</v>
      </c>
      <c r="AG274" s="294" t="s">
        <v>287</v>
      </c>
      <c r="AH274" s="360" t="s">
        <v>2020</v>
      </c>
      <c r="AI274" s="294" t="s">
        <v>349</v>
      </c>
      <c r="AJ274" s="360" t="s">
        <v>2089</v>
      </c>
      <c r="AK274" s="160" t="str">
        <f t="shared" si="149"/>
        <v>Divers</v>
      </c>
      <c r="AL274" s="360" t="s">
        <v>2091</v>
      </c>
      <c r="AM274" s="160" t="str">
        <f t="shared" si="150"/>
        <v>DIV2-MUNICIPALITÉDEPARIS11E-PROJ231</v>
      </c>
      <c r="AN274" s="360" t="s">
        <v>2091</v>
      </c>
      <c r="AO274" s="160" t="str">
        <f t="shared" si="151"/>
        <v>Prise des cotes et des piges</v>
      </c>
      <c r="AP274" s="360" t="s">
        <v>2091</v>
      </c>
      <c r="AQ274" s="160" t="str">
        <f t="shared" ca="1" si="152"/>
        <v>2022/12/26</v>
      </c>
      <c r="AR274" s="360" t="s">
        <v>2091</v>
      </c>
      <c r="AS274" s="160" t="str">
        <f t="shared" si="153"/>
        <v>https:\\localhost\testPathFile10</v>
      </c>
      <c r="AT274" s="360" t="s">
        <v>2093</v>
      </c>
      <c r="AU274" s="160">
        <f t="shared" si="154"/>
        <v>1</v>
      </c>
      <c r="AV274" s="360" t="s">
        <v>2020</v>
      </c>
      <c r="AW274" s="360" t="s">
        <v>1959</v>
      </c>
      <c r="AX274" s="160" t="s">
        <v>2021</v>
      </c>
      <c r="AY274" s="160" t="str">
        <f t="shared" ca="1" si="156"/>
        <v>INSERT INTO DOCUMENTS(catDoc,nameDoc,descriptionDoc,dateDoc,pathDoc,idProjet,idDeGeneration) VALUES ('Divers','DIV2-MUNICIPALITÉDEPARIS11E-PROJ231','Prise des cotes et des piges','2022/12/26','https:\\localhost\testPathFile9',1,NULL);</v>
      </c>
      <c r="AZ274" s="160" t="s">
        <v>2285</v>
      </c>
    </row>
    <row r="275" spans="6:52" ht="20.05" customHeight="1" outlineLevel="1" thickBot="1" x14ac:dyDescent="0.35">
      <c r="F275" s="160">
        <f t="shared" si="157"/>
        <v>11</v>
      </c>
      <c r="G275" s="160" t="s">
        <v>1887</v>
      </c>
      <c r="H275" s="354">
        <f>COUNTIF(G$265:G275,G275)</f>
        <v>3</v>
      </c>
      <c r="I275" s="160" t="str">
        <f t="shared" si="147"/>
        <v>DIV3-MUNICIPALITÉDEPARIS11E-PROJ231</v>
      </c>
      <c r="J275" s="160" t="s">
        <v>1901</v>
      </c>
      <c r="K275" s="329">
        <v>44923</v>
      </c>
      <c r="L275" s="160" t="s">
        <v>2147</v>
      </c>
      <c r="M275" s="160">
        <v>1</v>
      </c>
      <c r="N275" s="160">
        <v>0</v>
      </c>
      <c r="S275" s="353"/>
      <c r="T275" s="160" t="s">
        <v>1922</v>
      </c>
      <c r="U275" s="160" t="str">
        <f t="shared" si="148"/>
        <v>DOCUMENTS</v>
      </c>
      <c r="V275" s="160" t="s">
        <v>2088</v>
      </c>
      <c r="W275" s="197" t="s">
        <v>168</v>
      </c>
      <c r="X275" s="360" t="s">
        <v>2020</v>
      </c>
      <c r="Y275" s="197" t="s">
        <v>303</v>
      </c>
      <c r="Z275" s="360" t="s">
        <v>2020</v>
      </c>
      <c r="AA275" s="199" t="s">
        <v>213</v>
      </c>
      <c r="AB275" s="360" t="s">
        <v>2020</v>
      </c>
      <c r="AC275" s="197" t="s">
        <v>211</v>
      </c>
      <c r="AD275" s="360" t="s">
        <v>2020</v>
      </c>
      <c r="AE275" s="197" t="s">
        <v>304</v>
      </c>
      <c r="AF275" s="360" t="s">
        <v>2020</v>
      </c>
      <c r="AG275" s="294" t="s">
        <v>287</v>
      </c>
      <c r="AH275" s="360" t="s">
        <v>2020</v>
      </c>
      <c r="AI275" s="294" t="s">
        <v>349</v>
      </c>
      <c r="AJ275" s="360" t="s">
        <v>2089</v>
      </c>
      <c r="AK275" s="160" t="str">
        <f t="shared" si="149"/>
        <v>Divers</v>
      </c>
      <c r="AL275" s="360" t="s">
        <v>2091</v>
      </c>
      <c r="AM275" s="160" t="str">
        <f t="shared" si="150"/>
        <v>DIV3-MUNICIPALITÉDEPARIS11E-PROJ231</v>
      </c>
      <c r="AN275" s="360" t="s">
        <v>2091</v>
      </c>
      <c r="AO275" s="160" t="str">
        <f t="shared" si="151"/>
        <v>Document de Chiffrage du projet</v>
      </c>
      <c r="AP275" s="360" t="s">
        <v>2091</v>
      </c>
      <c r="AQ275" s="160" t="str">
        <f t="shared" ca="1" si="152"/>
        <v>2022/12/28</v>
      </c>
      <c r="AR275" s="360" t="s">
        <v>2091</v>
      </c>
      <c r="AS275" s="160" t="str">
        <f t="shared" si="153"/>
        <v>https:\\localhost\testPathFile11</v>
      </c>
      <c r="AT275" s="360" t="s">
        <v>2093</v>
      </c>
      <c r="AU275" s="160">
        <f t="shared" si="154"/>
        <v>1</v>
      </c>
      <c r="AV275" s="360" t="s">
        <v>2020</v>
      </c>
      <c r="AW275" s="360" t="s">
        <v>1959</v>
      </c>
      <c r="AX275" s="160" t="s">
        <v>2021</v>
      </c>
      <c r="AY275" s="160" t="str">
        <f t="shared" ca="1" si="156"/>
        <v>INSERT INTO DOCUMENTS(catDoc,nameDoc,descriptionDoc,dateDoc,pathDoc,idProjet,idDeGeneration) VALUES ('Divers','DIV3-MUNICIPALITÉDEPARIS11E-PROJ231','Document de Chiffrage du projet','2022/12/28','https:\\localhost\testPathFile10',1,NULL);</v>
      </c>
      <c r="AZ275" s="160" t="s">
        <v>2286</v>
      </c>
    </row>
    <row r="276" spans="6:52" ht="15.65" thickBot="1" x14ac:dyDescent="0.35">
      <c r="F276" s="160">
        <f t="shared" si="157"/>
        <v>12</v>
      </c>
      <c r="G276" s="160" t="s">
        <v>105</v>
      </c>
      <c r="H276" s="354">
        <f>COUNTIF(G$265:G276,G276)</f>
        <v>2</v>
      </c>
      <c r="I276" s="160" t="str">
        <f t="shared" si="147"/>
        <v>FAC2-MUNICIPALITÉDEPARIS11E-PROJ231</v>
      </c>
      <c r="J276" s="160" t="s">
        <v>2240</v>
      </c>
      <c r="K276" s="329">
        <f>IF(N276=0,"",_xlfn.XLOOKUP(N276,F$32:F$54,G$32:G$54))</f>
        <v>44943</v>
      </c>
      <c r="L276" s="160" t="s">
        <v>2148</v>
      </c>
      <c r="M276" s="160">
        <v>1</v>
      </c>
      <c r="N276" s="160">
        <v>6</v>
      </c>
      <c r="S276" s="353"/>
      <c r="T276" s="160" t="s">
        <v>1922</v>
      </c>
      <c r="U276" s="160" t="str">
        <f t="shared" si="148"/>
        <v>DOCUMENTS</v>
      </c>
      <c r="V276" s="160" t="s">
        <v>2088</v>
      </c>
      <c r="W276" s="197" t="s">
        <v>168</v>
      </c>
      <c r="X276" s="360" t="s">
        <v>2020</v>
      </c>
      <c r="Y276" s="197" t="s">
        <v>303</v>
      </c>
      <c r="Z276" s="360" t="s">
        <v>2020</v>
      </c>
      <c r="AA276" s="199" t="s">
        <v>213</v>
      </c>
      <c r="AB276" s="360" t="s">
        <v>2020</v>
      </c>
      <c r="AC276" s="197" t="s">
        <v>211</v>
      </c>
      <c r="AD276" s="360" t="s">
        <v>2020</v>
      </c>
      <c r="AE276" s="197" t="s">
        <v>304</v>
      </c>
      <c r="AF276" s="360" t="s">
        <v>2020</v>
      </c>
      <c r="AG276" s="294" t="s">
        <v>287</v>
      </c>
      <c r="AH276" s="360" t="s">
        <v>2020</v>
      </c>
      <c r="AI276" s="294" t="s">
        <v>349</v>
      </c>
      <c r="AJ276" s="360" t="s">
        <v>2089</v>
      </c>
      <c r="AK276" s="160" t="str">
        <f t="shared" si="149"/>
        <v>Facture</v>
      </c>
      <c r="AL276" s="360" t="s">
        <v>2091</v>
      </c>
      <c r="AM276" s="160" t="str">
        <f t="shared" si="150"/>
        <v>FAC2-MUNICIPALITÉDEPARIS11E-PROJ231</v>
      </c>
      <c r="AN276" s="360" t="s">
        <v>2091</v>
      </c>
      <c r="AO276" s="160" t="str">
        <f t="shared" si="151"/>
        <v>Facture transmise pour autorisation exploitation</v>
      </c>
      <c r="AP276" s="360" t="s">
        <v>2091</v>
      </c>
      <c r="AQ276" s="160" t="str">
        <f t="shared" ca="1" si="152"/>
        <v>2023/01/17</v>
      </c>
      <c r="AR276" s="360" t="s">
        <v>2091</v>
      </c>
      <c r="AS276" s="160" t="str">
        <f t="shared" si="153"/>
        <v>https:\\localhost\testPathFile12</v>
      </c>
      <c r="AT276" s="360" t="s">
        <v>2093</v>
      </c>
      <c r="AU276" s="160">
        <f t="shared" si="154"/>
        <v>1</v>
      </c>
      <c r="AV276" s="360" t="s">
        <v>2020</v>
      </c>
      <c r="AW276" s="160">
        <f t="shared" si="155"/>
        <v>6</v>
      </c>
      <c r="AX276" s="160" t="s">
        <v>2021</v>
      </c>
      <c r="AY276" s="160" t="str">
        <f t="shared" ca="1" si="156"/>
        <v>INSERT INTO DOCUMENTS(catDoc,nameDoc,descriptionDoc,dateDoc,pathDoc,idProjet,idDeGeneration) VALUES ('Facture','FAC2-MUNICIPALITÉDEPARIS11E-PROJ231','Facture transmise pour autorisation exploitation','2023/01/17','https:\\localhost\testPathFile11',1,6);</v>
      </c>
      <c r="AZ276" s="160" t="s">
        <v>2241</v>
      </c>
    </row>
    <row r="277" spans="6:52" ht="20.05" customHeight="1" outlineLevel="1" thickBot="1" x14ac:dyDescent="0.35">
      <c r="F277" s="160">
        <f t="shared" si="157"/>
        <v>13</v>
      </c>
      <c r="G277" s="160" t="s">
        <v>104</v>
      </c>
      <c r="H277" s="354">
        <f>COUNTIF(G277,G277)</f>
        <v>1</v>
      </c>
      <c r="I277" s="160" t="str">
        <f t="shared" si="147"/>
        <v>DEV1-BOISDELUX-PROJ232</v>
      </c>
      <c r="J277" s="160" t="s">
        <v>1891</v>
      </c>
      <c r="K277" s="329">
        <f>IF(N277=0,"",_xlfn.XLOOKUP(N277,F$32:F$54,G$32:G$54))</f>
        <v>44915</v>
      </c>
      <c r="L277" s="160" t="s">
        <v>2149</v>
      </c>
      <c r="M277" s="160">
        <v>2</v>
      </c>
      <c r="N277" s="160">
        <v>2</v>
      </c>
      <c r="S277" s="353"/>
      <c r="T277" s="160" t="s">
        <v>1922</v>
      </c>
      <c r="U277" s="160" t="str">
        <f t="shared" si="148"/>
        <v>DOCUMENTS</v>
      </c>
      <c r="V277" s="160" t="s">
        <v>2088</v>
      </c>
      <c r="W277" s="197" t="s">
        <v>168</v>
      </c>
      <c r="X277" s="360" t="s">
        <v>2020</v>
      </c>
      <c r="Y277" s="197" t="s">
        <v>303</v>
      </c>
      <c r="Z277" s="360" t="s">
        <v>2020</v>
      </c>
      <c r="AA277" s="199" t="s">
        <v>213</v>
      </c>
      <c r="AB277" s="360" t="s">
        <v>2020</v>
      </c>
      <c r="AC277" s="197" t="s">
        <v>211</v>
      </c>
      <c r="AD277" s="360" t="s">
        <v>2020</v>
      </c>
      <c r="AE277" s="197" t="s">
        <v>304</v>
      </c>
      <c r="AF277" s="360" t="s">
        <v>2020</v>
      </c>
      <c r="AG277" s="294" t="s">
        <v>287</v>
      </c>
      <c r="AH277" s="360" t="s">
        <v>2020</v>
      </c>
      <c r="AI277" s="294" t="s">
        <v>349</v>
      </c>
      <c r="AJ277" s="360" t="s">
        <v>2089</v>
      </c>
      <c r="AK277" s="160" t="str">
        <f t="shared" si="149"/>
        <v>Devis</v>
      </c>
      <c r="AL277" s="360" t="s">
        <v>2091</v>
      </c>
      <c r="AM277" s="160" t="str">
        <f t="shared" si="150"/>
        <v>DEV1-BOISDELUX-PROJ232</v>
      </c>
      <c r="AN277" s="360" t="s">
        <v>2091</v>
      </c>
      <c r="AO277" s="160" t="str">
        <f t="shared" si="151"/>
        <v>Proposition commerciale du projet</v>
      </c>
      <c r="AP277" s="360" t="s">
        <v>2091</v>
      </c>
      <c r="AQ277" s="160" t="str">
        <f t="shared" ca="1" si="152"/>
        <v>2022/12/20</v>
      </c>
      <c r="AR277" s="360" t="s">
        <v>2091</v>
      </c>
      <c r="AS277" s="160" t="str">
        <f t="shared" si="153"/>
        <v>https:\\localhost\testPathFile13</v>
      </c>
      <c r="AT277" s="360" t="s">
        <v>2093</v>
      </c>
      <c r="AU277" s="160">
        <f t="shared" si="154"/>
        <v>2</v>
      </c>
      <c r="AV277" s="360" t="s">
        <v>2020</v>
      </c>
      <c r="AW277" s="160">
        <f t="shared" si="155"/>
        <v>2</v>
      </c>
      <c r="AX277" s="160" t="s">
        <v>2021</v>
      </c>
      <c r="AY277" s="160" t="str">
        <f t="shared" ca="1" si="156"/>
        <v>INSERT INTO DOCUMENTS(catDoc,nameDoc,descriptionDoc,dateDoc,pathDoc,idProjet,idDeGeneration) VALUES ('Devis','DEV1-BOISDELUX-PROJ232','Proposition commerciale du projet','2022/12/20','https:\\localhost\testPathFile12',2,2);</v>
      </c>
      <c r="AZ277" s="160" t="s">
        <v>2223</v>
      </c>
    </row>
    <row r="278" spans="6:52" ht="20.05" customHeight="1" outlineLevel="1" thickBot="1" x14ac:dyDescent="0.35">
      <c r="F278" s="160">
        <f t="shared" si="157"/>
        <v>14</v>
      </c>
      <c r="G278" s="160" t="s">
        <v>105</v>
      </c>
      <c r="H278" s="354">
        <f>COUNTIF(G$265:G278,G278)</f>
        <v>3</v>
      </c>
      <c r="I278" s="160" t="str">
        <f t="shared" si="147"/>
        <v>FAC3-BOISDELUX-PROJ232</v>
      </c>
      <c r="J278" s="160" t="s">
        <v>2230</v>
      </c>
      <c r="K278" s="329">
        <f>IF(N278=0,"",_xlfn.XLOOKUP(N278,F$32:F$54,G$32:G$54))</f>
        <v>44928</v>
      </c>
      <c r="L278" s="160" t="s">
        <v>2150</v>
      </c>
      <c r="M278" s="160">
        <f>M277</f>
        <v>2</v>
      </c>
      <c r="N278" s="160">
        <v>4</v>
      </c>
      <c r="S278" s="353"/>
      <c r="T278" s="160" t="s">
        <v>1922</v>
      </c>
      <c r="U278" s="160" t="str">
        <f t="shared" si="148"/>
        <v>DOCUMENTS</v>
      </c>
      <c r="V278" s="160" t="s">
        <v>2088</v>
      </c>
      <c r="W278" s="197" t="s">
        <v>168</v>
      </c>
      <c r="X278" s="360" t="s">
        <v>2020</v>
      </c>
      <c r="Y278" s="197" t="s">
        <v>303</v>
      </c>
      <c r="Z278" s="360" t="s">
        <v>2020</v>
      </c>
      <c r="AA278" s="199" t="s">
        <v>213</v>
      </c>
      <c r="AB278" s="360" t="s">
        <v>2020</v>
      </c>
      <c r="AC278" s="197" t="s">
        <v>211</v>
      </c>
      <c r="AD278" s="360" t="s">
        <v>2020</v>
      </c>
      <c r="AE278" s="197" t="s">
        <v>304</v>
      </c>
      <c r="AF278" s="360" t="s">
        <v>2020</v>
      </c>
      <c r="AG278" s="294" t="s">
        <v>287</v>
      </c>
      <c r="AH278" s="360" t="s">
        <v>2020</v>
      </c>
      <c r="AI278" s="294" t="s">
        <v>349</v>
      </c>
      <c r="AJ278" s="360" t="s">
        <v>2089</v>
      </c>
      <c r="AK278" s="160" t="str">
        <f t="shared" si="149"/>
        <v>Facture</v>
      </c>
      <c r="AL278" s="360" t="s">
        <v>2091</v>
      </c>
      <c r="AM278" s="160" t="str">
        <f t="shared" si="150"/>
        <v>FAC3-BOISDELUX-PROJ232</v>
      </c>
      <c r="AN278" s="360" t="s">
        <v>2091</v>
      </c>
      <c r="AO278" s="160" t="str">
        <f t="shared" si="151"/>
        <v>Facture accompte pour démarrer les travaux</v>
      </c>
      <c r="AP278" s="360" t="s">
        <v>2091</v>
      </c>
      <c r="AQ278" s="160" t="str">
        <f t="shared" ca="1" si="152"/>
        <v>2023/01/02</v>
      </c>
      <c r="AR278" s="360" t="s">
        <v>2091</v>
      </c>
      <c r="AS278" s="160" t="str">
        <f t="shared" si="153"/>
        <v>https:\\localhost\testPathFile14</v>
      </c>
      <c r="AT278" s="360" t="s">
        <v>2093</v>
      </c>
      <c r="AU278" s="160">
        <f t="shared" si="154"/>
        <v>2</v>
      </c>
      <c r="AV278" s="360" t="s">
        <v>2020</v>
      </c>
      <c r="AW278" s="160">
        <f t="shared" si="155"/>
        <v>4</v>
      </c>
      <c r="AX278" s="160" t="s">
        <v>2021</v>
      </c>
      <c r="AY278" s="160" t="str">
        <f t="shared" ca="1" si="156"/>
        <v>INSERT INTO DOCUMENTS(catDoc,nameDoc,descriptionDoc,dateDoc,pathDoc,idProjet,idDeGeneration) VALUES ('Facture','FAC3-BOISDELUX-PROJ232','Facture accompte pour démarrer les travaux','2023/01/02','https:\\localhost\testPathFile13',2,4);</v>
      </c>
      <c r="AZ278" s="160" t="s">
        <v>2233</v>
      </c>
    </row>
    <row r="279" spans="6:52" ht="32.6" customHeight="1" outlineLevel="1" thickBot="1" x14ac:dyDescent="0.35">
      <c r="F279" s="160">
        <f t="shared" si="157"/>
        <v>15</v>
      </c>
      <c r="G279" s="160" t="s">
        <v>106</v>
      </c>
      <c r="H279" s="354">
        <f>COUNTIF(G$265:G279,G279)</f>
        <v>3</v>
      </c>
      <c r="I279" s="160" t="str">
        <f t="shared" si="147"/>
        <v>PLA3-BOISDELUX-PROJ232</v>
      </c>
      <c r="J279" s="160" t="s">
        <v>1893</v>
      </c>
      <c r="K279" s="329">
        <f>K278</f>
        <v>44928</v>
      </c>
      <c r="L279" s="160" t="s">
        <v>2151</v>
      </c>
      <c r="M279" s="160">
        <f t="shared" ref="M279:M288" si="158">M278</f>
        <v>2</v>
      </c>
      <c r="N279" s="160">
        <v>0</v>
      </c>
      <c r="S279" s="353"/>
      <c r="T279" s="160" t="s">
        <v>1922</v>
      </c>
      <c r="U279" s="160" t="str">
        <f t="shared" si="148"/>
        <v>DOCUMENTS</v>
      </c>
      <c r="V279" s="160" t="s">
        <v>2088</v>
      </c>
      <c r="W279" s="197" t="s">
        <v>168</v>
      </c>
      <c r="X279" s="360" t="s">
        <v>2020</v>
      </c>
      <c r="Y279" s="197" t="s">
        <v>303</v>
      </c>
      <c r="Z279" s="360" t="s">
        <v>2020</v>
      </c>
      <c r="AA279" s="199" t="s">
        <v>213</v>
      </c>
      <c r="AB279" s="360" t="s">
        <v>2020</v>
      </c>
      <c r="AC279" s="197" t="s">
        <v>211</v>
      </c>
      <c r="AD279" s="360" t="s">
        <v>2020</v>
      </c>
      <c r="AE279" s="197" t="s">
        <v>304</v>
      </c>
      <c r="AF279" s="360" t="s">
        <v>2020</v>
      </c>
      <c r="AG279" s="294" t="s">
        <v>287</v>
      </c>
      <c r="AH279" s="360" t="s">
        <v>2020</v>
      </c>
      <c r="AI279" s="294" t="s">
        <v>349</v>
      </c>
      <c r="AJ279" s="360" t="s">
        <v>2089</v>
      </c>
      <c r="AK279" s="160" t="str">
        <f t="shared" si="149"/>
        <v>Plan</v>
      </c>
      <c r="AL279" s="360" t="s">
        <v>2091</v>
      </c>
      <c r="AM279" s="160" t="str">
        <f t="shared" si="150"/>
        <v>PLA3-BOISDELUX-PROJ232</v>
      </c>
      <c r="AN279" s="360" t="s">
        <v>2091</v>
      </c>
      <c r="AO279" s="160" t="str">
        <f t="shared" si="151"/>
        <v>Plan de face - etc</v>
      </c>
      <c r="AP279" s="360" t="s">
        <v>2091</v>
      </c>
      <c r="AQ279" s="160" t="str">
        <f t="shared" ca="1" si="152"/>
        <v>2023/01/02</v>
      </c>
      <c r="AR279" s="360" t="s">
        <v>2091</v>
      </c>
      <c r="AS279" s="160" t="str">
        <f t="shared" si="153"/>
        <v>https:\\localhost\testPathFile15</v>
      </c>
      <c r="AT279" s="360" t="s">
        <v>2093</v>
      </c>
      <c r="AU279" s="160">
        <f t="shared" si="154"/>
        <v>2</v>
      </c>
      <c r="AV279" s="360" t="s">
        <v>2020</v>
      </c>
      <c r="AW279" s="360" t="s">
        <v>1959</v>
      </c>
      <c r="AX279" s="160" t="s">
        <v>2021</v>
      </c>
      <c r="AY279" s="160" t="str">
        <f t="shared" ca="1" si="156"/>
        <v>INSERT INTO DOCUMENTS(catDoc,nameDoc,descriptionDoc,dateDoc,pathDoc,idProjet,idDeGeneration) VALUES ('Plan','PLA3-BOISDELUX-PROJ232','Plan de face - etc','2023/01/02','https:\\localhost\testPathFile14',2,NULL);</v>
      </c>
      <c r="AZ279" s="160" t="s">
        <v>2253</v>
      </c>
    </row>
    <row r="280" spans="6:52" ht="25.85" customHeight="1" outlineLevel="1" thickBot="1" x14ac:dyDescent="0.35">
      <c r="F280" s="160">
        <f t="shared" si="157"/>
        <v>16</v>
      </c>
      <c r="G280" s="160" t="s">
        <v>106</v>
      </c>
      <c r="H280" s="354">
        <f>COUNTIF(G$265:G280,G280)</f>
        <v>4</v>
      </c>
      <c r="I280" s="160" t="str">
        <f t="shared" si="147"/>
        <v>PLA4-BOISDELUX-PROJ232</v>
      </c>
      <c r="J280" s="160" t="s">
        <v>1894</v>
      </c>
      <c r="K280" s="329">
        <f>K279</f>
        <v>44928</v>
      </c>
      <c r="L280" s="160" t="s">
        <v>2152</v>
      </c>
      <c r="M280" s="160">
        <f t="shared" si="158"/>
        <v>2</v>
      </c>
      <c r="N280" s="160">
        <v>0</v>
      </c>
      <c r="S280" s="353"/>
      <c r="T280" s="160" t="s">
        <v>1922</v>
      </c>
      <c r="U280" s="160" t="str">
        <f t="shared" si="148"/>
        <v>DOCUMENTS</v>
      </c>
      <c r="V280" s="160" t="s">
        <v>2088</v>
      </c>
      <c r="W280" s="197" t="s">
        <v>168</v>
      </c>
      <c r="X280" s="360" t="s">
        <v>2020</v>
      </c>
      <c r="Y280" s="197" t="s">
        <v>303</v>
      </c>
      <c r="Z280" s="360" t="s">
        <v>2020</v>
      </c>
      <c r="AA280" s="199" t="s">
        <v>213</v>
      </c>
      <c r="AB280" s="360" t="s">
        <v>2020</v>
      </c>
      <c r="AC280" s="197" t="s">
        <v>211</v>
      </c>
      <c r="AD280" s="360" t="s">
        <v>2020</v>
      </c>
      <c r="AE280" s="197" t="s">
        <v>304</v>
      </c>
      <c r="AF280" s="360" t="s">
        <v>2020</v>
      </c>
      <c r="AG280" s="294" t="s">
        <v>287</v>
      </c>
      <c r="AH280" s="360" t="s">
        <v>2020</v>
      </c>
      <c r="AI280" s="294" t="s">
        <v>349</v>
      </c>
      <c r="AJ280" s="360" t="s">
        <v>2089</v>
      </c>
      <c r="AK280" s="160" t="str">
        <f t="shared" si="149"/>
        <v>Plan</v>
      </c>
      <c r="AL280" s="360" t="s">
        <v>2091</v>
      </c>
      <c r="AM280" s="160" t="str">
        <f t="shared" si="150"/>
        <v>PLA4-BOISDELUX-PROJ232</v>
      </c>
      <c r="AN280" s="360" t="s">
        <v>2091</v>
      </c>
      <c r="AO280" s="160" t="str">
        <f t="shared" si="151"/>
        <v>Plan de coté Est - etc</v>
      </c>
      <c r="AP280" s="360" t="s">
        <v>2091</v>
      </c>
      <c r="AQ280" s="160" t="str">
        <f t="shared" ca="1" si="152"/>
        <v>2023/01/02</v>
      </c>
      <c r="AR280" s="360" t="s">
        <v>2091</v>
      </c>
      <c r="AS280" s="160" t="str">
        <f t="shared" si="153"/>
        <v>https:\\localhost\testPathFile16</v>
      </c>
      <c r="AT280" s="360" t="s">
        <v>2093</v>
      </c>
      <c r="AU280" s="160">
        <f t="shared" si="154"/>
        <v>2</v>
      </c>
      <c r="AV280" s="360" t="s">
        <v>2020</v>
      </c>
      <c r="AW280" s="360" t="s">
        <v>1959</v>
      </c>
      <c r="AX280" s="160" t="s">
        <v>2021</v>
      </c>
      <c r="AY280" s="160" t="str">
        <f t="shared" ca="1" si="156"/>
        <v>INSERT INTO DOCUMENTS(catDoc,nameDoc,descriptionDoc,dateDoc,pathDoc,idProjet,idDeGeneration) VALUES ('Plan','PLA4-BOISDELUX-PROJ232','Plan de coté Est - etc','2023/01/02','https:\\localhost\testPathFile15',2,NULL);</v>
      </c>
      <c r="AZ280" s="160" t="s">
        <v>2254</v>
      </c>
    </row>
    <row r="281" spans="6:52" ht="15.65" outlineLevel="1" thickBot="1" x14ac:dyDescent="0.35">
      <c r="F281" s="160">
        <f t="shared" si="157"/>
        <v>17</v>
      </c>
      <c r="G281" s="160" t="s">
        <v>1885</v>
      </c>
      <c r="H281" s="354">
        <f>COUNTIF(G$265:G281,G281)</f>
        <v>4</v>
      </c>
      <c r="I281" s="160" t="str">
        <f t="shared" si="147"/>
        <v>IMG4-BOISDELUX-PROJ232</v>
      </c>
      <c r="J281" s="160" t="s">
        <v>1895</v>
      </c>
      <c r="K281" s="329">
        <f>K280+1</f>
        <v>44929</v>
      </c>
      <c r="L281" s="160" t="s">
        <v>2153</v>
      </c>
      <c r="M281" s="160">
        <f t="shared" si="158"/>
        <v>2</v>
      </c>
      <c r="N281" s="160">
        <v>0</v>
      </c>
      <c r="S281" s="353"/>
      <c r="T281" s="160" t="s">
        <v>1922</v>
      </c>
      <c r="U281" s="160" t="str">
        <f t="shared" si="148"/>
        <v>DOCUMENTS</v>
      </c>
      <c r="V281" s="160" t="s">
        <v>2088</v>
      </c>
      <c r="W281" s="197" t="s">
        <v>168</v>
      </c>
      <c r="X281" s="360" t="s">
        <v>2020</v>
      </c>
      <c r="Y281" s="197" t="s">
        <v>303</v>
      </c>
      <c r="Z281" s="360" t="s">
        <v>2020</v>
      </c>
      <c r="AA281" s="199" t="s">
        <v>213</v>
      </c>
      <c r="AB281" s="360" t="s">
        <v>2020</v>
      </c>
      <c r="AC281" s="197" t="s">
        <v>211</v>
      </c>
      <c r="AD281" s="360" t="s">
        <v>2020</v>
      </c>
      <c r="AE281" s="197" t="s">
        <v>304</v>
      </c>
      <c r="AF281" s="360" t="s">
        <v>2020</v>
      </c>
      <c r="AG281" s="294" t="s">
        <v>287</v>
      </c>
      <c r="AH281" s="360" t="s">
        <v>2020</v>
      </c>
      <c r="AI281" s="294" t="s">
        <v>349</v>
      </c>
      <c r="AJ281" s="360" t="s">
        <v>2089</v>
      </c>
      <c r="AK281" s="160" t="str">
        <f t="shared" si="149"/>
        <v>ImgPhoto</v>
      </c>
      <c r="AL281" s="360" t="s">
        <v>2091</v>
      </c>
      <c r="AM281" s="160" t="str">
        <f t="shared" si="150"/>
        <v>IMG4-BOISDELUX-PROJ232</v>
      </c>
      <c r="AN281" s="360" t="s">
        <v>2091</v>
      </c>
      <c r="AO281" s="160" t="str">
        <f t="shared" si="151"/>
        <v>Photo de projection de face</v>
      </c>
      <c r="AP281" s="360" t="s">
        <v>2091</v>
      </c>
      <c r="AQ281" s="160" t="str">
        <f t="shared" ca="1" si="152"/>
        <v>2023/01/03</v>
      </c>
      <c r="AR281" s="360" t="s">
        <v>2091</v>
      </c>
      <c r="AS281" s="160" t="str">
        <f t="shared" si="153"/>
        <v>https:\\localhost\testPathFile17</v>
      </c>
      <c r="AT281" s="360" t="s">
        <v>2093</v>
      </c>
      <c r="AU281" s="160">
        <f t="shared" si="154"/>
        <v>2</v>
      </c>
      <c r="AV281" s="360" t="s">
        <v>2020</v>
      </c>
      <c r="AW281" s="360" t="s">
        <v>1959</v>
      </c>
      <c r="AX281" s="160" t="s">
        <v>2021</v>
      </c>
      <c r="AY281" s="160" t="str">
        <f t="shared" ca="1" si="156"/>
        <v>INSERT INTO DOCUMENTS(catDoc,nameDoc,descriptionDoc,dateDoc,pathDoc,idProjet,idDeGeneration) VALUES ('ImgPhoto','IMG4-BOISDELUX-PROJ232','Photo de projection de face','2023/01/03','https:\\localhost\testPathFile16',2,NULL);</v>
      </c>
      <c r="AZ281" s="160" t="s">
        <v>2255</v>
      </c>
    </row>
    <row r="282" spans="6:52" ht="28.05" customHeight="1" outlineLevel="1" thickBot="1" x14ac:dyDescent="0.35">
      <c r="F282" s="160">
        <f t="shared" si="157"/>
        <v>18</v>
      </c>
      <c r="G282" s="160" t="s">
        <v>1885</v>
      </c>
      <c r="H282" s="354">
        <f>COUNTIF(G$265:G282,G282)</f>
        <v>5</v>
      </c>
      <c r="I282" s="160" t="str">
        <f t="shared" si="147"/>
        <v>IMG5-BOISDELUX-PROJ232</v>
      </c>
      <c r="J282" s="160" t="s">
        <v>1896</v>
      </c>
      <c r="K282" s="329">
        <f>K281</f>
        <v>44929</v>
      </c>
      <c r="L282" s="160" t="s">
        <v>2154</v>
      </c>
      <c r="M282" s="160">
        <f t="shared" si="158"/>
        <v>2</v>
      </c>
      <c r="N282" s="160">
        <v>0</v>
      </c>
      <c r="S282" s="353"/>
      <c r="T282" s="160" t="s">
        <v>1922</v>
      </c>
      <c r="U282" s="160" t="str">
        <f t="shared" si="148"/>
        <v>DOCUMENTS</v>
      </c>
      <c r="V282" s="160" t="s">
        <v>2088</v>
      </c>
      <c r="W282" s="197" t="s">
        <v>168</v>
      </c>
      <c r="X282" s="360" t="s">
        <v>2020</v>
      </c>
      <c r="Y282" s="197" t="s">
        <v>303</v>
      </c>
      <c r="Z282" s="360" t="s">
        <v>2020</v>
      </c>
      <c r="AA282" s="199" t="s">
        <v>213</v>
      </c>
      <c r="AB282" s="360" t="s">
        <v>2020</v>
      </c>
      <c r="AC282" s="197" t="s">
        <v>211</v>
      </c>
      <c r="AD282" s="360" t="s">
        <v>2020</v>
      </c>
      <c r="AE282" s="197" t="s">
        <v>304</v>
      </c>
      <c r="AF282" s="360" t="s">
        <v>2020</v>
      </c>
      <c r="AG282" s="294" t="s">
        <v>287</v>
      </c>
      <c r="AH282" s="360" t="s">
        <v>2020</v>
      </c>
      <c r="AI282" s="294" t="s">
        <v>349</v>
      </c>
      <c r="AJ282" s="360" t="s">
        <v>2089</v>
      </c>
      <c r="AK282" s="160" t="str">
        <f t="shared" si="149"/>
        <v>ImgPhoto</v>
      </c>
      <c r="AL282" s="360" t="s">
        <v>2091</v>
      </c>
      <c r="AM282" s="160" t="str">
        <f t="shared" si="150"/>
        <v>IMG5-BOISDELUX-PROJ232</v>
      </c>
      <c r="AN282" s="360" t="s">
        <v>2091</v>
      </c>
      <c r="AO282" s="160" t="str">
        <f t="shared" si="151"/>
        <v>Photo de projection de coté Est</v>
      </c>
      <c r="AP282" s="360" t="s">
        <v>2091</v>
      </c>
      <c r="AQ282" s="160" t="str">
        <f t="shared" ca="1" si="152"/>
        <v>2023/01/03</v>
      </c>
      <c r="AR282" s="360" t="s">
        <v>2091</v>
      </c>
      <c r="AS282" s="160" t="str">
        <f t="shared" si="153"/>
        <v>https:\\localhost\testPathFile18</v>
      </c>
      <c r="AT282" s="360" t="s">
        <v>2093</v>
      </c>
      <c r="AU282" s="160">
        <f t="shared" si="154"/>
        <v>2</v>
      </c>
      <c r="AV282" s="360" t="s">
        <v>2020</v>
      </c>
      <c r="AW282" s="360" t="s">
        <v>1959</v>
      </c>
      <c r="AX282" s="160" t="s">
        <v>2021</v>
      </c>
      <c r="AY282" s="160" t="str">
        <f t="shared" ca="1" si="156"/>
        <v>INSERT INTO DOCUMENTS(catDoc,nameDoc,descriptionDoc,dateDoc,pathDoc,idProjet,idDeGeneration) VALUES ('ImgPhoto','IMG5-BOISDELUX-PROJ232','Photo de projection de coté Est','2023/01/03','https:\\localhost\testPathFile17',2,NULL);</v>
      </c>
      <c r="AZ282" s="160" t="s">
        <v>2256</v>
      </c>
    </row>
    <row r="283" spans="6:52" ht="30.05" customHeight="1" outlineLevel="1" thickBot="1" x14ac:dyDescent="0.35">
      <c r="F283" s="160">
        <f t="shared" si="157"/>
        <v>19</v>
      </c>
      <c r="G283" s="160" t="s">
        <v>1885</v>
      </c>
      <c r="H283" s="354">
        <f>COUNTIF(G$265:G283,G283)</f>
        <v>6</v>
      </c>
      <c r="I283" s="160" t="str">
        <f t="shared" si="147"/>
        <v>IMG6-BOISDELUX-PROJ232</v>
      </c>
      <c r="J283" s="160" t="s">
        <v>1897</v>
      </c>
      <c r="K283" s="329">
        <f>K282+1</f>
        <v>44930</v>
      </c>
      <c r="L283" s="160" t="s">
        <v>2155</v>
      </c>
      <c r="M283" s="160">
        <f t="shared" si="158"/>
        <v>2</v>
      </c>
      <c r="N283" s="160">
        <v>0</v>
      </c>
      <c r="S283" s="353"/>
      <c r="T283" s="160" t="s">
        <v>1922</v>
      </c>
      <c r="U283" s="160" t="str">
        <f t="shared" si="148"/>
        <v>DOCUMENTS</v>
      </c>
      <c r="V283" s="160" t="s">
        <v>2088</v>
      </c>
      <c r="W283" s="197" t="s">
        <v>168</v>
      </c>
      <c r="X283" s="360" t="s">
        <v>2020</v>
      </c>
      <c r="Y283" s="197" t="s">
        <v>303</v>
      </c>
      <c r="Z283" s="360" t="s">
        <v>2020</v>
      </c>
      <c r="AA283" s="199" t="s">
        <v>213</v>
      </c>
      <c r="AB283" s="360" t="s">
        <v>2020</v>
      </c>
      <c r="AC283" s="197" t="s">
        <v>211</v>
      </c>
      <c r="AD283" s="360" t="s">
        <v>2020</v>
      </c>
      <c r="AE283" s="197" t="s">
        <v>304</v>
      </c>
      <c r="AF283" s="360" t="s">
        <v>2020</v>
      </c>
      <c r="AG283" s="294" t="s">
        <v>287</v>
      </c>
      <c r="AH283" s="360" t="s">
        <v>2020</v>
      </c>
      <c r="AI283" s="294" t="s">
        <v>349</v>
      </c>
      <c r="AJ283" s="360" t="s">
        <v>2089</v>
      </c>
      <c r="AK283" s="160" t="str">
        <f t="shared" si="149"/>
        <v>ImgPhoto</v>
      </c>
      <c r="AL283" s="360" t="s">
        <v>2091</v>
      </c>
      <c r="AM283" s="160" t="str">
        <f t="shared" si="150"/>
        <v>IMG6-BOISDELUX-PROJ232</v>
      </c>
      <c r="AN283" s="360" t="s">
        <v>2091</v>
      </c>
      <c r="AO283" s="160" t="str">
        <f t="shared" si="151"/>
        <v>Photo de projection dcoté Ouest et Sud</v>
      </c>
      <c r="AP283" s="360" t="s">
        <v>2091</v>
      </c>
      <c r="AQ283" s="160" t="str">
        <f t="shared" ca="1" si="152"/>
        <v>2023/01/04</v>
      </c>
      <c r="AR283" s="360" t="s">
        <v>2091</v>
      </c>
      <c r="AS283" s="160" t="str">
        <f t="shared" si="153"/>
        <v>https:\\localhost\testPathFile19</v>
      </c>
      <c r="AT283" s="360" t="s">
        <v>2093</v>
      </c>
      <c r="AU283" s="160">
        <f t="shared" si="154"/>
        <v>2</v>
      </c>
      <c r="AV283" s="360" t="s">
        <v>2020</v>
      </c>
      <c r="AW283" s="360" t="s">
        <v>1959</v>
      </c>
      <c r="AX283" s="160" t="s">
        <v>2021</v>
      </c>
      <c r="AY283" s="160" t="str">
        <f t="shared" ca="1" si="156"/>
        <v>INSERT INTO DOCUMENTS(catDoc,nameDoc,descriptionDoc,dateDoc,pathDoc,idProjet,idDeGeneration) VALUES ('ImgPhoto','IMG6-BOISDELUX-PROJ232','Photo de projection dcoté Ouest et Sud','2023/01/04','https:\\localhost\testPathFile18',2,NULL);</v>
      </c>
      <c r="AZ283" s="160" t="s">
        <v>2257</v>
      </c>
    </row>
    <row r="284" spans="6:52" ht="20.05" customHeight="1" outlineLevel="1" thickBot="1" x14ac:dyDescent="0.35">
      <c r="F284" s="160">
        <f t="shared" si="157"/>
        <v>20</v>
      </c>
      <c r="G284" s="160" t="s">
        <v>109</v>
      </c>
      <c r="H284" s="354">
        <f>COUNTIF(G$265:G284,G284)</f>
        <v>2</v>
      </c>
      <c r="I284" s="160" t="str">
        <f t="shared" si="147"/>
        <v>SCH2-BOISDELUX-PROJ232</v>
      </c>
      <c r="J284" s="160" t="s">
        <v>1898</v>
      </c>
      <c r="K284" s="329">
        <f>K283</f>
        <v>44930</v>
      </c>
      <c r="L284" s="160" t="s">
        <v>2156</v>
      </c>
      <c r="M284" s="160">
        <f t="shared" si="158"/>
        <v>2</v>
      </c>
      <c r="N284" s="160">
        <v>0</v>
      </c>
      <c r="S284" s="353"/>
      <c r="T284" s="160" t="s">
        <v>1922</v>
      </c>
      <c r="U284" s="160" t="str">
        <f t="shared" si="148"/>
        <v>DOCUMENTS</v>
      </c>
      <c r="V284" s="160" t="s">
        <v>2088</v>
      </c>
      <c r="W284" s="197" t="s">
        <v>168</v>
      </c>
      <c r="X284" s="360" t="s">
        <v>2020</v>
      </c>
      <c r="Y284" s="197" t="s">
        <v>303</v>
      </c>
      <c r="Z284" s="360" t="s">
        <v>2020</v>
      </c>
      <c r="AA284" s="199" t="s">
        <v>213</v>
      </c>
      <c r="AB284" s="360" t="s">
        <v>2020</v>
      </c>
      <c r="AC284" s="197" t="s">
        <v>211</v>
      </c>
      <c r="AD284" s="360" t="s">
        <v>2020</v>
      </c>
      <c r="AE284" s="197" t="s">
        <v>304</v>
      </c>
      <c r="AF284" s="360" t="s">
        <v>2020</v>
      </c>
      <c r="AG284" s="294" t="s">
        <v>287</v>
      </c>
      <c r="AH284" s="360" t="s">
        <v>2020</v>
      </c>
      <c r="AI284" s="294" t="s">
        <v>349</v>
      </c>
      <c r="AJ284" s="360" t="s">
        <v>2089</v>
      </c>
      <c r="AK284" s="160" t="str">
        <f t="shared" si="149"/>
        <v>Schema</v>
      </c>
      <c r="AL284" s="360" t="s">
        <v>2091</v>
      </c>
      <c r="AM284" s="160" t="str">
        <f t="shared" si="150"/>
        <v>SCH2-BOISDELUX-PROJ232</v>
      </c>
      <c r="AN284" s="360" t="s">
        <v>2091</v>
      </c>
      <c r="AO284" s="160" t="str">
        <f t="shared" si="151"/>
        <v>Schema de principe de circulation</v>
      </c>
      <c r="AP284" s="360" t="s">
        <v>2091</v>
      </c>
      <c r="AQ284" s="160" t="str">
        <f t="shared" ca="1" si="152"/>
        <v>2023/01/04</v>
      </c>
      <c r="AR284" s="360" t="s">
        <v>2091</v>
      </c>
      <c r="AS284" s="160" t="str">
        <f t="shared" si="153"/>
        <v>https:\\localhost\testPathFile20</v>
      </c>
      <c r="AT284" s="360" t="s">
        <v>2093</v>
      </c>
      <c r="AU284" s="160">
        <f t="shared" si="154"/>
        <v>2</v>
      </c>
      <c r="AV284" s="360" t="s">
        <v>2020</v>
      </c>
      <c r="AW284" s="360" t="s">
        <v>1959</v>
      </c>
      <c r="AX284" s="160" t="s">
        <v>2021</v>
      </c>
      <c r="AY284" s="160" t="str">
        <f t="shared" ca="1" si="156"/>
        <v>INSERT INTO DOCUMENTS(catDoc,nameDoc,descriptionDoc,dateDoc,pathDoc,idProjet,idDeGeneration) VALUES ('Schema','SCH2-BOISDELUX-PROJ232','Schema de principe de circulation','2023/01/04','https:\\localhost\testPathFile19',2,NULL);</v>
      </c>
      <c r="AZ284" s="160" t="s">
        <v>2258</v>
      </c>
    </row>
    <row r="285" spans="6:52" ht="20.05" customHeight="1" outlineLevel="1" thickBot="1" x14ac:dyDescent="0.35">
      <c r="F285" s="160">
        <f t="shared" si="157"/>
        <v>21</v>
      </c>
      <c r="G285" s="160" t="s">
        <v>1887</v>
      </c>
      <c r="H285" s="354">
        <f>COUNTIF(G$265:G285,G285)</f>
        <v>4</v>
      </c>
      <c r="I285" s="160" t="str">
        <f t="shared" si="147"/>
        <v>DIV4-BOISDELUX-PROJ232</v>
      </c>
      <c r="J285" s="160" t="s">
        <v>2231</v>
      </c>
      <c r="K285" s="329">
        <f>K284+4</f>
        <v>44934</v>
      </c>
      <c r="L285" s="160" t="s">
        <v>2157</v>
      </c>
      <c r="M285" s="160">
        <f t="shared" si="158"/>
        <v>2</v>
      </c>
      <c r="N285" s="160">
        <v>0</v>
      </c>
      <c r="S285" s="353"/>
      <c r="T285" s="160" t="s">
        <v>1922</v>
      </c>
      <c r="U285" s="160" t="str">
        <f t="shared" si="148"/>
        <v>DOCUMENTS</v>
      </c>
      <c r="V285" s="160" t="s">
        <v>2088</v>
      </c>
      <c r="W285" s="197" t="s">
        <v>168</v>
      </c>
      <c r="X285" s="360" t="s">
        <v>2020</v>
      </c>
      <c r="Y285" s="197" t="s">
        <v>303</v>
      </c>
      <c r="Z285" s="360" t="s">
        <v>2020</v>
      </c>
      <c r="AA285" s="199" t="s">
        <v>213</v>
      </c>
      <c r="AB285" s="360" t="s">
        <v>2020</v>
      </c>
      <c r="AC285" s="197" t="s">
        <v>211</v>
      </c>
      <c r="AD285" s="360" t="s">
        <v>2020</v>
      </c>
      <c r="AE285" s="197" t="s">
        <v>304</v>
      </c>
      <c r="AF285" s="360" t="s">
        <v>2020</v>
      </c>
      <c r="AG285" s="294" t="s">
        <v>287</v>
      </c>
      <c r="AH285" s="360" t="s">
        <v>2020</v>
      </c>
      <c r="AI285" s="294" t="s">
        <v>349</v>
      </c>
      <c r="AJ285" s="360" t="s">
        <v>2089</v>
      </c>
      <c r="AK285" s="160" t="str">
        <f t="shared" si="149"/>
        <v>Divers</v>
      </c>
      <c r="AL285" s="360" t="s">
        <v>2091</v>
      </c>
      <c r="AM285" s="160" t="str">
        <f t="shared" si="150"/>
        <v>DIV4-BOISDELUX-PROJ232</v>
      </c>
      <c r="AN285" s="360" t="s">
        <v>2091</v>
      </c>
      <c r="AO285" s="160" t="str">
        <f t="shared" si="151"/>
        <v>Relevé de Coût pour ameublement</v>
      </c>
      <c r="AP285" s="360" t="s">
        <v>2091</v>
      </c>
      <c r="AQ285" s="160" t="str">
        <f t="shared" ca="1" si="152"/>
        <v>2023/01/08</v>
      </c>
      <c r="AR285" s="360" t="s">
        <v>2091</v>
      </c>
      <c r="AS285" s="160" t="str">
        <f t="shared" si="153"/>
        <v>https:\\localhost\testPathFile21</v>
      </c>
      <c r="AT285" s="360" t="s">
        <v>2093</v>
      </c>
      <c r="AU285" s="160">
        <f t="shared" si="154"/>
        <v>2</v>
      </c>
      <c r="AV285" s="360" t="s">
        <v>2020</v>
      </c>
      <c r="AW285" s="360" t="s">
        <v>1959</v>
      </c>
      <c r="AX285" s="160" t="s">
        <v>2021</v>
      </c>
      <c r="AY285" s="160" t="str">
        <f t="shared" ca="1" si="156"/>
        <v>INSERT INTO DOCUMENTS(catDoc,nameDoc,descriptionDoc,dateDoc,pathDoc,idProjet,idDeGeneration) VALUES ('Divers','DIV4-BOISDELUX-PROJ232','Relevé de Coût pour ameublement','2023/01/08','https:\\localhost\testPathFile20',2,NULL);</v>
      </c>
      <c r="AZ285" s="160" t="s">
        <v>2287</v>
      </c>
    </row>
    <row r="286" spans="6:52" ht="20.05" customHeight="1" outlineLevel="1" thickBot="1" x14ac:dyDescent="0.35">
      <c r="F286" s="160">
        <f t="shared" si="157"/>
        <v>22</v>
      </c>
      <c r="G286" s="160" t="s">
        <v>1887</v>
      </c>
      <c r="H286" s="354">
        <f>COUNTIF(G$265:G286,G286)</f>
        <v>5</v>
      </c>
      <c r="I286" s="160" t="str">
        <f t="shared" si="147"/>
        <v>DIV5-BOISDELUX-PROJ232</v>
      </c>
      <c r="J286" s="160" t="s">
        <v>1900</v>
      </c>
      <c r="K286" s="329">
        <f>K285+1</f>
        <v>44935</v>
      </c>
      <c r="L286" s="160" t="s">
        <v>2158</v>
      </c>
      <c r="M286" s="160">
        <f t="shared" si="158"/>
        <v>2</v>
      </c>
      <c r="N286" s="160">
        <v>0</v>
      </c>
      <c r="S286" s="353"/>
      <c r="T286" s="160" t="s">
        <v>1922</v>
      </c>
      <c r="U286" s="160" t="str">
        <f t="shared" si="148"/>
        <v>DOCUMENTS</v>
      </c>
      <c r="V286" s="160" t="s">
        <v>2088</v>
      </c>
      <c r="W286" s="197" t="s">
        <v>168</v>
      </c>
      <c r="X286" s="360" t="s">
        <v>2020</v>
      </c>
      <c r="Y286" s="197" t="s">
        <v>303</v>
      </c>
      <c r="Z286" s="360" t="s">
        <v>2020</v>
      </c>
      <c r="AA286" s="199" t="s">
        <v>213</v>
      </c>
      <c r="AB286" s="360" t="s">
        <v>2020</v>
      </c>
      <c r="AC286" s="197" t="s">
        <v>211</v>
      </c>
      <c r="AD286" s="360" t="s">
        <v>2020</v>
      </c>
      <c r="AE286" s="197" t="s">
        <v>304</v>
      </c>
      <c r="AF286" s="360" t="s">
        <v>2020</v>
      </c>
      <c r="AG286" s="294" t="s">
        <v>287</v>
      </c>
      <c r="AH286" s="360" t="s">
        <v>2020</v>
      </c>
      <c r="AI286" s="294" t="s">
        <v>349</v>
      </c>
      <c r="AJ286" s="360" t="s">
        <v>2089</v>
      </c>
      <c r="AK286" s="160" t="str">
        <f t="shared" si="149"/>
        <v>Divers</v>
      </c>
      <c r="AL286" s="360" t="s">
        <v>2091</v>
      </c>
      <c r="AM286" s="160" t="str">
        <f t="shared" si="150"/>
        <v>DIV5-BOISDELUX-PROJ232</v>
      </c>
      <c r="AN286" s="360" t="s">
        <v>2091</v>
      </c>
      <c r="AO286" s="160" t="str">
        <f t="shared" si="151"/>
        <v>Prise des cotes et des piges</v>
      </c>
      <c r="AP286" s="360" t="s">
        <v>2091</v>
      </c>
      <c r="AQ286" s="160" t="str">
        <f t="shared" ca="1" si="152"/>
        <v>2023/01/09</v>
      </c>
      <c r="AR286" s="360" t="s">
        <v>2091</v>
      </c>
      <c r="AS286" s="160" t="str">
        <f t="shared" si="153"/>
        <v>https:\\localhost\testPathFile22</v>
      </c>
      <c r="AT286" s="360" t="s">
        <v>2093</v>
      </c>
      <c r="AU286" s="160">
        <f t="shared" si="154"/>
        <v>2</v>
      </c>
      <c r="AV286" s="360" t="s">
        <v>2020</v>
      </c>
      <c r="AW286" s="360" t="s">
        <v>1959</v>
      </c>
      <c r="AX286" s="160" t="s">
        <v>2021</v>
      </c>
      <c r="AY286" s="160" t="str">
        <f t="shared" ca="1" si="156"/>
        <v>INSERT INTO DOCUMENTS(catDoc,nameDoc,descriptionDoc,dateDoc,pathDoc,idProjet,idDeGeneration) VALUES ('Divers','DIV5-BOISDELUX-PROJ232','Prise des cotes et des piges','2023/01/09','https:\\localhost\testPathFile21',2,NULL);</v>
      </c>
      <c r="AZ286" s="160" t="s">
        <v>2288</v>
      </c>
    </row>
    <row r="287" spans="6:52" ht="20.05" customHeight="1" outlineLevel="1" thickBot="1" x14ac:dyDescent="0.35">
      <c r="F287" s="160">
        <f t="shared" si="157"/>
        <v>23</v>
      </c>
      <c r="G287" s="160" t="s">
        <v>1887</v>
      </c>
      <c r="H287" s="354">
        <f>COUNTIF(G$265:G287,G287)</f>
        <v>6</v>
      </c>
      <c r="I287" s="160" t="str">
        <f t="shared" si="147"/>
        <v>DIV6-BOISDELUX-PROJ232</v>
      </c>
      <c r="J287" s="160" t="s">
        <v>1901</v>
      </c>
      <c r="K287" s="329">
        <f>K286</f>
        <v>44935</v>
      </c>
      <c r="L287" s="160" t="s">
        <v>2159</v>
      </c>
      <c r="M287" s="160">
        <f t="shared" si="158"/>
        <v>2</v>
      </c>
      <c r="N287" s="160">
        <v>0</v>
      </c>
      <c r="S287" s="353"/>
      <c r="T287" s="160" t="s">
        <v>1922</v>
      </c>
      <c r="U287" s="160" t="str">
        <f t="shared" si="148"/>
        <v>DOCUMENTS</v>
      </c>
      <c r="V287" s="160" t="s">
        <v>2088</v>
      </c>
      <c r="W287" s="197" t="s">
        <v>168</v>
      </c>
      <c r="X287" s="360" t="s">
        <v>2020</v>
      </c>
      <c r="Y287" s="197" t="s">
        <v>303</v>
      </c>
      <c r="Z287" s="360" t="s">
        <v>2020</v>
      </c>
      <c r="AA287" s="199" t="s">
        <v>213</v>
      </c>
      <c r="AB287" s="360" t="s">
        <v>2020</v>
      </c>
      <c r="AC287" s="197" t="s">
        <v>211</v>
      </c>
      <c r="AD287" s="360" t="s">
        <v>2020</v>
      </c>
      <c r="AE287" s="197" t="s">
        <v>304</v>
      </c>
      <c r="AF287" s="360" t="s">
        <v>2020</v>
      </c>
      <c r="AG287" s="294" t="s">
        <v>287</v>
      </c>
      <c r="AH287" s="360" t="s">
        <v>2020</v>
      </c>
      <c r="AI287" s="294" t="s">
        <v>349</v>
      </c>
      <c r="AJ287" s="360" t="s">
        <v>2089</v>
      </c>
      <c r="AK287" s="160" t="str">
        <f t="shared" si="149"/>
        <v>Divers</v>
      </c>
      <c r="AL287" s="360" t="s">
        <v>2091</v>
      </c>
      <c r="AM287" s="160" t="str">
        <f t="shared" si="150"/>
        <v>DIV6-BOISDELUX-PROJ232</v>
      </c>
      <c r="AN287" s="360" t="s">
        <v>2091</v>
      </c>
      <c r="AO287" s="160" t="str">
        <f t="shared" si="151"/>
        <v>Document de Chiffrage du projet</v>
      </c>
      <c r="AP287" s="360" t="s">
        <v>2091</v>
      </c>
      <c r="AQ287" s="160" t="str">
        <f t="shared" ca="1" si="152"/>
        <v>2023/01/09</v>
      </c>
      <c r="AR287" s="360" t="s">
        <v>2091</v>
      </c>
      <c r="AS287" s="160" t="str">
        <f t="shared" si="153"/>
        <v>https:\\localhost\testPathFile23</v>
      </c>
      <c r="AT287" s="360" t="s">
        <v>2093</v>
      </c>
      <c r="AU287" s="160">
        <f t="shared" si="154"/>
        <v>2</v>
      </c>
      <c r="AV287" s="360" t="s">
        <v>2020</v>
      </c>
      <c r="AW287" s="360" t="s">
        <v>1959</v>
      </c>
      <c r="AX287" s="160" t="s">
        <v>2021</v>
      </c>
      <c r="AY287" s="160" t="str">
        <f t="shared" ca="1" si="156"/>
        <v>INSERT INTO DOCUMENTS(catDoc,nameDoc,descriptionDoc,dateDoc,pathDoc,idProjet,idDeGeneration) VALUES ('Divers','DIV6-BOISDELUX-PROJ232','Document de Chiffrage du projet','2023/01/09','https:\\localhost\testPathFile22',2,NULL);</v>
      </c>
      <c r="AZ287" s="160" t="s">
        <v>2289</v>
      </c>
    </row>
    <row r="288" spans="6:52" ht="15.65" thickBot="1" x14ac:dyDescent="0.35">
      <c r="F288" s="160">
        <f t="shared" si="157"/>
        <v>24</v>
      </c>
      <c r="G288" s="160" t="s">
        <v>105</v>
      </c>
      <c r="H288" s="354">
        <f>COUNTIF(G$265:G288,G288)</f>
        <v>4</v>
      </c>
      <c r="I288" s="160" t="str">
        <f t="shared" si="147"/>
        <v>FAC4-BOISDELUX-PROJ232</v>
      </c>
      <c r="J288" s="160" t="s">
        <v>2240</v>
      </c>
      <c r="K288" s="329">
        <f>IF(N288=0,"",_xlfn.XLOOKUP(N288,F$32:F$54,G$32:G$54))</f>
        <v>44960</v>
      </c>
      <c r="L288" s="160" t="s">
        <v>2160</v>
      </c>
      <c r="M288" s="160">
        <f t="shared" si="158"/>
        <v>2</v>
      </c>
      <c r="N288" s="160">
        <v>9</v>
      </c>
      <c r="S288" s="353"/>
      <c r="T288" s="160" t="s">
        <v>1922</v>
      </c>
      <c r="U288" s="160" t="str">
        <f t="shared" si="148"/>
        <v>DOCUMENTS</v>
      </c>
      <c r="V288" s="160" t="s">
        <v>2088</v>
      </c>
      <c r="W288" s="197" t="s">
        <v>168</v>
      </c>
      <c r="X288" s="360" t="s">
        <v>2020</v>
      </c>
      <c r="Y288" s="197" t="s">
        <v>303</v>
      </c>
      <c r="Z288" s="360" t="s">
        <v>2020</v>
      </c>
      <c r="AA288" s="199" t="s">
        <v>213</v>
      </c>
      <c r="AB288" s="360" t="s">
        <v>2020</v>
      </c>
      <c r="AC288" s="197" t="s">
        <v>211</v>
      </c>
      <c r="AD288" s="360" t="s">
        <v>2020</v>
      </c>
      <c r="AE288" s="197" t="s">
        <v>304</v>
      </c>
      <c r="AF288" s="360" t="s">
        <v>2020</v>
      </c>
      <c r="AG288" s="294" t="s">
        <v>287</v>
      </c>
      <c r="AH288" s="360" t="s">
        <v>2020</v>
      </c>
      <c r="AI288" s="294" t="s">
        <v>349</v>
      </c>
      <c r="AJ288" s="360" t="s">
        <v>2089</v>
      </c>
      <c r="AK288" s="160" t="str">
        <f t="shared" si="149"/>
        <v>Facture</v>
      </c>
      <c r="AL288" s="360" t="s">
        <v>2091</v>
      </c>
      <c r="AM288" s="160" t="str">
        <f t="shared" si="150"/>
        <v>FAC4-BOISDELUX-PROJ232</v>
      </c>
      <c r="AN288" s="360" t="s">
        <v>2091</v>
      </c>
      <c r="AO288" s="160" t="str">
        <f t="shared" si="151"/>
        <v>Facture transmise pour autorisation exploitation</v>
      </c>
      <c r="AP288" s="360" t="s">
        <v>2091</v>
      </c>
      <c r="AQ288" s="160" t="str">
        <f t="shared" ca="1" si="152"/>
        <v>2023/02/03</v>
      </c>
      <c r="AR288" s="360" t="s">
        <v>2091</v>
      </c>
      <c r="AS288" s="160" t="str">
        <f t="shared" si="153"/>
        <v>https:\\localhost\testPathFile24</v>
      </c>
      <c r="AT288" s="360" t="s">
        <v>2093</v>
      </c>
      <c r="AU288" s="160">
        <f t="shared" si="154"/>
        <v>2</v>
      </c>
      <c r="AV288" s="360" t="s">
        <v>2020</v>
      </c>
      <c r="AW288" s="160">
        <f t="shared" si="155"/>
        <v>9</v>
      </c>
      <c r="AX288" s="160" t="s">
        <v>2021</v>
      </c>
      <c r="AY288" s="160" t="str">
        <f t="shared" ca="1" si="156"/>
        <v>INSERT INTO DOCUMENTS(catDoc,nameDoc,descriptionDoc,dateDoc,pathDoc,idProjet,idDeGeneration) VALUES ('Facture','FAC4-BOISDELUX-PROJ232','Facture transmise pour autorisation exploitation','2023/02/03','https:\\localhost\testPathFile23',2,9);</v>
      </c>
      <c r="AZ288" s="160" t="s">
        <v>2242</v>
      </c>
    </row>
    <row r="289" spans="6:52" ht="20.05" customHeight="1" outlineLevel="1" thickBot="1" x14ac:dyDescent="0.35">
      <c r="F289" s="160">
        <f t="shared" si="157"/>
        <v>25</v>
      </c>
      <c r="G289" s="160" t="s">
        <v>104</v>
      </c>
      <c r="H289" s="354">
        <f>COUNTIF(G289,G289)</f>
        <v>1</v>
      </c>
      <c r="I289" s="160" t="str">
        <f t="shared" si="147"/>
        <v>DEV1-RAMENETAFRAISE-PROJ233</v>
      </c>
      <c r="J289" s="160" t="s">
        <v>1891</v>
      </c>
      <c r="K289" s="329">
        <f>IF(N289=0,"",_xlfn.XLOOKUP(N289,F$32:F$54,G$32:G$54))</f>
        <v>44936</v>
      </c>
      <c r="L289" s="160" t="s">
        <v>2161</v>
      </c>
      <c r="M289" s="160">
        <v>3</v>
      </c>
      <c r="N289" s="160">
        <v>5</v>
      </c>
      <c r="S289" s="353"/>
      <c r="T289" s="160" t="s">
        <v>1922</v>
      </c>
      <c r="U289" s="160" t="str">
        <f t="shared" si="148"/>
        <v>DOCUMENTS</v>
      </c>
      <c r="V289" s="160" t="s">
        <v>2088</v>
      </c>
      <c r="W289" s="197" t="s">
        <v>168</v>
      </c>
      <c r="X289" s="360" t="s">
        <v>2020</v>
      </c>
      <c r="Y289" s="197" t="s">
        <v>303</v>
      </c>
      <c r="Z289" s="360" t="s">
        <v>2020</v>
      </c>
      <c r="AA289" s="199" t="s">
        <v>213</v>
      </c>
      <c r="AB289" s="360" t="s">
        <v>2020</v>
      </c>
      <c r="AC289" s="197" t="s">
        <v>211</v>
      </c>
      <c r="AD289" s="360" t="s">
        <v>2020</v>
      </c>
      <c r="AE289" s="197" t="s">
        <v>304</v>
      </c>
      <c r="AF289" s="360" t="s">
        <v>2020</v>
      </c>
      <c r="AG289" s="294" t="s">
        <v>287</v>
      </c>
      <c r="AH289" s="360" t="s">
        <v>2020</v>
      </c>
      <c r="AI289" s="294" t="s">
        <v>349</v>
      </c>
      <c r="AJ289" s="360" t="s">
        <v>2089</v>
      </c>
      <c r="AK289" s="160" t="str">
        <f t="shared" si="149"/>
        <v>Devis</v>
      </c>
      <c r="AL289" s="360" t="s">
        <v>2091</v>
      </c>
      <c r="AM289" s="160" t="str">
        <f t="shared" si="150"/>
        <v>DEV1-RAMENETAFRAISE-PROJ233</v>
      </c>
      <c r="AN289" s="360" t="s">
        <v>2091</v>
      </c>
      <c r="AO289" s="160" t="str">
        <f t="shared" si="151"/>
        <v>Proposition commerciale du projet</v>
      </c>
      <c r="AP289" s="360" t="s">
        <v>2091</v>
      </c>
      <c r="AQ289" s="160" t="str">
        <f t="shared" ca="1" si="152"/>
        <v>2023/01/10</v>
      </c>
      <c r="AR289" s="360" t="s">
        <v>2091</v>
      </c>
      <c r="AS289" s="160" t="str">
        <f t="shared" si="153"/>
        <v>https:\\localhost\testPathFile25</v>
      </c>
      <c r="AT289" s="360" t="s">
        <v>2093</v>
      </c>
      <c r="AU289" s="160">
        <f t="shared" si="154"/>
        <v>3</v>
      </c>
      <c r="AV289" s="360" t="s">
        <v>2020</v>
      </c>
      <c r="AW289" s="160">
        <f t="shared" si="155"/>
        <v>5</v>
      </c>
      <c r="AX289" s="160" t="s">
        <v>2021</v>
      </c>
      <c r="AY289" s="160" t="str">
        <f t="shared" ca="1" si="156"/>
        <v>INSERT INTO DOCUMENTS(catDoc,nameDoc,descriptionDoc,dateDoc,pathDoc,idProjet,idDeGeneration) VALUES ('Devis','DEV1-RAMENETAFRAISE-PROJ233','Proposition commerciale du projet','2023/01/10','https:\\localhost\testPathFile24',3,5);</v>
      </c>
      <c r="AZ289" s="160" t="s">
        <v>2224</v>
      </c>
    </row>
    <row r="290" spans="6:52" ht="20.05" customHeight="1" outlineLevel="1" thickBot="1" x14ac:dyDescent="0.35">
      <c r="F290" s="160">
        <f t="shared" si="157"/>
        <v>26</v>
      </c>
      <c r="G290" s="160" t="s">
        <v>105</v>
      </c>
      <c r="H290" s="354">
        <f>COUNTIF(G$265:G290,G290)</f>
        <v>5</v>
      </c>
      <c r="I290" s="160" t="str">
        <f t="shared" si="147"/>
        <v>FAC5-RAMENETAFRAISE-PROJ233</v>
      </c>
      <c r="J290" s="160" t="s">
        <v>2230</v>
      </c>
      <c r="K290" s="329">
        <f>IF(N290=0,"",_xlfn.XLOOKUP(N290,F$32:F$54,G$32:G$54))</f>
        <v>44946</v>
      </c>
      <c r="L290" s="160" t="s">
        <v>2162</v>
      </c>
      <c r="M290" s="160">
        <f>M289</f>
        <v>3</v>
      </c>
      <c r="N290" s="160">
        <v>7</v>
      </c>
      <c r="S290" s="353"/>
      <c r="T290" s="160" t="s">
        <v>1922</v>
      </c>
      <c r="U290" s="160" t="str">
        <f t="shared" si="148"/>
        <v>DOCUMENTS</v>
      </c>
      <c r="V290" s="160" t="s">
        <v>2088</v>
      </c>
      <c r="W290" s="197" t="s">
        <v>168</v>
      </c>
      <c r="X290" s="360" t="s">
        <v>2020</v>
      </c>
      <c r="Y290" s="197" t="s">
        <v>303</v>
      </c>
      <c r="Z290" s="360" t="s">
        <v>2020</v>
      </c>
      <c r="AA290" s="199" t="s">
        <v>213</v>
      </c>
      <c r="AB290" s="360" t="s">
        <v>2020</v>
      </c>
      <c r="AC290" s="197" t="s">
        <v>211</v>
      </c>
      <c r="AD290" s="360" t="s">
        <v>2020</v>
      </c>
      <c r="AE290" s="197" t="s">
        <v>304</v>
      </c>
      <c r="AF290" s="360" t="s">
        <v>2020</v>
      </c>
      <c r="AG290" s="294" t="s">
        <v>287</v>
      </c>
      <c r="AH290" s="360" t="s">
        <v>2020</v>
      </c>
      <c r="AI290" s="294" t="s">
        <v>349</v>
      </c>
      <c r="AJ290" s="360" t="s">
        <v>2089</v>
      </c>
      <c r="AK290" s="160" t="str">
        <f t="shared" si="149"/>
        <v>Facture</v>
      </c>
      <c r="AL290" s="360" t="s">
        <v>2091</v>
      </c>
      <c r="AM290" s="160" t="str">
        <f t="shared" si="150"/>
        <v>FAC5-RAMENETAFRAISE-PROJ233</v>
      </c>
      <c r="AN290" s="360" t="s">
        <v>2091</v>
      </c>
      <c r="AO290" s="160" t="str">
        <f t="shared" si="151"/>
        <v>Facture accompte pour démarrer les travaux</v>
      </c>
      <c r="AP290" s="360" t="s">
        <v>2091</v>
      </c>
      <c r="AQ290" s="160" t="str">
        <f t="shared" ca="1" si="152"/>
        <v>2023/01/20</v>
      </c>
      <c r="AR290" s="360" t="s">
        <v>2091</v>
      </c>
      <c r="AS290" s="160" t="str">
        <f t="shared" si="153"/>
        <v>https:\\localhost\testPathFile26</v>
      </c>
      <c r="AT290" s="360" t="s">
        <v>2093</v>
      </c>
      <c r="AU290" s="160">
        <f t="shared" si="154"/>
        <v>3</v>
      </c>
      <c r="AV290" s="360" t="s">
        <v>2020</v>
      </c>
      <c r="AW290" s="160">
        <f t="shared" si="155"/>
        <v>7</v>
      </c>
      <c r="AX290" s="160" t="s">
        <v>2021</v>
      </c>
      <c r="AY290" s="160" t="str">
        <f t="shared" ca="1" si="156"/>
        <v>INSERT INTO DOCUMENTS(catDoc,nameDoc,descriptionDoc,dateDoc,pathDoc,idProjet,idDeGeneration) VALUES ('Facture','FAC5-RAMENETAFRAISE-PROJ233','Facture accompte pour démarrer les travaux','2023/01/20','https:\\localhost\testPathFile25',3,7);</v>
      </c>
      <c r="AZ290" s="160" t="s">
        <v>2234</v>
      </c>
    </row>
    <row r="291" spans="6:52" ht="32.6" customHeight="1" outlineLevel="1" thickBot="1" x14ac:dyDescent="0.35">
      <c r="F291" s="160">
        <f t="shared" si="157"/>
        <v>27</v>
      </c>
      <c r="G291" s="160" t="s">
        <v>106</v>
      </c>
      <c r="H291" s="354">
        <f>COUNTIF(G$265:G291,G291)</f>
        <v>5</v>
      </c>
      <c r="I291" s="160" t="str">
        <f t="shared" si="147"/>
        <v>PLA5-RAMENETAFRAISE-PROJ233</v>
      </c>
      <c r="J291" s="160" t="s">
        <v>1893</v>
      </c>
      <c r="K291" s="329">
        <f>K290</f>
        <v>44946</v>
      </c>
      <c r="L291" s="160" t="s">
        <v>2163</v>
      </c>
      <c r="M291" s="160">
        <f t="shared" ref="M291:M300" si="159">M290</f>
        <v>3</v>
      </c>
      <c r="N291" s="160">
        <v>0</v>
      </c>
      <c r="S291" s="353"/>
      <c r="T291" s="160" t="s">
        <v>1922</v>
      </c>
      <c r="U291" s="160" t="str">
        <f t="shared" si="148"/>
        <v>DOCUMENTS</v>
      </c>
      <c r="V291" s="160" t="s">
        <v>2088</v>
      </c>
      <c r="W291" s="197" t="s">
        <v>168</v>
      </c>
      <c r="X291" s="360" t="s">
        <v>2020</v>
      </c>
      <c r="Y291" s="197" t="s">
        <v>303</v>
      </c>
      <c r="Z291" s="360" t="s">
        <v>2020</v>
      </c>
      <c r="AA291" s="199" t="s">
        <v>213</v>
      </c>
      <c r="AB291" s="360" t="s">
        <v>2020</v>
      </c>
      <c r="AC291" s="197" t="s">
        <v>211</v>
      </c>
      <c r="AD291" s="360" t="s">
        <v>2020</v>
      </c>
      <c r="AE291" s="197" t="s">
        <v>304</v>
      </c>
      <c r="AF291" s="360" t="s">
        <v>2020</v>
      </c>
      <c r="AG291" s="294" t="s">
        <v>287</v>
      </c>
      <c r="AH291" s="360" t="s">
        <v>2020</v>
      </c>
      <c r="AI291" s="294" t="s">
        <v>349</v>
      </c>
      <c r="AJ291" s="360" t="s">
        <v>2089</v>
      </c>
      <c r="AK291" s="160" t="str">
        <f t="shared" si="149"/>
        <v>Plan</v>
      </c>
      <c r="AL291" s="360" t="s">
        <v>2091</v>
      </c>
      <c r="AM291" s="160" t="str">
        <f t="shared" si="150"/>
        <v>PLA5-RAMENETAFRAISE-PROJ233</v>
      </c>
      <c r="AN291" s="360" t="s">
        <v>2091</v>
      </c>
      <c r="AO291" s="160" t="str">
        <f t="shared" si="151"/>
        <v>Plan de face - etc</v>
      </c>
      <c r="AP291" s="360" t="s">
        <v>2091</v>
      </c>
      <c r="AQ291" s="160" t="str">
        <f t="shared" ca="1" si="152"/>
        <v>2023/01/20</v>
      </c>
      <c r="AR291" s="360" t="s">
        <v>2091</v>
      </c>
      <c r="AS291" s="160" t="str">
        <f t="shared" si="153"/>
        <v>https:\\localhost\testPathFile27</v>
      </c>
      <c r="AT291" s="360" t="s">
        <v>2093</v>
      </c>
      <c r="AU291" s="160">
        <f t="shared" si="154"/>
        <v>3</v>
      </c>
      <c r="AV291" s="360" t="s">
        <v>2020</v>
      </c>
      <c r="AW291" s="360" t="s">
        <v>1959</v>
      </c>
      <c r="AX291" s="160" t="s">
        <v>2021</v>
      </c>
      <c r="AY291" s="160" t="str">
        <f t="shared" ca="1" si="156"/>
        <v>INSERT INTO DOCUMENTS(catDoc,nameDoc,descriptionDoc,dateDoc,pathDoc,idProjet,idDeGeneration) VALUES ('Plan','PLA5-RAMENETAFRAISE-PROJ233','Plan de face - etc','2023/01/20','https:\\localhost\testPathFile26',3,NULL);</v>
      </c>
      <c r="AZ291" s="160" t="s">
        <v>2259</v>
      </c>
    </row>
    <row r="292" spans="6:52" ht="25.85" customHeight="1" outlineLevel="1" thickBot="1" x14ac:dyDescent="0.35">
      <c r="F292" s="160">
        <f t="shared" si="157"/>
        <v>28</v>
      </c>
      <c r="G292" s="160" t="s">
        <v>106</v>
      </c>
      <c r="H292" s="354">
        <f>COUNTIF(G$265:G292,G292)</f>
        <v>6</v>
      </c>
      <c r="I292" s="160" t="str">
        <f t="shared" si="147"/>
        <v>PLA6-RAMENETAFRAISE-PROJ233</v>
      </c>
      <c r="J292" s="160" t="s">
        <v>1894</v>
      </c>
      <c r="K292" s="329">
        <f>K291</f>
        <v>44946</v>
      </c>
      <c r="L292" s="160" t="s">
        <v>2164</v>
      </c>
      <c r="M292" s="160">
        <f t="shared" si="159"/>
        <v>3</v>
      </c>
      <c r="N292" s="160">
        <v>0</v>
      </c>
      <c r="S292" s="353"/>
      <c r="T292" s="160" t="s">
        <v>1922</v>
      </c>
      <c r="U292" s="160" t="str">
        <f t="shared" si="148"/>
        <v>DOCUMENTS</v>
      </c>
      <c r="V292" s="160" t="s">
        <v>2088</v>
      </c>
      <c r="W292" s="197" t="s">
        <v>168</v>
      </c>
      <c r="X292" s="360" t="s">
        <v>2020</v>
      </c>
      <c r="Y292" s="197" t="s">
        <v>303</v>
      </c>
      <c r="Z292" s="360" t="s">
        <v>2020</v>
      </c>
      <c r="AA292" s="199" t="s">
        <v>213</v>
      </c>
      <c r="AB292" s="360" t="s">
        <v>2020</v>
      </c>
      <c r="AC292" s="197" t="s">
        <v>211</v>
      </c>
      <c r="AD292" s="360" t="s">
        <v>2020</v>
      </c>
      <c r="AE292" s="197" t="s">
        <v>304</v>
      </c>
      <c r="AF292" s="360" t="s">
        <v>2020</v>
      </c>
      <c r="AG292" s="294" t="s">
        <v>287</v>
      </c>
      <c r="AH292" s="360" t="s">
        <v>2020</v>
      </c>
      <c r="AI292" s="294" t="s">
        <v>349</v>
      </c>
      <c r="AJ292" s="360" t="s">
        <v>2089</v>
      </c>
      <c r="AK292" s="160" t="str">
        <f t="shared" si="149"/>
        <v>Plan</v>
      </c>
      <c r="AL292" s="360" t="s">
        <v>2091</v>
      </c>
      <c r="AM292" s="160" t="str">
        <f t="shared" si="150"/>
        <v>PLA6-RAMENETAFRAISE-PROJ233</v>
      </c>
      <c r="AN292" s="360" t="s">
        <v>2091</v>
      </c>
      <c r="AO292" s="160" t="str">
        <f t="shared" si="151"/>
        <v>Plan de coté Est - etc</v>
      </c>
      <c r="AP292" s="360" t="s">
        <v>2091</v>
      </c>
      <c r="AQ292" s="160" t="str">
        <f t="shared" ca="1" si="152"/>
        <v>2023/01/20</v>
      </c>
      <c r="AR292" s="360" t="s">
        <v>2091</v>
      </c>
      <c r="AS292" s="160" t="str">
        <f t="shared" si="153"/>
        <v>https:\\localhost\testPathFile28</v>
      </c>
      <c r="AT292" s="360" t="s">
        <v>2093</v>
      </c>
      <c r="AU292" s="160">
        <f t="shared" si="154"/>
        <v>3</v>
      </c>
      <c r="AV292" s="360" t="s">
        <v>2020</v>
      </c>
      <c r="AW292" s="360" t="s">
        <v>1959</v>
      </c>
      <c r="AX292" s="160" t="s">
        <v>2021</v>
      </c>
      <c r="AY292" s="160" t="str">
        <f t="shared" ca="1" si="156"/>
        <v>INSERT INTO DOCUMENTS(catDoc,nameDoc,descriptionDoc,dateDoc,pathDoc,idProjet,idDeGeneration) VALUES ('Plan','PLA6-RAMENETAFRAISE-PROJ233','Plan de coté Est - etc','2023/01/20','https:\\localhost\testPathFile27',3,NULL);</v>
      </c>
      <c r="AZ292" s="160" t="s">
        <v>2260</v>
      </c>
    </row>
    <row r="293" spans="6:52" ht="15.65" outlineLevel="1" thickBot="1" x14ac:dyDescent="0.35">
      <c r="F293" s="160">
        <f t="shared" si="157"/>
        <v>29</v>
      </c>
      <c r="G293" s="160" t="s">
        <v>1885</v>
      </c>
      <c r="H293" s="354">
        <f>COUNTIF(G$265:G293,G293)</f>
        <v>7</v>
      </c>
      <c r="I293" s="160" t="str">
        <f t="shared" si="147"/>
        <v>IMG7-RAMENETAFRAISE-PROJ233</v>
      </c>
      <c r="J293" s="160" t="s">
        <v>1895</v>
      </c>
      <c r="K293" s="329">
        <f>K292+1</f>
        <v>44947</v>
      </c>
      <c r="L293" s="160" t="s">
        <v>2165</v>
      </c>
      <c r="M293" s="160">
        <f t="shared" si="159"/>
        <v>3</v>
      </c>
      <c r="N293" s="160">
        <v>0</v>
      </c>
      <c r="S293" s="353"/>
      <c r="T293" s="160" t="s">
        <v>1922</v>
      </c>
      <c r="U293" s="160" t="str">
        <f t="shared" si="148"/>
        <v>DOCUMENTS</v>
      </c>
      <c r="V293" s="160" t="s">
        <v>2088</v>
      </c>
      <c r="W293" s="197" t="s">
        <v>168</v>
      </c>
      <c r="X293" s="360" t="s">
        <v>2020</v>
      </c>
      <c r="Y293" s="197" t="s">
        <v>303</v>
      </c>
      <c r="Z293" s="360" t="s">
        <v>2020</v>
      </c>
      <c r="AA293" s="199" t="s">
        <v>213</v>
      </c>
      <c r="AB293" s="360" t="s">
        <v>2020</v>
      </c>
      <c r="AC293" s="197" t="s">
        <v>211</v>
      </c>
      <c r="AD293" s="360" t="s">
        <v>2020</v>
      </c>
      <c r="AE293" s="197" t="s">
        <v>304</v>
      </c>
      <c r="AF293" s="360" t="s">
        <v>2020</v>
      </c>
      <c r="AG293" s="294" t="s">
        <v>287</v>
      </c>
      <c r="AH293" s="360" t="s">
        <v>2020</v>
      </c>
      <c r="AI293" s="294" t="s">
        <v>349</v>
      </c>
      <c r="AJ293" s="360" t="s">
        <v>2089</v>
      </c>
      <c r="AK293" s="160" t="str">
        <f t="shared" si="149"/>
        <v>ImgPhoto</v>
      </c>
      <c r="AL293" s="360" t="s">
        <v>2091</v>
      </c>
      <c r="AM293" s="160" t="str">
        <f t="shared" si="150"/>
        <v>IMG7-RAMENETAFRAISE-PROJ233</v>
      </c>
      <c r="AN293" s="360" t="s">
        <v>2091</v>
      </c>
      <c r="AO293" s="160" t="str">
        <f t="shared" si="151"/>
        <v>Photo de projection de face</v>
      </c>
      <c r="AP293" s="360" t="s">
        <v>2091</v>
      </c>
      <c r="AQ293" s="160" t="str">
        <f t="shared" ca="1" si="152"/>
        <v>2023/01/21</v>
      </c>
      <c r="AR293" s="360" t="s">
        <v>2091</v>
      </c>
      <c r="AS293" s="160" t="str">
        <f t="shared" si="153"/>
        <v>https:\\localhost\testPathFile29</v>
      </c>
      <c r="AT293" s="360" t="s">
        <v>2093</v>
      </c>
      <c r="AU293" s="160">
        <f t="shared" si="154"/>
        <v>3</v>
      </c>
      <c r="AV293" s="360" t="s">
        <v>2020</v>
      </c>
      <c r="AW293" s="360" t="s">
        <v>1959</v>
      </c>
      <c r="AX293" s="160" t="s">
        <v>2021</v>
      </c>
      <c r="AY293" s="160" t="str">
        <f t="shared" ca="1" si="156"/>
        <v>INSERT INTO DOCUMENTS(catDoc,nameDoc,descriptionDoc,dateDoc,pathDoc,idProjet,idDeGeneration) VALUES ('ImgPhoto','IMG7-RAMENETAFRAISE-PROJ233','Photo de projection de face','2023/01/21','https:\\localhost\testPathFile28',3,NULL);</v>
      </c>
      <c r="AZ293" s="160" t="s">
        <v>2261</v>
      </c>
    </row>
    <row r="294" spans="6:52" ht="28.05" customHeight="1" outlineLevel="1" thickBot="1" x14ac:dyDescent="0.35">
      <c r="F294" s="160">
        <f t="shared" si="157"/>
        <v>30</v>
      </c>
      <c r="G294" s="160" t="s">
        <v>1885</v>
      </c>
      <c r="H294" s="354">
        <f>COUNTIF(G$265:G294,G294)</f>
        <v>8</v>
      </c>
      <c r="I294" s="160" t="str">
        <f t="shared" si="147"/>
        <v>IMG8-RAMENETAFRAISE-PROJ233</v>
      </c>
      <c r="J294" s="160" t="s">
        <v>1896</v>
      </c>
      <c r="K294" s="329">
        <f>K293</f>
        <v>44947</v>
      </c>
      <c r="L294" s="160" t="s">
        <v>2166</v>
      </c>
      <c r="M294" s="160">
        <f t="shared" si="159"/>
        <v>3</v>
      </c>
      <c r="N294" s="160">
        <v>0</v>
      </c>
      <c r="S294" s="353"/>
      <c r="T294" s="160" t="s">
        <v>1922</v>
      </c>
      <c r="U294" s="160" t="str">
        <f t="shared" si="148"/>
        <v>DOCUMENTS</v>
      </c>
      <c r="V294" s="160" t="s">
        <v>2088</v>
      </c>
      <c r="W294" s="197" t="s">
        <v>168</v>
      </c>
      <c r="X294" s="360" t="s">
        <v>2020</v>
      </c>
      <c r="Y294" s="197" t="s">
        <v>303</v>
      </c>
      <c r="Z294" s="360" t="s">
        <v>2020</v>
      </c>
      <c r="AA294" s="199" t="s">
        <v>213</v>
      </c>
      <c r="AB294" s="360" t="s">
        <v>2020</v>
      </c>
      <c r="AC294" s="197" t="s">
        <v>211</v>
      </c>
      <c r="AD294" s="360" t="s">
        <v>2020</v>
      </c>
      <c r="AE294" s="197" t="s">
        <v>304</v>
      </c>
      <c r="AF294" s="360" t="s">
        <v>2020</v>
      </c>
      <c r="AG294" s="294" t="s">
        <v>287</v>
      </c>
      <c r="AH294" s="360" t="s">
        <v>2020</v>
      </c>
      <c r="AI294" s="294" t="s">
        <v>349</v>
      </c>
      <c r="AJ294" s="360" t="s">
        <v>2089</v>
      </c>
      <c r="AK294" s="160" t="str">
        <f t="shared" si="149"/>
        <v>ImgPhoto</v>
      </c>
      <c r="AL294" s="360" t="s">
        <v>2091</v>
      </c>
      <c r="AM294" s="160" t="str">
        <f t="shared" si="150"/>
        <v>IMG8-RAMENETAFRAISE-PROJ233</v>
      </c>
      <c r="AN294" s="360" t="s">
        <v>2091</v>
      </c>
      <c r="AO294" s="160" t="str">
        <f t="shared" si="151"/>
        <v>Photo de projection de coté Est</v>
      </c>
      <c r="AP294" s="360" t="s">
        <v>2091</v>
      </c>
      <c r="AQ294" s="160" t="str">
        <f t="shared" ca="1" si="152"/>
        <v>2023/01/21</v>
      </c>
      <c r="AR294" s="360" t="s">
        <v>2091</v>
      </c>
      <c r="AS294" s="160" t="str">
        <f t="shared" si="153"/>
        <v>https:\\localhost\testPathFile30</v>
      </c>
      <c r="AT294" s="360" t="s">
        <v>2093</v>
      </c>
      <c r="AU294" s="160">
        <f t="shared" si="154"/>
        <v>3</v>
      </c>
      <c r="AV294" s="360" t="s">
        <v>2020</v>
      </c>
      <c r="AW294" s="360" t="s">
        <v>1959</v>
      </c>
      <c r="AX294" s="160" t="s">
        <v>2021</v>
      </c>
      <c r="AY294" s="160" t="str">
        <f t="shared" ca="1" si="156"/>
        <v>INSERT INTO DOCUMENTS(catDoc,nameDoc,descriptionDoc,dateDoc,pathDoc,idProjet,idDeGeneration) VALUES ('ImgPhoto','IMG8-RAMENETAFRAISE-PROJ233','Photo de projection de coté Est','2023/01/21','https:\\localhost\testPathFile29',3,NULL);</v>
      </c>
      <c r="AZ294" s="160" t="s">
        <v>2262</v>
      </c>
    </row>
    <row r="295" spans="6:52" ht="30.05" customHeight="1" outlineLevel="1" thickBot="1" x14ac:dyDescent="0.35">
      <c r="F295" s="160">
        <f t="shared" si="157"/>
        <v>31</v>
      </c>
      <c r="G295" s="160" t="s">
        <v>1885</v>
      </c>
      <c r="H295" s="354">
        <f>COUNTIF(G$265:G295,G295)</f>
        <v>9</v>
      </c>
      <c r="I295" s="160" t="str">
        <f t="shared" si="147"/>
        <v>IMG9-RAMENETAFRAISE-PROJ233</v>
      </c>
      <c r="J295" s="160" t="s">
        <v>1897</v>
      </c>
      <c r="K295" s="329">
        <f>K294+1</f>
        <v>44948</v>
      </c>
      <c r="L295" s="160" t="s">
        <v>2167</v>
      </c>
      <c r="M295" s="160">
        <f t="shared" si="159"/>
        <v>3</v>
      </c>
      <c r="N295" s="160">
        <v>0</v>
      </c>
      <c r="S295" s="353"/>
      <c r="T295" s="160" t="s">
        <v>1922</v>
      </c>
      <c r="U295" s="160" t="str">
        <f t="shared" si="148"/>
        <v>DOCUMENTS</v>
      </c>
      <c r="V295" s="160" t="s">
        <v>2088</v>
      </c>
      <c r="W295" s="197" t="s">
        <v>168</v>
      </c>
      <c r="X295" s="360" t="s">
        <v>2020</v>
      </c>
      <c r="Y295" s="197" t="s">
        <v>303</v>
      </c>
      <c r="Z295" s="360" t="s">
        <v>2020</v>
      </c>
      <c r="AA295" s="199" t="s">
        <v>213</v>
      </c>
      <c r="AB295" s="360" t="s">
        <v>2020</v>
      </c>
      <c r="AC295" s="197" t="s">
        <v>211</v>
      </c>
      <c r="AD295" s="360" t="s">
        <v>2020</v>
      </c>
      <c r="AE295" s="197" t="s">
        <v>304</v>
      </c>
      <c r="AF295" s="360" t="s">
        <v>2020</v>
      </c>
      <c r="AG295" s="294" t="s">
        <v>287</v>
      </c>
      <c r="AH295" s="360" t="s">
        <v>2020</v>
      </c>
      <c r="AI295" s="294" t="s">
        <v>349</v>
      </c>
      <c r="AJ295" s="360" t="s">
        <v>2089</v>
      </c>
      <c r="AK295" s="160" t="str">
        <f t="shared" si="149"/>
        <v>ImgPhoto</v>
      </c>
      <c r="AL295" s="360" t="s">
        <v>2091</v>
      </c>
      <c r="AM295" s="160" t="str">
        <f t="shared" si="150"/>
        <v>IMG9-RAMENETAFRAISE-PROJ233</v>
      </c>
      <c r="AN295" s="360" t="s">
        <v>2091</v>
      </c>
      <c r="AO295" s="160" t="str">
        <f t="shared" si="151"/>
        <v>Photo de projection dcoté Ouest et Sud</v>
      </c>
      <c r="AP295" s="360" t="s">
        <v>2091</v>
      </c>
      <c r="AQ295" s="160" t="str">
        <f t="shared" ca="1" si="152"/>
        <v>2023/01/22</v>
      </c>
      <c r="AR295" s="360" t="s">
        <v>2091</v>
      </c>
      <c r="AS295" s="160" t="str">
        <f t="shared" si="153"/>
        <v>https:\\localhost\testPathFile31</v>
      </c>
      <c r="AT295" s="360" t="s">
        <v>2093</v>
      </c>
      <c r="AU295" s="160">
        <f t="shared" si="154"/>
        <v>3</v>
      </c>
      <c r="AV295" s="360" t="s">
        <v>2020</v>
      </c>
      <c r="AW295" s="360" t="s">
        <v>1959</v>
      </c>
      <c r="AX295" s="160" t="s">
        <v>2021</v>
      </c>
      <c r="AY295" s="160" t="str">
        <f t="shared" ca="1" si="156"/>
        <v>INSERT INTO DOCUMENTS(catDoc,nameDoc,descriptionDoc,dateDoc,pathDoc,idProjet,idDeGeneration) VALUES ('ImgPhoto','IMG9-RAMENETAFRAISE-PROJ233','Photo de projection dcoté Ouest et Sud','2023/01/22','https:\\localhost\testPathFile30',3,NULL);</v>
      </c>
      <c r="AZ295" s="160" t="s">
        <v>2263</v>
      </c>
    </row>
    <row r="296" spans="6:52" ht="20.05" customHeight="1" outlineLevel="1" thickBot="1" x14ac:dyDescent="0.35">
      <c r="F296" s="160">
        <f t="shared" si="157"/>
        <v>32</v>
      </c>
      <c r="G296" s="160" t="s">
        <v>1887</v>
      </c>
      <c r="H296" s="354">
        <f>COUNTIF(G$265:G296,G296)</f>
        <v>7</v>
      </c>
      <c r="I296" s="160" t="str">
        <f t="shared" si="147"/>
        <v>DIV7-RAMENETAFRAISE-PROJ233</v>
      </c>
      <c r="J296" s="160" t="s">
        <v>1898</v>
      </c>
      <c r="K296" s="329">
        <f>K295</f>
        <v>44948</v>
      </c>
      <c r="L296" s="160" t="s">
        <v>2168</v>
      </c>
      <c r="M296" s="160">
        <f t="shared" si="159"/>
        <v>3</v>
      </c>
      <c r="N296" s="160">
        <v>0</v>
      </c>
      <c r="S296" s="353"/>
      <c r="T296" s="160" t="s">
        <v>1922</v>
      </c>
      <c r="U296" s="160" t="str">
        <f t="shared" si="148"/>
        <v>DOCUMENTS</v>
      </c>
      <c r="V296" s="160" t="s">
        <v>2088</v>
      </c>
      <c r="W296" s="197" t="s">
        <v>168</v>
      </c>
      <c r="X296" s="360" t="s">
        <v>2020</v>
      </c>
      <c r="Y296" s="197" t="s">
        <v>303</v>
      </c>
      <c r="Z296" s="360" t="s">
        <v>2020</v>
      </c>
      <c r="AA296" s="199" t="s">
        <v>213</v>
      </c>
      <c r="AB296" s="360" t="s">
        <v>2020</v>
      </c>
      <c r="AC296" s="197" t="s">
        <v>211</v>
      </c>
      <c r="AD296" s="360" t="s">
        <v>2020</v>
      </c>
      <c r="AE296" s="197" t="s">
        <v>304</v>
      </c>
      <c r="AF296" s="360" t="s">
        <v>2020</v>
      </c>
      <c r="AG296" s="294" t="s">
        <v>287</v>
      </c>
      <c r="AH296" s="360" t="s">
        <v>2020</v>
      </c>
      <c r="AI296" s="294" t="s">
        <v>349</v>
      </c>
      <c r="AJ296" s="360" t="s">
        <v>2089</v>
      </c>
      <c r="AK296" s="160" t="str">
        <f t="shared" si="149"/>
        <v>Divers</v>
      </c>
      <c r="AL296" s="360" t="s">
        <v>2091</v>
      </c>
      <c r="AM296" s="160" t="str">
        <f t="shared" si="150"/>
        <v>DIV7-RAMENETAFRAISE-PROJ233</v>
      </c>
      <c r="AN296" s="360" t="s">
        <v>2091</v>
      </c>
      <c r="AO296" s="160" t="str">
        <f t="shared" si="151"/>
        <v>Schema de principe de circulation</v>
      </c>
      <c r="AP296" s="360" t="s">
        <v>2091</v>
      </c>
      <c r="AQ296" s="160" t="str">
        <f t="shared" ca="1" si="152"/>
        <v>2023/01/22</v>
      </c>
      <c r="AR296" s="360" t="s">
        <v>2091</v>
      </c>
      <c r="AS296" s="160" t="str">
        <f t="shared" si="153"/>
        <v>https:\\localhost\testPathFile32</v>
      </c>
      <c r="AT296" s="360" t="s">
        <v>2093</v>
      </c>
      <c r="AU296" s="160">
        <f t="shared" si="154"/>
        <v>3</v>
      </c>
      <c r="AV296" s="360" t="s">
        <v>2020</v>
      </c>
      <c r="AW296" s="360" t="s">
        <v>1959</v>
      </c>
      <c r="AX296" s="160" t="s">
        <v>2021</v>
      </c>
      <c r="AY296" s="160" t="str">
        <f t="shared" ca="1" si="156"/>
        <v>INSERT INTO DOCUMENTS(catDoc,nameDoc,descriptionDoc,dateDoc,pathDoc,idProjet,idDeGeneration) VALUES ('Divers','DIV7-RAMENETAFRAISE-PROJ233','Schema de principe de circulation','2023/01/22','https:\\localhost\testPathFile31',3,NULL);</v>
      </c>
      <c r="AZ296" s="160" t="s">
        <v>2290</v>
      </c>
    </row>
    <row r="297" spans="6:52" ht="20.05" customHeight="1" outlineLevel="1" thickBot="1" x14ac:dyDescent="0.35">
      <c r="F297" s="160">
        <f t="shared" si="157"/>
        <v>33</v>
      </c>
      <c r="G297" s="160" t="s">
        <v>1887</v>
      </c>
      <c r="H297" s="354">
        <f>COUNTIF(G$265:G297,G297)</f>
        <v>8</v>
      </c>
      <c r="I297" s="160" t="str">
        <f t="shared" si="147"/>
        <v>DIV8-RAMENETAFRAISE-PROJ233</v>
      </c>
      <c r="J297" s="160" t="s">
        <v>2231</v>
      </c>
      <c r="K297" s="329">
        <f>K296+4</f>
        <v>44952</v>
      </c>
      <c r="L297" s="160" t="s">
        <v>2169</v>
      </c>
      <c r="M297" s="160">
        <f t="shared" si="159"/>
        <v>3</v>
      </c>
      <c r="N297" s="160">
        <v>0</v>
      </c>
      <c r="S297" s="353"/>
      <c r="T297" s="160" t="s">
        <v>1922</v>
      </c>
      <c r="U297" s="160" t="str">
        <f t="shared" si="148"/>
        <v>DOCUMENTS</v>
      </c>
      <c r="V297" s="160" t="s">
        <v>2088</v>
      </c>
      <c r="W297" s="197" t="s">
        <v>168</v>
      </c>
      <c r="X297" s="360" t="s">
        <v>2020</v>
      </c>
      <c r="Y297" s="197" t="s">
        <v>303</v>
      </c>
      <c r="Z297" s="360" t="s">
        <v>2020</v>
      </c>
      <c r="AA297" s="199" t="s">
        <v>213</v>
      </c>
      <c r="AB297" s="360" t="s">
        <v>2020</v>
      </c>
      <c r="AC297" s="197" t="s">
        <v>211</v>
      </c>
      <c r="AD297" s="360" t="s">
        <v>2020</v>
      </c>
      <c r="AE297" s="197" t="s">
        <v>304</v>
      </c>
      <c r="AF297" s="360" t="s">
        <v>2020</v>
      </c>
      <c r="AG297" s="294" t="s">
        <v>287</v>
      </c>
      <c r="AH297" s="360" t="s">
        <v>2020</v>
      </c>
      <c r="AI297" s="294" t="s">
        <v>349</v>
      </c>
      <c r="AJ297" s="360" t="s">
        <v>2089</v>
      </c>
      <c r="AK297" s="160" t="str">
        <f t="shared" si="149"/>
        <v>Divers</v>
      </c>
      <c r="AL297" s="360" t="s">
        <v>2091</v>
      </c>
      <c r="AM297" s="160" t="str">
        <f t="shared" si="150"/>
        <v>DIV8-RAMENETAFRAISE-PROJ233</v>
      </c>
      <c r="AN297" s="360" t="s">
        <v>2091</v>
      </c>
      <c r="AO297" s="160" t="str">
        <f t="shared" si="151"/>
        <v>Relevé de Coût pour ameublement</v>
      </c>
      <c r="AP297" s="360" t="s">
        <v>2091</v>
      </c>
      <c r="AQ297" s="160" t="str">
        <f t="shared" ca="1" si="152"/>
        <v>2023/01/26</v>
      </c>
      <c r="AR297" s="360" t="s">
        <v>2091</v>
      </c>
      <c r="AS297" s="160" t="str">
        <f t="shared" si="153"/>
        <v>https:\\localhost\testPathFile33</v>
      </c>
      <c r="AT297" s="360" t="s">
        <v>2093</v>
      </c>
      <c r="AU297" s="160">
        <f t="shared" si="154"/>
        <v>3</v>
      </c>
      <c r="AV297" s="360" t="s">
        <v>2020</v>
      </c>
      <c r="AW297" s="360" t="s">
        <v>1959</v>
      </c>
      <c r="AX297" s="160" t="s">
        <v>2021</v>
      </c>
      <c r="AY297" s="160" t="str">
        <f t="shared" ca="1" si="156"/>
        <v>INSERT INTO DOCUMENTS(catDoc,nameDoc,descriptionDoc,dateDoc,pathDoc,idProjet,idDeGeneration) VALUES ('Divers','DIV8-RAMENETAFRAISE-PROJ233','Relevé de Coût pour ameublement','2023/01/26','https:\\localhost\testPathFile32',3,NULL);</v>
      </c>
      <c r="AZ297" s="160" t="s">
        <v>2291</v>
      </c>
    </row>
    <row r="298" spans="6:52" ht="20.05" customHeight="1" outlineLevel="1" thickBot="1" x14ac:dyDescent="0.35">
      <c r="F298" s="160">
        <f t="shared" si="157"/>
        <v>34</v>
      </c>
      <c r="G298" s="160" t="s">
        <v>1887</v>
      </c>
      <c r="H298" s="354">
        <f>COUNTIF(G$265:G298,G298)</f>
        <v>9</v>
      </c>
      <c r="I298" s="160" t="str">
        <f t="shared" si="147"/>
        <v>DIV9-RAMENETAFRAISE-PROJ233</v>
      </c>
      <c r="J298" s="160" t="s">
        <v>1900</v>
      </c>
      <c r="K298" s="329">
        <f>K297+1</f>
        <v>44953</v>
      </c>
      <c r="L298" s="160" t="s">
        <v>2170</v>
      </c>
      <c r="M298" s="160">
        <f t="shared" si="159"/>
        <v>3</v>
      </c>
      <c r="N298" s="160">
        <v>0</v>
      </c>
      <c r="S298" s="353"/>
      <c r="T298" s="160" t="s">
        <v>1922</v>
      </c>
      <c r="U298" s="160" t="str">
        <f t="shared" si="148"/>
        <v>DOCUMENTS</v>
      </c>
      <c r="V298" s="160" t="s">
        <v>2088</v>
      </c>
      <c r="W298" s="197" t="s">
        <v>168</v>
      </c>
      <c r="X298" s="360" t="s">
        <v>2020</v>
      </c>
      <c r="Y298" s="197" t="s">
        <v>303</v>
      </c>
      <c r="Z298" s="360" t="s">
        <v>2020</v>
      </c>
      <c r="AA298" s="199" t="s">
        <v>213</v>
      </c>
      <c r="AB298" s="360" t="s">
        <v>2020</v>
      </c>
      <c r="AC298" s="197" t="s">
        <v>211</v>
      </c>
      <c r="AD298" s="360" t="s">
        <v>2020</v>
      </c>
      <c r="AE298" s="197" t="s">
        <v>304</v>
      </c>
      <c r="AF298" s="360" t="s">
        <v>2020</v>
      </c>
      <c r="AG298" s="294" t="s">
        <v>287</v>
      </c>
      <c r="AH298" s="360" t="s">
        <v>2020</v>
      </c>
      <c r="AI298" s="294" t="s">
        <v>349</v>
      </c>
      <c r="AJ298" s="360" t="s">
        <v>2089</v>
      </c>
      <c r="AK298" s="160" t="str">
        <f t="shared" si="149"/>
        <v>Divers</v>
      </c>
      <c r="AL298" s="360" t="s">
        <v>2091</v>
      </c>
      <c r="AM298" s="160" t="str">
        <f t="shared" si="150"/>
        <v>DIV9-RAMENETAFRAISE-PROJ233</v>
      </c>
      <c r="AN298" s="360" t="s">
        <v>2091</v>
      </c>
      <c r="AO298" s="160" t="str">
        <f t="shared" si="151"/>
        <v>Prise des cotes et des piges</v>
      </c>
      <c r="AP298" s="360" t="s">
        <v>2091</v>
      </c>
      <c r="AQ298" s="160" t="str">
        <f t="shared" ca="1" si="152"/>
        <v>2023/01/27</v>
      </c>
      <c r="AR298" s="360" t="s">
        <v>2091</v>
      </c>
      <c r="AS298" s="160" t="str">
        <f t="shared" si="153"/>
        <v>https:\\localhost\testPathFile34</v>
      </c>
      <c r="AT298" s="360" t="s">
        <v>2093</v>
      </c>
      <c r="AU298" s="160">
        <f t="shared" si="154"/>
        <v>3</v>
      </c>
      <c r="AV298" s="360" t="s">
        <v>2020</v>
      </c>
      <c r="AW298" s="360" t="s">
        <v>1959</v>
      </c>
      <c r="AX298" s="160" t="s">
        <v>2021</v>
      </c>
      <c r="AY298" s="160" t="str">
        <f t="shared" ca="1" si="156"/>
        <v>INSERT INTO DOCUMENTS(catDoc,nameDoc,descriptionDoc,dateDoc,pathDoc,idProjet,idDeGeneration) VALUES ('Divers','DIV9-RAMENETAFRAISE-PROJ233','Prise des cotes et des piges','2023/01/27','https:\\localhost\testPathFile33',3,NULL);</v>
      </c>
      <c r="AZ298" s="160" t="s">
        <v>2292</v>
      </c>
    </row>
    <row r="299" spans="6:52" ht="20.05" customHeight="1" outlineLevel="1" thickBot="1" x14ac:dyDescent="0.35">
      <c r="F299" s="160">
        <f t="shared" si="157"/>
        <v>35</v>
      </c>
      <c r="G299" s="160" t="s">
        <v>1887</v>
      </c>
      <c r="H299" s="354">
        <f>COUNTIF(G$265:G299,G299)</f>
        <v>10</v>
      </c>
      <c r="I299" s="160" t="str">
        <f t="shared" si="147"/>
        <v>DIV10-RAMENETAFRAISE-PROJ233</v>
      </c>
      <c r="J299" s="160" t="s">
        <v>1901</v>
      </c>
      <c r="K299" s="329">
        <f>K298</f>
        <v>44953</v>
      </c>
      <c r="L299" s="160" t="s">
        <v>2171</v>
      </c>
      <c r="M299" s="160">
        <f t="shared" si="159"/>
        <v>3</v>
      </c>
      <c r="N299" s="160">
        <v>0</v>
      </c>
      <c r="S299" s="353"/>
      <c r="T299" s="160" t="s">
        <v>1922</v>
      </c>
      <c r="U299" s="160" t="str">
        <f t="shared" si="148"/>
        <v>DOCUMENTS</v>
      </c>
      <c r="V299" s="160" t="s">
        <v>2088</v>
      </c>
      <c r="W299" s="197" t="s">
        <v>168</v>
      </c>
      <c r="X299" s="360" t="s">
        <v>2020</v>
      </c>
      <c r="Y299" s="197" t="s">
        <v>303</v>
      </c>
      <c r="Z299" s="360" t="s">
        <v>2020</v>
      </c>
      <c r="AA299" s="199" t="s">
        <v>213</v>
      </c>
      <c r="AB299" s="360" t="s">
        <v>2020</v>
      </c>
      <c r="AC299" s="197" t="s">
        <v>211</v>
      </c>
      <c r="AD299" s="360" t="s">
        <v>2020</v>
      </c>
      <c r="AE299" s="197" t="s">
        <v>304</v>
      </c>
      <c r="AF299" s="360" t="s">
        <v>2020</v>
      </c>
      <c r="AG299" s="294" t="s">
        <v>287</v>
      </c>
      <c r="AH299" s="360" t="s">
        <v>2020</v>
      </c>
      <c r="AI299" s="294" t="s">
        <v>349</v>
      </c>
      <c r="AJ299" s="360" t="s">
        <v>2089</v>
      </c>
      <c r="AK299" s="160" t="str">
        <f t="shared" si="149"/>
        <v>Divers</v>
      </c>
      <c r="AL299" s="360" t="s">
        <v>2091</v>
      </c>
      <c r="AM299" s="160" t="str">
        <f t="shared" si="150"/>
        <v>DIV10-RAMENETAFRAISE-PROJ233</v>
      </c>
      <c r="AN299" s="360" t="s">
        <v>2091</v>
      </c>
      <c r="AO299" s="160" t="str">
        <f t="shared" si="151"/>
        <v>Document de Chiffrage du projet</v>
      </c>
      <c r="AP299" s="360" t="s">
        <v>2091</v>
      </c>
      <c r="AQ299" s="160" t="str">
        <f t="shared" ca="1" si="152"/>
        <v>2023/01/27</v>
      </c>
      <c r="AR299" s="360" t="s">
        <v>2091</v>
      </c>
      <c r="AS299" s="160" t="str">
        <f t="shared" si="153"/>
        <v>https:\\localhost\testPathFile35</v>
      </c>
      <c r="AT299" s="360" t="s">
        <v>2093</v>
      </c>
      <c r="AU299" s="160">
        <f t="shared" si="154"/>
        <v>3</v>
      </c>
      <c r="AV299" s="360" t="s">
        <v>2020</v>
      </c>
      <c r="AW299" s="360" t="s">
        <v>1959</v>
      </c>
      <c r="AX299" s="160" t="s">
        <v>2021</v>
      </c>
      <c r="AY299" s="160" t="str">
        <f t="shared" ca="1" si="156"/>
        <v>INSERT INTO DOCUMENTS(catDoc,nameDoc,descriptionDoc,dateDoc,pathDoc,idProjet,idDeGeneration) VALUES ('Divers','DIV10-RAMENETAFRAISE-PROJ233','Document de Chiffrage du projet','2023/01/27','https:\\localhost\testPathFile34',3,NULL);</v>
      </c>
      <c r="AZ299" s="160" t="s">
        <v>2293</v>
      </c>
    </row>
    <row r="300" spans="6:52" ht="15.65" thickBot="1" x14ac:dyDescent="0.35">
      <c r="F300" s="160">
        <f t="shared" si="157"/>
        <v>36</v>
      </c>
      <c r="G300" s="160" t="s">
        <v>105</v>
      </c>
      <c r="H300" s="354">
        <f>COUNTIF(G$265:G300,G300)</f>
        <v>6</v>
      </c>
      <c r="I300" s="160" t="str">
        <f t="shared" si="147"/>
        <v>FAC6-RAMENETAFRAISE-PROJ233</v>
      </c>
      <c r="J300" s="160" t="s">
        <v>2240</v>
      </c>
      <c r="K300" s="329">
        <f>IF(N300=0,"",_xlfn.XLOOKUP(N300,F$32:F$54,G$32:G$54))</f>
        <v>44981</v>
      </c>
      <c r="L300" s="160" t="s">
        <v>2172</v>
      </c>
      <c r="M300" s="160">
        <f t="shared" si="159"/>
        <v>3</v>
      </c>
      <c r="N300" s="160">
        <v>12</v>
      </c>
      <c r="S300" s="353"/>
      <c r="T300" s="160" t="s">
        <v>1922</v>
      </c>
      <c r="U300" s="160" t="str">
        <f t="shared" si="148"/>
        <v>DOCUMENTS</v>
      </c>
      <c r="V300" s="160" t="s">
        <v>2088</v>
      </c>
      <c r="W300" s="197" t="s">
        <v>168</v>
      </c>
      <c r="X300" s="360" t="s">
        <v>2020</v>
      </c>
      <c r="Y300" s="197" t="s">
        <v>303</v>
      </c>
      <c r="Z300" s="360" t="s">
        <v>2020</v>
      </c>
      <c r="AA300" s="199" t="s">
        <v>213</v>
      </c>
      <c r="AB300" s="360" t="s">
        <v>2020</v>
      </c>
      <c r="AC300" s="197" t="s">
        <v>211</v>
      </c>
      <c r="AD300" s="360" t="s">
        <v>2020</v>
      </c>
      <c r="AE300" s="197" t="s">
        <v>304</v>
      </c>
      <c r="AF300" s="360" t="s">
        <v>2020</v>
      </c>
      <c r="AG300" s="294" t="s">
        <v>287</v>
      </c>
      <c r="AH300" s="360" t="s">
        <v>2020</v>
      </c>
      <c r="AI300" s="294" t="s">
        <v>349</v>
      </c>
      <c r="AJ300" s="360" t="s">
        <v>2089</v>
      </c>
      <c r="AK300" s="160" t="str">
        <f t="shared" si="149"/>
        <v>Facture</v>
      </c>
      <c r="AL300" s="360" t="s">
        <v>2091</v>
      </c>
      <c r="AM300" s="160" t="str">
        <f t="shared" si="150"/>
        <v>FAC6-RAMENETAFRAISE-PROJ233</v>
      </c>
      <c r="AN300" s="360" t="s">
        <v>2091</v>
      </c>
      <c r="AO300" s="160" t="str">
        <f t="shared" si="151"/>
        <v>Facture transmise pour autorisation exploitation</v>
      </c>
      <c r="AP300" s="360" t="s">
        <v>2091</v>
      </c>
      <c r="AQ300" s="160" t="str">
        <f t="shared" ca="1" si="152"/>
        <v>2023/02/24</v>
      </c>
      <c r="AR300" s="360" t="s">
        <v>2091</v>
      </c>
      <c r="AS300" s="160" t="str">
        <f t="shared" si="153"/>
        <v>https:\\localhost\testPathFile36</v>
      </c>
      <c r="AT300" s="360" t="s">
        <v>2093</v>
      </c>
      <c r="AU300" s="160">
        <f t="shared" si="154"/>
        <v>3</v>
      </c>
      <c r="AV300" s="360" t="s">
        <v>2020</v>
      </c>
      <c r="AW300" s="160">
        <f t="shared" si="155"/>
        <v>12</v>
      </c>
      <c r="AX300" s="160" t="s">
        <v>2021</v>
      </c>
      <c r="AY300" s="160" t="str">
        <f t="shared" ca="1" si="156"/>
        <v>INSERT INTO DOCUMENTS(catDoc,nameDoc,descriptionDoc,dateDoc,pathDoc,idProjet,idDeGeneration) VALUES ('Facture','FAC6-RAMENETAFRAISE-PROJ233','Facture transmise pour autorisation exploitation','2023/02/24','https:\\localhost\testPathFile35',3,12);</v>
      </c>
      <c r="AZ300" s="160" t="s">
        <v>2243</v>
      </c>
    </row>
    <row r="301" spans="6:52" ht="20.05" customHeight="1" outlineLevel="1" thickBot="1" x14ac:dyDescent="0.35">
      <c r="F301" s="160">
        <f t="shared" si="157"/>
        <v>37</v>
      </c>
      <c r="G301" s="160" t="s">
        <v>104</v>
      </c>
      <c r="H301" s="354">
        <f>COUNTIF(G301,G301)</f>
        <v>1</v>
      </c>
      <c r="I301" s="160" t="str">
        <f t="shared" si="147"/>
        <v>DEV1-TAPUDFUITE-PROJ234</v>
      </c>
      <c r="J301" s="160" t="s">
        <v>1891</v>
      </c>
      <c r="K301" s="329">
        <f>IF(N301=0,"",_xlfn.XLOOKUP(N301,F$32:F$54,G$32:G$54))</f>
        <v>44956</v>
      </c>
      <c r="L301" s="160" t="s">
        <v>2173</v>
      </c>
      <c r="M301" s="160">
        <v>4</v>
      </c>
      <c r="N301" s="160">
        <v>8</v>
      </c>
      <c r="S301" s="353"/>
      <c r="T301" s="160" t="s">
        <v>1922</v>
      </c>
      <c r="U301" s="160" t="str">
        <f t="shared" si="148"/>
        <v>DOCUMENTS</v>
      </c>
      <c r="V301" s="160" t="s">
        <v>2088</v>
      </c>
      <c r="W301" s="197" t="s">
        <v>168</v>
      </c>
      <c r="X301" s="360" t="s">
        <v>2020</v>
      </c>
      <c r="Y301" s="197" t="s">
        <v>303</v>
      </c>
      <c r="Z301" s="360" t="s">
        <v>2020</v>
      </c>
      <c r="AA301" s="199" t="s">
        <v>213</v>
      </c>
      <c r="AB301" s="360" t="s">
        <v>2020</v>
      </c>
      <c r="AC301" s="197" t="s">
        <v>211</v>
      </c>
      <c r="AD301" s="360" t="s">
        <v>2020</v>
      </c>
      <c r="AE301" s="197" t="s">
        <v>304</v>
      </c>
      <c r="AF301" s="360" t="s">
        <v>2020</v>
      </c>
      <c r="AG301" s="294" t="s">
        <v>287</v>
      </c>
      <c r="AH301" s="360" t="s">
        <v>2020</v>
      </c>
      <c r="AI301" s="294" t="s">
        <v>349</v>
      </c>
      <c r="AJ301" s="360" t="s">
        <v>2089</v>
      </c>
      <c r="AK301" s="160" t="str">
        <f t="shared" si="149"/>
        <v>Devis</v>
      </c>
      <c r="AL301" s="360" t="s">
        <v>2091</v>
      </c>
      <c r="AM301" s="160" t="str">
        <f t="shared" si="150"/>
        <v>DEV1-TAPUDFUITE-PROJ234</v>
      </c>
      <c r="AN301" s="360" t="s">
        <v>2091</v>
      </c>
      <c r="AO301" s="160" t="str">
        <f t="shared" si="151"/>
        <v>Proposition commerciale du projet</v>
      </c>
      <c r="AP301" s="360" t="s">
        <v>2091</v>
      </c>
      <c r="AQ301" s="160" t="str">
        <f t="shared" ca="1" si="152"/>
        <v>2023/01/30</v>
      </c>
      <c r="AR301" s="360" t="s">
        <v>2091</v>
      </c>
      <c r="AS301" s="160" t="str">
        <f t="shared" si="153"/>
        <v>https:\\localhost\testPathFile37</v>
      </c>
      <c r="AT301" s="360" t="s">
        <v>2093</v>
      </c>
      <c r="AU301" s="160">
        <f t="shared" si="154"/>
        <v>4</v>
      </c>
      <c r="AV301" s="360" t="s">
        <v>2020</v>
      </c>
      <c r="AW301" s="160">
        <f t="shared" si="155"/>
        <v>8</v>
      </c>
      <c r="AX301" s="160" t="s">
        <v>2021</v>
      </c>
      <c r="AY301" s="160" t="str">
        <f t="shared" ca="1" si="156"/>
        <v>INSERT INTO DOCUMENTS(catDoc,nameDoc,descriptionDoc,dateDoc,pathDoc,idProjet,idDeGeneration) VALUES ('Devis','DEV1-TAPUDFUITE-PROJ234','Proposition commerciale du projet','2023/01/30','https:\\localhost\testPathFile36',4,8);</v>
      </c>
      <c r="AZ301" s="160" t="s">
        <v>2225</v>
      </c>
    </row>
    <row r="302" spans="6:52" ht="20.05" customHeight="1" outlineLevel="1" thickBot="1" x14ac:dyDescent="0.35">
      <c r="F302" s="160">
        <f t="shared" si="157"/>
        <v>38</v>
      </c>
      <c r="G302" s="160" t="s">
        <v>105</v>
      </c>
      <c r="H302" s="354">
        <f>COUNTIF(G$265:G302,G302)</f>
        <v>7</v>
      </c>
      <c r="I302" s="160" t="str">
        <f t="shared" si="147"/>
        <v>FAC7-TAPUDFUITE-PROJ234</v>
      </c>
      <c r="J302" s="160" t="s">
        <v>2230</v>
      </c>
      <c r="K302" s="329">
        <f>IF(N302=0,"",_xlfn.XLOOKUP(N302,F$32:F$54,G$32:G$54))</f>
        <v>44972</v>
      </c>
      <c r="L302" s="160" t="s">
        <v>2174</v>
      </c>
      <c r="M302" s="160">
        <f>M301</f>
        <v>4</v>
      </c>
      <c r="N302" s="160">
        <v>10</v>
      </c>
      <c r="S302" s="353"/>
      <c r="T302" s="160" t="s">
        <v>1922</v>
      </c>
      <c r="U302" s="160" t="str">
        <f t="shared" si="148"/>
        <v>DOCUMENTS</v>
      </c>
      <c r="V302" s="160" t="s">
        <v>2088</v>
      </c>
      <c r="W302" s="197" t="s">
        <v>168</v>
      </c>
      <c r="X302" s="360" t="s">
        <v>2020</v>
      </c>
      <c r="Y302" s="197" t="s">
        <v>303</v>
      </c>
      <c r="Z302" s="360" t="s">
        <v>2020</v>
      </c>
      <c r="AA302" s="199" t="s">
        <v>213</v>
      </c>
      <c r="AB302" s="360" t="s">
        <v>2020</v>
      </c>
      <c r="AC302" s="197" t="s">
        <v>211</v>
      </c>
      <c r="AD302" s="360" t="s">
        <v>2020</v>
      </c>
      <c r="AE302" s="197" t="s">
        <v>304</v>
      </c>
      <c r="AF302" s="360" t="s">
        <v>2020</v>
      </c>
      <c r="AG302" s="294" t="s">
        <v>287</v>
      </c>
      <c r="AH302" s="360" t="s">
        <v>2020</v>
      </c>
      <c r="AI302" s="294" t="s">
        <v>349</v>
      </c>
      <c r="AJ302" s="360" t="s">
        <v>2089</v>
      </c>
      <c r="AK302" s="160" t="str">
        <f t="shared" si="149"/>
        <v>Facture</v>
      </c>
      <c r="AL302" s="360" t="s">
        <v>2091</v>
      </c>
      <c r="AM302" s="160" t="str">
        <f t="shared" si="150"/>
        <v>FAC7-TAPUDFUITE-PROJ234</v>
      </c>
      <c r="AN302" s="360" t="s">
        <v>2091</v>
      </c>
      <c r="AO302" s="160" t="str">
        <f t="shared" si="151"/>
        <v>Facture accompte pour démarrer les travaux</v>
      </c>
      <c r="AP302" s="360" t="s">
        <v>2091</v>
      </c>
      <c r="AQ302" s="160" t="str">
        <f t="shared" ca="1" si="152"/>
        <v>2023/02/15</v>
      </c>
      <c r="AR302" s="360" t="s">
        <v>2091</v>
      </c>
      <c r="AS302" s="160" t="str">
        <f t="shared" si="153"/>
        <v>https:\\localhost\testPathFile38</v>
      </c>
      <c r="AT302" s="360" t="s">
        <v>2093</v>
      </c>
      <c r="AU302" s="160">
        <f t="shared" si="154"/>
        <v>4</v>
      </c>
      <c r="AV302" s="360" t="s">
        <v>2020</v>
      </c>
      <c r="AW302" s="160">
        <f t="shared" si="155"/>
        <v>10</v>
      </c>
      <c r="AX302" s="160" t="s">
        <v>2021</v>
      </c>
      <c r="AY302" s="160" t="str">
        <f t="shared" ca="1" si="156"/>
        <v>INSERT INTO DOCUMENTS(catDoc,nameDoc,descriptionDoc,dateDoc,pathDoc,idProjet,idDeGeneration) VALUES ('Facture','FAC7-TAPUDFUITE-PROJ234','Facture accompte pour démarrer les travaux','2023/02/15','https:\\localhost\testPathFile37',4,10);</v>
      </c>
      <c r="AZ302" s="160" t="s">
        <v>2235</v>
      </c>
    </row>
    <row r="303" spans="6:52" ht="32.6" customHeight="1" outlineLevel="1" thickBot="1" x14ac:dyDescent="0.35">
      <c r="F303" s="160">
        <f t="shared" si="157"/>
        <v>39</v>
      </c>
      <c r="G303" s="160" t="s">
        <v>106</v>
      </c>
      <c r="H303" s="354">
        <f>COUNTIF(G$265:G303,G303)</f>
        <v>7</v>
      </c>
      <c r="I303" s="160" t="str">
        <f t="shared" si="147"/>
        <v>PLA7-TAPUDFUITE-PROJ234</v>
      </c>
      <c r="J303" s="160" t="s">
        <v>1893</v>
      </c>
      <c r="K303" s="329">
        <f>K302</f>
        <v>44972</v>
      </c>
      <c r="L303" s="160" t="s">
        <v>2175</v>
      </c>
      <c r="M303" s="160">
        <f t="shared" ref="M303:M312" si="160">M302</f>
        <v>4</v>
      </c>
      <c r="N303" s="160">
        <v>0</v>
      </c>
      <c r="S303" s="353"/>
      <c r="T303" s="160" t="s">
        <v>1922</v>
      </c>
      <c r="U303" s="160" t="str">
        <f t="shared" si="148"/>
        <v>DOCUMENTS</v>
      </c>
      <c r="V303" s="160" t="s">
        <v>2088</v>
      </c>
      <c r="W303" s="197" t="s">
        <v>168</v>
      </c>
      <c r="X303" s="360" t="s">
        <v>2020</v>
      </c>
      <c r="Y303" s="197" t="s">
        <v>303</v>
      </c>
      <c r="Z303" s="360" t="s">
        <v>2020</v>
      </c>
      <c r="AA303" s="199" t="s">
        <v>213</v>
      </c>
      <c r="AB303" s="360" t="s">
        <v>2020</v>
      </c>
      <c r="AC303" s="197" t="s">
        <v>211</v>
      </c>
      <c r="AD303" s="360" t="s">
        <v>2020</v>
      </c>
      <c r="AE303" s="197" t="s">
        <v>304</v>
      </c>
      <c r="AF303" s="360" t="s">
        <v>2020</v>
      </c>
      <c r="AG303" s="294" t="s">
        <v>287</v>
      </c>
      <c r="AH303" s="360" t="s">
        <v>2020</v>
      </c>
      <c r="AI303" s="294" t="s">
        <v>349</v>
      </c>
      <c r="AJ303" s="360" t="s">
        <v>2089</v>
      </c>
      <c r="AK303" s="160" t="str">
        <f t="shared" si="149"/>
        <v>Plan</v>
      </c>
      <c r="AL303" s="360" t="s">
        <v>2091</v>
      </c>
      <c r="AM303" s="160" t="str">
        <f t="shared" si="150"/>
        <v>PLA7-TAPUDFUITE-PROJ234</v>
      </c>
      <c r="AN303" s="360" t="s">
        <v>2091</v>
      </c>
      <c r="AO303" s="160" t="str">
        <f t="shared" si="151"/>
        <v>Plan de face - etc</v>
      </c>
      <c r="AP303" s="360" t="s">
        <v>2091</v>
      </c>
      <c r="AQ303" s="160" t="str">
        <f t="shared" ca="1" si="152"/>
        <v>2023/02/15</v>
      </c>
      <c r="AR303" s="360" t="s">
        <v>2091</v>
      </c>
      <c r="AS303" s="160" t="str">
        <f t="shared" si="153"/>
        <v>https:\\localhost\testPathFile39</v>
      </c>
      <c r="AT303" s="360" t="s">
        <v>2093</v>
      </c>
      <c r="AU303" s="160">
        <f t="shared" si="154"/>
        <v>4</v>
      </c>
      <c r="AV303" s="360" t="s">
        <v>2020</v>
      </c>
      <c r="AW303" s="360" t="s">
        <v>1959</v>
      </c>
      <c r="AX303" s="160" t="s">
        <v>2021</v>
      </c>
      <c r="AY303" s="160" t="str">
        <f t="shared" ca="1" si="156"/>
        <v>INSERT INTO DOCUMENTS(catDoc,nameDoc,descriptionDoc,dateDoc,pathDoc,idProjet,idDeGeneration) VALUES ('Plan','PLA7-TAPUDFUITE-PROJ234','Plan de face - etc','2023/02/15','https:\\localhost\testPathFile38',4,NULL);</v>
      </c>
      <c r="AZ303" s="160" t="s">
        <v>2264</v>
      </c>
    </row>
    <row r="304" spans="6:52" ht="25.85" customHeight="1" outlineLevel="1" thickBot="1" x14ac:dyDescent="0.35">
      <c r="F304" s="160">
        <f t="shared" si="157"/>
        <v>40</v>
      </c>
      <c r="G304" s="160" t="s">
        <v>106</v>
      </c>
      <c r="H304" s="354">
        <f>COUNTIF(G$265:G304,G304)</f>
        <v>8</v>
      </c>
      <c r="I304" s="160" t="str">
        <f t="shared" si="147"/>
        <v>PLA8-TAPUDFUITE-PROJ234</v>
      </c>
      <c r="J304" s="160" t="s">
        <v>1894</v>
      </c>
      <c r="K304" s="329">
        <f>K303</f>
        <v>44972</v>
      </c>
      <c r="L304" s="160" t="s">
        <v>2176</v>
      </c>
      <c r="M304" s="160">
        <f t="shared" si="160"/>
        <v>4</v>
      </c>
      <c r="N304" s="160">
        <v>0</v>
      </c>
      <c r="S304" s="353"/>
      <c r="T304" s="160" t="s">
        <v>1922</v>
      </c>
      <c r="U304" s="160" t="str">
        <f t="shared" si="148"/>
        <v>DOCUMENTS</v>
      </c>
      <c r="V304" s="160" t="s">
        <v>2088</v>
      </c>
      <c r="W304" s="197" t="s">
        <v>168</v>
      </c>
      <c r="X304" s="360" t="s">
        <v>2020</v>
      </c>
      <c r="Y304" s="197" t="s">
        <v>303</v>
      </c>
      <c r="Z304" s="360" t="s">
        <v>2020</v>
      </c>
      <c r="AA304" s="199" t="s">
        <v>213</v>
      </c>
      <c r="AB304" s="360" t="s">
        <v>2020</v>
      </c>
      <c r="AC304" s="197" t="s">
        <v>211</v>
      </c>
      <c r="AD304" s="360" t="s">
        <v>2020</v>
      </c>
      <c r="AE304" s="197" t="s">
        <v>304</v>
      </c>
      <c r="AF304" s="360" t="s">
        <v>2020</v>
      </c>
      <c r="AG304" s="294" t="s">
        <v>287</v>
      </c>
      <c r="AH304" s="360" t="s">
        <v>2020</v>
      </c>
      <c r="AI304" s="294" t="s">
        <v>349</v>
      </c>
      <c r="AJ304" s="360" t="s">
        <v>2089</v>
      </c>
      <c r="AK304" s="160" t="str">
        <f t="shared" si="149"/>
        <v>Plan</v>
      </c>
      <c r="AL304" s="360" t="s">
        <v>2091</v>
      </c>
      <c r="AM304" s="160" t="str">
        <f t="shared" si="150"/>
        <v>PLA8-TAPUDFUITE-PROJ234</v>
      </c>
      <c r="AN304" s="360" t="s">
        <v>2091</v>
      </c>
      <c r="AO304" s="160" t="str">
        <f t="shared" si="151"/>
        <v>Plan de coté Est - etc</v>
      </c>
      <c r="AP304" s="360" t="s">
        <v>2091</v>
      </c>
      <c r="AQ304" s="160" t="str">
        <f t="shared" ca="1" si="152"/>
        <v>2023/02/15</v>
      </c>
      <c r="AR304" s="360" t="s">
        <v>2091</v>
      </c>
      <c r="AS304" s="160" t="str">
        <f t="shared" si="153"/>
        <v>https:\\localhost\testPathFile40</v>
      </c>
      <c r="AT304" s="360" t="s">
        <v>2093</v>
      </c>
      <c r="AU304" s="160">
        <f t="shared" si="154"/>
        <v>4</v>
      </c>
      <c r="AV304" s="360" t="s">
        <v>2020</v>
      </c>
      <c r="AW304" s="360" t="s">
        <v>1959</v>
      </c>
      <c r="AX304" s="160" t="s">
        <v>2021</v>
      </c>
      <c r="AY304" s="160" t="str">
        <f t="shared" ca="1" si="156"/>
        <v>INSERT INTO DOCUMENTS(catDoc,nameDoc,descriptionDoc,dateDoc,pathDoc,idProjet,idDeGeneration) VALUES ('Plan','PLA8-TAPUDFUITE-PROJ234','Plan de coté Est - etc','2023/02/15','https:\\localhost\testPathFile39',4,NULL);</v>
      </c>
      <c r="AZ304" s="160" t="s">
        <v>2265</v>
      </c>
    </row>
    <row r="305" spans="6:52" ht="15.65" outlineLevel="1" thickBot="1" x14ac:dyDescent="0.35">
      <c r="F305" s="160">
        <f t="shared" si="157"/>
        <v>41</v>
      </c>
      <c r="G305" s="160" t="s">
        <v>1885</v>
      </c>
      <c r="H305" s="354">
        <f>COUNTIF(G$265:G305,G305)</f>
        <v>10</v>
      </c>
      <c r="I305" s="160" t="str">
        <f t="shared" si="147"/>
        <v>IMG10-TAPUDFUITE-PROJ234</v>
      </c>
      <c r="J305" s="160" t="s">
        <v>1895</v>
      </c>
      <c r="K305" s="329">
        <f>K304+1</f>
        <v>44973</v>
      </c>
      <c r="L305" s="160" t="s">
        <v>2177</v>
      </c>
      <c r="M305" s="160">
        <f t="shared" si="160"/>
        <v>4</v>
      </c>
      <c r="N305" s="160">
        <v>0</v>
      </c>
      <c r="S305" s="353"/>
      <c r="T305" s="160" t="s">
        <v>1922</v>
      </c>
      <c r="U305" s="160" t="str">
        <f t="shared" si="148"/>
        <v>DOCUMENTS</v>
      </c>
      <c r="V305" s="160" t="s">
        <v>2088</v>
      </c>
      <c r="W305" s="197" t="s">
        <v>168</v>
      </c>
      <c r="X305" s="360" t="s">
        <v>2020</v>
      </c>
      <c r="Y305" s="197" t="s">
        <v>303</v>
      </c>
      <c r="Z305" s="360" t="s">
        <v>2020</v>
      </c>
      <c r="AA305" s="199" t="s">
        <v>213</v>
      </c>
      <c r="AB305" s="360" t="s">
        <v>2020</v>
      </c>
      <c r="AC305" s="197" t="s">
        <v>211</v>
      </c>
      <c r="AD305" s="360" t="s">
        <v>2020</v>
      </c>
      <c r="AE305" s="197" t="s">
        <v>304</v>
      </c>
      <c r="AF305" s="360" t="s">
        <v>2020</v>
      </c>
      <c r="AG305" s="294" t="s">
        <v>287</v>
      </c>
      <c r="AH305" s="360" t="s">
        <v>2020</v>
      </c>
      <c r="AI305" s="294" t="s">
        <v>349</v>
      </c>
      <c r="AJ305" s="360" t="s">
        <v>2089</v>
      </c>
      <c r="AK305" s="160" t="str">
        <f t="shared" si="149"/>
        <v>ImgPhoto</v>
      </c>
      <c r="AL305" s="360" t="s">
        <v>2091</v>
      </c>
      <c r="AM305" s="160" t="str">
        <f t="shared" si="150"/>
        <v>IMG10-TAPUDFUITE-PROJ234</v>
      </c>
      <c r="AN305" s="360" t="s">
        <v>2091</v>
      </c>
      <c r="AO305" s="160" t="str">
        <f t="shared" si="151"/>
        <v>Photo de projection de face</v>
      </c>
      <c r="AP305" s="360" t="s">
        <v>2091</v>
      </c>
      <c r="AQ305" s="160" t="str">
        <f t="shared" ca="1" si="152"/>
        <v>2023/02/16</v>
      </c>
      <c r="AR305" s="360" t="s">
        <v>2091</v>
      </c>
      <c r="AS305" s="160" t="str">
        <f t="shared" si="153"/>
        <v>https:\\localhost\testPathFile41</v>
      </c>
      <c r="AT305" s="360" t="s">
        <v>2093</v>
      </c>
      <c r="AU305" s="160">
        <f t="shared" si="154"/>
        <v>4</v>
      </c>
      <c r="AV305" s="360" t="s">
        <v>2020</v>
      </c>
      <c r="AW305" s="360" t="s">
        <v>1959</v>
      </c>
      <c r="AX305" s="160" t="s">
        <v>2021</v>
      </c>
      <c r="AY305" s="160" t="str">
        <f t="shared" ca="1" si="156"/>
        <v>INSERT INTO DOCUMENTS(catDoc,nameDoc,descriptionDoc,dateDoc,pathDoc,idProjet,idDeGeneration) VALUES ('ImgPhoto','IMG10-TAPUDFUITE-PROJ234','Photo de projection de face','2023/02/16','https:\\localhost\testPathFile40',4,NULL);</v>
      </c>
      <c r="AZ305" s="160" t="s">
        <v>2266</v>
      </c>
    </row>
    <row r="306" spans="6:52" ht="28.05" customHeight="1" outlineLevel="1" thickBot="1" x14ac:dyDescent="0.35">
      <c r="F306" s="160">
        <f t="shared" si="157"/>
        <v>42</v>
      </c>
      <c r="G306" s="160" t="s">
        <v>1885</v>
      </c>
      <c r="H306" s="354">
        <f>COUNTIF(G$265:G306,G306)</f>
        <v>11</v>
      </c>
      <c r="I306" s="160" t="str">
        <f t="shared" si="147"/>
        <v>IMG11-TAPUDFUITE-PROJ234</v>
      </c>
      <c r="J306" s="160" t="s">
        <v>1896</v>
      </c>
      <c r="K306" s="329">
        <f>K305</f>
        <v>44973</v>
      </c>
      <c r="L306" s="160" t="s">
        <v>2178</v>
      </c>
      <c r="M306" s="160">
        <f t="shared" si="160"/>
        <v>4</v>
      </c>
      <c r="N306" s="160">
        <v>0</v>
      </c>
      <c r="S306" s="353"/>
      <c r="T306" s="160" t="s">
        <v>1922</v>
      </c>
      <c r="U306" s="160" t="str">
        <f t="shared" si="148"/>
        <v>DOCUMENTS</v>
      </c>
      <c r="V306" s="160" t="s">
        <v>2088</v>
      </c>
      <c r="W306" s="197" t="s">
        <v>168</v>
      </c>
      <c r="X306" s="360" t="s">
        <v>2020</v>
      </c>
      <c r="Y306" s="197" t="s">
        <v>303</v>
      </c>
      <c r="Z306" s="360" t="s">
        <v>2020</v>
      </c>
      <c r="AA306" s="199" t="s">
        <v>213</v>
      </c>
      <c r="AB306" s="360" t="s">
        <v>2020</v>
      </c>
      <c r="AC306" s="197" t="s">
        <v>211</v>
      </c>
      <c r="AD306" s="360" t="s">
        <v>2020</v>
      </c>
      <c r="AE306" s="197" t="s">
        <v>304</v>
      </c>
      <c r="AF306" s="360" t="s">
        <v>2020</v>
      </c>
      <c r="AG306" s="294" t="s">
        <v>287</v>
      </c>
      <c r="AH306" s="360" t="s">
        <v>2020</v>
      </c>
      <c r="AI306" s="294" t="s">
        <v>349</v>
      </c>
      <c r="AJ306" s="360" t="s">
        <v>2089</v>
      </c>
      <c r="AK306" s="160" t="str">
        <f t="shared" si="149"/>
        <v>ImgPhoto</v>
      </c>
      <c r="AL306" s="360" t="s">
        <v>2091</v>
      </c>
      <c r="AM306" s="160" t="str">
        <f t="shared" si="150"/>
        <v>IMG11-TAPUDFUITE-PROJ234</v>
      </c>
      <c r="AN306" s="360" t="s">
        <v>2091</v>
      </c>
      <c r="AO306" s="160" t="str">
        <f t="shared" si="151"/>
        <v>Photo de projection de coté Est</v>
      </c>
      <c r="AP306" s="360" t="s">
        <v>2091</v>
      </c>
      <c r="AQ306" s="160" t="str">
        <f t="shared" ca="1" si="152"/>
        <v>2023/02/16</v>
      </c>
      <c r="AR306" s="360" t="s">
        <v>2091</v>
      </c>
      <c r="AS306" s="160" t="str">
        <f t="shared" si="153"/>
        <v>https:\\localhost\testPathFile42</v>
      </c>
      <c r="AT306" s="360" t="s">
        <v>2093</v>
      </c>
      <c r="AU306" s="160">
        <f t="shared" si="154"/>
        <v>4</v>
      </c>
      <c r="AV306" s="360" t="s">
        <v>2020</v>
      </c>
      <c r="AW306" s="360" t="s">
        <v>1959</v>
      </c>
      <c r="AX306" s="160" t="s">
        <v>2021</v>
      </c>
      <c r="AY306" s="160" t="str">
        <f t="shared" ca="1" si="156"/>
        <v>INSERT INTO DOCUMENTS(catDoc,nameDoc,descriptionDoc,dateDoc,pathDoc,idProjet,idDeGeneration) VALUES ('ImgPhoto','IMG11-TAPUDFUITE-PROJ234','Photo de projection de coté Est','2023/02/16','https:\\localhost\testPathFile41',4,NULL);</v>
      </c>
      <c r="AZ306" s="160" t="s">
        <v>2267</v>
      </c>
    </row>
    <row r="307" spans="6:52" ht="30.05" customHeight="1" outlineLevel="1" thickBot="1" x14ac:dyDescent="0.35">
      <c r="F307" s="160">
        <f t="shared" si="157"/>
        <v>43</v>
      </c>
      <c r="G307" s="160" t="s">
        <v>1885</v>
      </c>
      <c r="H307" s="354">
        <f>COUNTIF(G$265:G307,G307)</f>
        <v>12</v>
      </c>
      <c r="I307" s="160" t="str">
        <f t="shared" si="147"/>
        <v>IMG12-TAPUDFUITE-PROJ234</v>
      </c>
      <c r="J307" s="160" t="s">
        <v>1897</v>
      </c>
      <c r="K307" s="329">
        <f>K306+1</f>
        <v>44974</v>
      </c>
      <c r="L307" s="160" t="s">
        <v>2179</v>
      </c>
      <c r="M307" s="160">
        <f t="shared" si="160"/>
        <v>4</v>
      </c>
      <c r="N307" s="160">
        <v>0</v>
      </c>
      <c r="S307" s="353"/>
      <c r="T307" s="160" t="s">
        <v>1922</v>
      </c>
      <c r="U307" s="160" t="str">
        <f t="shared" si="148"/>
        <v>DOCUMENTS</v>
      </c>
      <c r="V307" s="160" t="s">
        <v>2088</v>
      </c>
      <c r="W307" s="197" t="s">
        <v>168</v>
      </c>
      <c r="X307" s="360" t="s">
        <v>2020</v>
      </c>
      <c r="Y307" s="197" t="s">
        <v>303</v>
      </c>
      <c r="Z307" s="360" t="s">
        <v>2020</v>
      </c>
      <c r="AA307" s="199" t="s">
        <v>213</v>
      </c>
      <c r="AB307" s="360" t="s">
        <v>2020</v>
      </c>
      <c r="AC307" s="197" t="s">
        <v>211</v>
      </c>
      <c r="AD307" s="360" t="s">
        <v>2020</v>
      </c>
      <c r="AE307" s="197" t="s">
        <v>304</v>
      </c>
      <c r="AF307" s="360" t="s">
        <v>2020</v>
      </c>
      <c r="AG307" s="294" t="s">
        <v>287</v>
      </c>
      <c r="AH307" s="360" t="s">
        <v>2020</v>
      </c>
      <c r="AI307" s="294" t="s">
        <v>349</v>
      </c>
      <c r="AJ307" s="360" t="s">
        <v>2089</v>
      </c>
      <c r="AK307" s="160" t="str">
        <f t="shared" si="149"/>
        <v>ImgPhoto</v>
      </c>
      <c r="AL307" s="360" t="s">
        <v>2091</v>
      </c>
      <c r="AM307" s="160" t="str">
        <f t="shared" si="150"/>
        <v>IMG12-TAPUDFUITE-PROJ234</v>
      </c>
      <c r="AN307" s="360" t="s">
        <v>2091</v>
      </c>
      <c r="AO307" s="160" t="str">
        <f t="shared" si="151"/>
        <v>Photo de projection dcoté Ouest et Sud</v>
      </c>
      <c r="AP307" s="360" t="s">
        <v>2091</v>
      </c>
      <c r="AQ307" s="160" t="str">
        <f t="shared" ca="1" si="152"/>
        <v>2023/02/17</v>
      </c>
      <c r="AR307" s="360" t="s">
        <v>2091</v>
      </c>
      <c r="AS307" s="160" t="str">
        <f t="shared" si="153"/>
        <v>https:\\localhost\testPathFile43</v>
      </c>
      <c r="AT307" s="360" t="s">
        <v>2093</v>
      </c>
      <c r="AU307" s="160">
        <f t="shared" si="154"/>
        <v>4</v>
      </c>
      <c r="AV307" s="360" t="s">
        <v>2020</v>
      </c>
      <c r="AW307" s="360" t="s">
        <v>1959</v>
      </c>
      <c r="AX307" s="160" t="s">
        <v>2021</v>
      </c>
      <c r="AY307" s="160" t="str">
        <f t="shared" ca="1" si="156"/>
        <v>INSERT INTO DOCUMENTS(catDoc,nameDoc,descriptionDoc,dateDoc,pathDoc,idProjet,idDeGeneration) VALUES ('ImgPhoto','IMG12-TAPUDFUITE-PROJ234','Photo de projection dcoté Ouest et Sud','2023/02/17','https:\\localhost\testPathFile42',4,NULL);</v>
      </c>
      <c r="AZ307" s="160" t="s">
        <v>2268</v>
      </c>
    </row>
    <row r="308" spans="6:52" ht="20.05" customHeight="1" outlineLevel="1" thickBot="1" x14ac:dyDescent="0.35">
      <c r="F308" s="160">
        <f t="shared" si="157"/>
        <v>44</v>
      </c>
      <c r="G308" s="160" t="s">
        <v>109</v>
      </c>
      <c r="H308" s="354">
        <f>COUNTIF(G$265:G308,G308)</f>
        <v>3</v>
      </c>
      <c r="I308" s="160" t="str">
        <f t="shared" si="147"/>
        <v>SCH3-TAPUDFUITE-PROJ234</v>
      </c>
      <c r="J308" s="160" t="s">
        <v>1898</v>
      </c>
      <c r="K308" s="329">
        <f>K307</f>
        <v>44974</v>
      </c>
      <c r="L308" s="160" t="s">
        <v>2180</v>
      </c>
      <c r="M308" s="160">
        <f t="shared" si="160"/>
        <v>4</v>
      </c>
      <c r="N308" s="160">
        <v>0</v>
      </c>
      <c r="S308" s="353"/>
      <c r="T308" s="160" t="s">
        <v>1922</v>
      </c>
      <c r="U308" s="160" t="str">
        <f t="shared" si="148"/>
        <v>DOCUMENTS</v>
      </c>
      <c r="V308" s="160" t="s">
        <v>2088</v>
      </c>
      <c r="W308" s="197" t="s">
        <v>168</v>
      </c>
      <c r="X308" s="360" t="s">
        <v>2020</v>
      </c>
      <c r="Y308" s="197" t="s">
        <v>303</v>
      </c>
      <c r="Z308" s="360" t="s">
        <v>2020</v>
      </c>
      <c r="AA308" s="199" t="s">
        <v>213</v>
      </c>
      <c r="AB308" s="360" t="s">
        <v>2020</v>
      </c>
      <c r="AC308" s="197" t="s">
        <v>211</v>
      </c>
      <c r="AD308" s="360" t="s">
        <v>2020</v>
      </c>
      <c r="AE308" s="197" t="s">
        <v>304</v>
      </c>
      <c r="AF308" s="360" t="s">
        <v>2020</v>
      </c>
      <c r="AG308" s="294" t="s">
        <v>287</v>
      </c>
      <c r="AH308" s="360" t="s">
        <v>2020</v>
      </c>
      <c r="AI308" s="294" t="s">
        <v>349</v>
      </c>
      <c r="AJ308" s="360" t="s">
        <v>2089</v>
      </c>
      <c r="AK308" s="160" t="str">
        <f t="shared" si="149"/>
        <v>Schema</v>
      </c>
      <c r="AL308" s="360" t="s">
        <v>2091</v>
      </c>
      <c r="AM308" s="160" t="str">
        <f t="shared" si="150"/>
        <v>SCH3-TAPUDFUITE-PROJ234</v>
      </c>
      <c r="AN308" s="360" t="s">
        <v>2091</v>
      </c>
      <c r="AO308" s="160" t="str">
        <f t="shared" si="151"/>
        <v>Schema de principe de circulation</v>
      </c>
      <c r="AP308" s="360" t="s">
        <v>2091</v>
      </c>
      <c r="AQ308" s="160" t="str">
        <f t="shared" ca="1" si="152"/>
        <v>2023/02/17</v>
      </c>
      <c r="AR308" s="360" t="s">
        <v>2091</v>
      </c>
      <c r="AS308" s="160" t="str">
        <f t="shared" si="153"/>
        <v>https:\\localhost\testPathFile44</v>
      </c>
      <c r="AT308" s="360" t="s">
        <v>2093</v>
      </c>
      <c r="AU308" s="160">
        <f t="shared" si="154"/>
        <v>4</v>
      </c>
      <c r="AV308" s="360" t="s">
        <v>2020</v>
      </c>
      <c r="AW308" s="360" t="s">
        <v>1959</v>
      </c>
      <c r="AX308" s="160" t="s">
        <v>2021</v>
      </c>
      <c r="AY308" s="160" t="str">
        <f t="shared" ca="1" si="156"/>
        <v>INSERT INTO DOCUMENTS(catDoc,nameDoc,descriptionDoc,dateDoc,pathDoc,idProjet,idDeGeneration) VALUES ('Schema','SCH3-TAPUDFUITE-PROJ234','Schema de principe de circulation','2023/02/17','https:\\localhost\testPathFile43',4,NULL);</v>
      </c>
      <c r="AZ308" s="160" t="s">
        <v>2294</v>
      </c>
    </row>
    <row r="309" spans="6:52" ht="20.05" customHeight="1" outlineLevel="1" thickBot="1" x14ac:dyDescent="0.35">
      <c r="F309" s="160">
        <f t="shared" si="157"/>
        <v>45</v>
      </c>
      <c r="G309" s="160" t="s">
        <v>1887</v>
      </c>
      <c r="H309" s="354">
        <f>COUNTIF(G$265:G309,G309)</f>
        <v>11</v>
      </c>
      <c r="I309" s="160" t="str">
        <f t="shared" si="147"/>
        <v>DIV11-TAPUDFUITE-PROJ234</v>
      </c>
      <c r="J309" s="160" t="s">
        <v>2231</v>
      </c>
      <c r="K309" s="329">
        <f>K308+4</f>
        <v>44978</v>
      </c>
      <c r="L309" s="160" t="s">
        <v>2181</v>
      </c>
      <c r="M309" s="160">
        <f t="shared" si="160"/>
        <v>4</v>
      </c>
      <c r="N309" s="160">
        <v>0</v>
      </c>
      <c r="S309" s="353"/>
      <c r="T309" s="160" t="s">
        <v>1922</v>
      </c>
      <c r="U309" s="160" t="str">
        <f t="shared" si="148"/>
        <v>DOCUMENTS</v>
      </c>
      <c r="V309" s="160" t="s">
        <v>2088</v>
      </c>
      <c r="W309" s="197" t="s">
        <v>168</v>
      </c>
      <c r="X309" s="360" t="s">
        <v>2020</v>
      </c>
      <c r="Y309" s="197" t="s">
        <v>303</v>
      </c>
      <c r="Z309" s="360" t="s">
        <v>2020</v>
      </c>
      <c r="AA309" s="199" t="s">
        <v>213</v>
      </c>
      <c r="AB309" s="360" t="s">
        <v>2020</v>
      </c>
      <c r="AC309" s="197" t="s">
        <v>211</v>
      </c>
      <c r="AD309" s="360" t="s">
        <v>2020</v>
      </c>
      <c r="AE309" s="197" t="s">
        <v>304</v>
      </c>
      <c r="AF309" s="360" t="s">
        <v>2020</v>
      </c>
      <c r="AG309" s="294" t="s">
        <v>287</v>
      </c>
      <c r="AH309" s="360" t="s">
        <v>2020</v>
      </c>
      <c r="AI309" s="294" t="s">
        <v>349</v>
      </c>
      <c r="AJ309" s="360" t="s">
        <v>2089</v>
      </c>
      <c r="AK309" s="160" t="str">
        <f t="shared" si="149"/>
        <v>Divers</v>
      </c>
      <c r="AL309" s="360" t="s">
        <v>2091</v>
      </c>
      <c r="AM309" s="160" t="str">
        <f t="shared" si="150"/>
        <v>DIV11-TAPUDFUITE-PROJ234</v>
      </c>
      <c r="AN309" s="360" t="s">
        <v>2091</v>
      </c>
      <c r="AO309" s="160" t="str">
        <f t="shared" si="151"/>
        <v>Relevé de Coût pour ameublement</v>
      </c>
      <c r="AP309" s="360" t="s">
        <v>2091</v>
      </c>
      <c r="AQ309" s="160" t="str">
        <f t="shared" ca="1" si="152"/>
        <v>2023/02/21</v>
      </c>
      <c r="AR309" s="360" t="s">
        <v>2091</v>
      </c>
      <c r="AS309" s="160" t="str">
        <f t="shared" si="153"/>
        <v>https:\\localhost\testPathFile45</v>
      </c>
      <c r="AT309" s="360" t="s">
        <v>2093</v>
      </c>
      <c r="AU309" s="160">
        <f t="shared" si="154"/>
        <v>4</v>
      </c>
      <c r="AV309" s="360" t="s">
        <v>2020</v>
      </c>
      <c r="AW309" s="360" t="s">
        <v>1959</v>
      </c>
      <c r="AX309" s="160" t="s">
        <v>2021</v>
      </c>
      <c r="AY309" s="160" t="str">
        <f t="shared" ca="1" si="156"/>
        <v>INSERT INTO DOCUMENTS(catDoc,nameDoc,descriptionDoc,dateDoc,pathDoc,idProjet,idDeGeneration) VALUES ('Divers','DIV11-TAPUDFUITE-PROJ234','Relevé de Coût pour ameublement','2023/02/21','https:\\localhost\testPathFile44',4,NULL);</v>
      </c>
      <c r="AZ309" s="160" t="s">
        <v>2295</v>
      </c>
    </row>
    <row r="310" spans="6:52" ht="20.05" customHeight="1" outlineLevel="1" thickBot="1" x14ac:dyDescent="0.35">
      <c r="F310" s="160">
        <f t="shared" si="157"/>
        <v>46</v>
      </c>
      <c r="G310" s="160" t="s">
        <v>1887</v>
      </c>
      <c r="H310" s="354">
        <f>COUNTIF(G$265:G310,G310)</f>
        <v>12</v>
      </c>
      <c r="I310" s="160" t="str">
        <f t="shared" si="147"/>
        <v>DIV12-TAPUDFUITE-PROJ234</v>
      </c>
      <c r="J310" s="160" t="s">
        <v>1900</v>
      </c>
      <c r="K310" s="329">
        <f>K309+1</f>
        <v>44979</v>
      </c>
      <c r="L310" s="160" t="s">
        <v>2182</v>
      </c>
      <c r="M310" s="160">
        <f t="shared" si="160"/>
        <v>4</v>
      </c>
      <c r="N310" s="160">
        <v>0</v>
      </c>
      <c r="S310" s="353"/>
      <c r="T310" s="160" t="s">
        <v>1922</v>
      </c>
      <c r="U310" s="160" t="str">
        <f t="shared" si="148"/>
        <v>DOCUMENTS</v>
      </c>
      <c r="V310" s="160" t="s">
        <v>2088</v>
      </c>
      <c r="W310" s="197" t="s">
        <v>168</v>
      </c>
      <c r="X310" s="360" t="s">
        <v>2020</v>
      </c>
      <c r="Y310" s="197" t="s">
        <v>303</v>
      </c>
      <c r="Z310" s="360" t="s">
        <v>2020</v>
      </c>
      <c r="AA310" s="199" t="s">
        <v>213</v>
      </c>
      <c r="AB310" s="360" t="s">
        <v>2020</v>
      </c>
      <c r="AC310" s="197" t="s">
        <v>211</v>
      </c>
      <c r="AD310" s="360" t="s">
        <v>2020</v>
      </c>
      <c r="AE310" s="197" t="s">
        <v>304</v>
      </c>
      <c r="AF310" s="360" t="s">
        <v>2020</v>
      </c>
      <c r="AG310" s="294" t="s">
        <v>287</v>
      </c>
      <c r="AH310" s="360" t="s">
        <v>2020</v>
      </c>
      <c r="AI310" s="294" t="s">
        <v>349</v>
      </c>
      <c r="AJ310" s="360" t="s">
        <v>2089</v>
      </c>
      <c r="AK310" s="160" t="str">
        <f t="shared" si="149"/>
        <v>Divers</v>
      </c>
      <c r="AL310" s="360" t="s">
        <v>2091</v>
      </c>
      <c r="AM310" s="160" t="str">
        <f t="shared" si="150"/>
        <v>DIV12-TAPUDFUITE-PROJ234</v>
      </c>
      <c r="AN310" s="360" t="s">
        <v>2091</v>
      </c>
      <c r="AO310" s="160" t="str">
        <f t="shared" si="151"/>
        <v>Prise des cotes et des piges</v>
      </c>
      <c r="AP310" s="360" t="s">
        <v>2091</v>
      </c>
      <c r="AQ310" s="160" t="str">
        <f t="shared" ca="1" si="152"/>
        <v>2023/02/22</v>
      </c>
      <c r="AR310" s="360" t="s">
        <v>2091</v>
      </c>
      <c r="AS310" s="160" t="str">
        <f t="shared" si="153"/>
        <v>https:\\localhost\testPathFile46</v>
      </c>
      <c r="AT310" s="360" t="s">
        <v>2093</v>
      </c>
      <c r="AU310" s="160">
        <f t="shared" si="154"/>
        <v>4</v>
      </c>
      <c r="AV310" s="360" t="s">
        <v>2020</v>
      </c>
      <c r="AW310" s="360" t="s">
        <v>1959</v>
      </c>
      <c r="AX310" s="160" t="s">
        <v>2021</v>
      </c>
      <c r="AY310" s="160" t="str">
        <f t="shared" ca="1" si="156"/>
        <v>INSERT INTO DOCUMENTS(catDoc,nameDoc,descriptionDoc,dateDoc,pathDoc,idProjet,idDeGeneration) VALUES ('Divers','DIV12-TAPUDFUITE-PROJ234','Prise des cotes et des piges','2023/02/22','https:\\localhost\testPathFile45',4,NULL);</v>
      </c>
      <c r="AZ310" s="160" t="s">
        <v>2296</v>
      </c>
    </row>
    <row r="311" spans="6:52" ht="20.05" customHeight="1" outlineLevel="1" thickBot="1" x14ac:dyDescent="0.35">
      <c r="F311" s="160">
        <f t="shared" si="157"/>
        <v>47</v>
      </c>
      <c r="G311" s="160" t="s">
        <v>1887</v>
      </c>
      <c r="H311" s="354">
        <f>COUNTIF(G$265:G311,G311)</f>
        <v>13</v>
      </c>
      <c r="I311" s="160" t="str">
        <f t="shared" si="147"/>
        <v>DIV13-TAPUDFUITE-PROJ234</v>
      </c>
      <c r="J311" s="160" t="s">
        <v>1901</v>
      </c>
      <c r="K311" s="329">
        <f>K310</f>
        <v>44979</v>
      </c>
      <c r="L311" s="160" t="s">
        <v>2183</v>
      </c>
      <c r="M311" s="160">
        <f t="shared" si="160"/>
        <v>4</v>
      </c>
      <c r="N311" s="160">
        <v>0</v>
      </c>
      <c r="S311" s="353"/>
      <c r="T311" s="160" t="s">
        <v>1922</v>
      </c>
      <c r="U311" s="160" t="str">
        <f t="shared" si="148"/>
        <v>DOCUMENTS</v>
      </c>
      <c r="V311" s="160" t="s">
        <v>2088</v>
      </c>
      <c r="W311" s="197" t="s">
        <v>168</v>
      </c>
      <c r="X311" s="360" t="s">
        <v>2020</v>
      </c>
      <c r="Y311" s="197" t="s">
        <v>303</v>
      </c>
      <c r="Z311" s="360" t="s">
        <v>2020</v>
      </c>
      <c r="AA311" s="199" t="s">
        <v>213</v>
      </c>
      <c r="AB311" s="360" t="s">
        <v>2020</v>
      </c>
      <c r="AC311" s="197" t="s">
        <v>211</v>
      </c>
      <c r="AD311" s="360" t="s">
        <v>2020</v>
      </c>
      <c r="AE311" s="197" t="s">
        <v>304</v>
      </c>
      <c r="AF311" s="360" t="s">
        <v>2020</v>
      </c>
      <c r="AG311" s="294" t="s">
        <v>287</v>
      </c>
      <c r="AH311" s="360" t="s">
        <v>2020</v>
      </c>
      <c r="AI311" s="294" t="s">
        <v>349</v>
      </c>
      <c r="AJ311" s="360" t="s">
        <v>2089</v>
      </c>
      <c r="AK311" s="160" t="str">
        <f t="shared" si="149"/>
        <v>Divers</v>
      </c>
      <c r="AL311" s="360" t="s">
        <v>2091</v>
      </c>
      <c r="AM311" s="160" t="str">
        <f t="shared" si="150"/>
        <v>DIV13-TAPUDFUITE-PROJ234</v>
      </c>
      <c r="AN311" s="360" t="s">
        <v>2091</v>
      </c>
      <c r="AO311" s="160" t="str">
        <f t="shared" si="151"/>
        <v>Document de Chiffrage du projet</v>
      </c>
      <c r="AP311" s="360" t="s">
        <v>2091</v>
      </c>
      <c r="AQ311" s="160" t="str">
        <f t="shared" ca="1" si="152"/>
        <v>2023/02/22</v>
      </c>
      <c r="AR311" s="360" t="s">
        <v>2091</v>
      </c>
      <c r="AS311" s="160" t="str">
        <f t="shared" si="153"/>
        <v>https:\\localhost\testPathFile47</v>
      </c>
      <c r="AT311" s="360" t="s">
        <v>2093</v>
      </c>
      <c r="AU311" s="160">
        <f t="shared" si="154"/>
        <v>4</v>
      </c>
      <c r="AV311" s="360" t="s">
        <v>2020</v>
      </c>
      <c r="AW311" s="360" t="s">
        <v>1959</v>
      </c>
      <c r="AX311" s="160" t="s">
        <v>2021</v>
      </c>
      <c r="AY311" s="160" t="str">
        <f t="shared" ca="1" si="156"/>
        <v>INSERT INTO DOCUMENTS(catDoc,nameDoc,descriptionDoc,dateDoc,pathDoc,idProjet,idDeGeneration) VALUES ('Divers','DIV13-TAPUDFUITE-PROJ234','Document de Chiffrage du projet','2023/02/22','https:\\localhost\testPathFile46',4,NULL);</v>
      </c>
      <c r="AZ311" s="160" t="s">
        <v>2297</v>
      </c>
    </row>
    <row r="312" spans="6:52" ht="15.65" thickBot="1" x14ac:dyDescent="0.35">
      <c r="F312" s="160">
        <f t="shared" si="157"/>
        <v>48</v>
      </c>
      <c r="G312" s="160" t="s">
        <v>105</v>
      </c>
      <c r="H312" s="354">
        <f>COUNTIF(G$265:G312,G312)</f>
        <v>8</v>
      </c>
      <c r="I312" s="160" t="str">
        <f t="shared" si="147"/>
        <v>FAC8-TAPUDFUITE-PROJ234</v>
      </c>
      <c r="J312" s="160" t="s">
        <v>2240</v>
      </c>
      <c r="K312" s="329">
        <f>IF(N312=0,"",_xlfn.XLOOKUP(N312,F$32:F$54,G$32:G$54))</f>
        <v>44995</v>
      </c>
      <c r="L312" s="160" t="s">
        <v>2184</v>
      </c>
      <c r="M312" s="160">
        <f t="shared" si="160"/>
        <v>4</v>
      </c>
      <c r="N312" s="160">
        <v>15</v>
      </c>
      <c r="S312" s="353"/>
      <c r="T312" s="160" t="s">
        <v>1922</v>
      </c>
      <c r="U312" s="160" t="str">
        <f t="shared" si="148"/>
        <v>DOCUMENTS</v>
      </c>
      <c r="V312" s="160" t="s">
        <v>2088</v>
      </c>
      <c r="W312" s="197" t="s">
        <v>168</v>
      </c>
      <c r="X312" s="360" t="s">
        <v>2020</v>
      </c>
      <c r="Y312" s="197" t="s">
        <v>303</v>
      </c>
      <c r="Z312" s="360" t="s">
        <v>2020</v>
      </c>
      <c r="AA312" s="199" t="s">
        <v>213</v>
      </c>
      <c r="AB312" s="360" t="s">
        <v>2020</v>
      </c>
      <c r="AC312" s="197" t="s">
        <v>211</v>
      </c>
      <c r="AD312" s="360" t="s">
        <v>2020</v>
      </c>
      <c r="AE312" s="197" t="s">
        <v>304</v>
      </c>
      <c r="AF312" s="360" t="s">
        <v>2020</v>
      </c>
      <c r="AG312" s="294" t="s">
        <v>287</v>
      </c>
      <c r="AH312" s="360" t="s">
        <v>2020</v>
      </c>
      <c r="AI312" s="294" t="s">
        <v>349</v>
      </c>
      <c r="AJ312" s="360" t="s">
        <v>2089</v>
      </c>
      <c r="AK312" s="160" t="str">
        <f t="shared" si="149"/>
        <v>Facture</v>
      </c>
      <c r="AL312" s="360" t="s">
        <v>2091</v>
      </c>
      <c r="AM312" s="160" t="str">
        <f t="shared" si="150"/>
        <v>FAC8-TAPUDFUITE-PROJ234</v>
      </c>
      <c r="AN312" s="360" t="s">
        <v>2091</v>
      </c>
      <c r="AO312" s="160" t="str">
        <f t="shared" si="151"/>
        <v>Facture transmise pour autorisation exploitation</v>
      </c>
      <c r="AP312" s="360" t="s">
        <v>2091</v>
      </c>
      <c r="AQ312" s="160" t="str">
        <f t="shared" ca="1" si="152"/>
        <v>2023/03/10</v>
      </c>
      <c r="AR312" s="360" t="s">
        <v>2091</v>
      </c>
      <c r="AS312" s="160" t="str">
        <f t="shared" si="153"/>
        <v>https:\\localhost\testPathFile48</v>
      </c>
      <c r="AT312" s="360" t="s">
        <v>2093</v>
      </c>
      <c r="AU312" s="160">
        <f t="shared" si="154"/>
        <v>4</v>
      </c>
      <c r="AV312" s="360" t="s">
        <v>2020</v>
      </c>
      <c r="AW312" s="160">
        <f t="shared" si="155"/>
        <v>15</v>
      </c>
      <c r="AX312" s="160" t="s">
        <v>2021</v>
      </c>
      <c r="AY312" s="160" t="str">
        <f t="shared" ca="1" si="156"/>
        <v>INSERT INTO DOCUMENTS(catDoc,nameDoc,descriptionDoc,dateDoc,pathDoc,idProjet,idDeGeneration) VALUES ('Facture','FAC8-TAPUDFUITE-PROJ234','Facture transmise pour autorisation exploitation','2023/03/10','https:\\localhost\testPathFile47',4,15);</v>
      </c>
      <c r="AZ312" s="160" t="s">
        <v>2244</v>
      </c>
    </row>
    <row r="313" spans="6:52" ht="20.05" customHeight="1" outlineLevel="1" thickBot="1" x14ac:dyDescent="0.35">
      <c r="F313" s="160">
        <f t="shared" si="157"/>
        <v>49</v>
      </c>
      <c r="G313" s="160" t="s">
        <v>104</v>
      </c>
      <c r="H313" s="354">
        <f>COUNTIF(G313,G313)</f>
        <v>1</v>
      </c>
      <c r="I313" s="160" t="str">
        <f t="shared" si="147"/>
        <v>DEV1-LABONNEBAGUETTE-PROJ235</v>
      </c>
      <c r="J313" s="160" t="s">
        <v>1891</v>
      </c>
      <c r="K313" s="329">
        <f>IF(N313=0,"",_xlfn.XLOOKUP(N313,F$32:F$54,G$32:G$54))</f>
        <v>44972</v>
      </c>
      <c r="L313" s="160" t="s">
        <v>2185</v>
      </c>
      <c r="M313" s="160">
        <v>5</v>
      </c>
      <c r="N313" s="160">
        <v>11</v>
      </c>
      <c r="S313" s="353"/>
      <c r="T313" s="160" t="s">
        <v>1922</v>
      </c>
      <c r="U313" s="160" t="str">
        <f t="shared" si="148"/>
        <v>DOCUMENTS</v>
      </c>
      <c r="V313" s="160" t="s">
        <v>2088</v>
      </c>
      <c r="W313" s="197" t="s">
        <v>168</v>
      </c>
      <c r="X313" s="360" t="s">
        <v>2020</v>
      </c>
      <c r="Y313" s="197" t="s">
        <v>303</v>
      </c>
      <c r="Z313" s="360" t="s">
        <v>2020</v>
      </c>
      <c r="AA313" s="199" t="s">
        <v>213</v>
      </c>
      <c r="AB313" s="360" t="s">
        <v>2020</v>
      </c>
      <c r="AC313" s="197" t="s">
        <v>211</v>
      </c>
      <c r="AD313" s="360" t="s">
        <v>2020</v>
      </c>
      <c r="AE313" s="197" t="s">
        <v>304</v>
      </c>
      <c r="AF313" s="360" t="s">
        <v>2020</v>
      </c>
      <c r="AG313" s="294" t="s">
        <v>287</v>
      </c>
      <c r="AH313" s="360" t="s">
        <v>2020</v>
      </c>
      <c r="AI313" s="294" t="s">
        <v>349</v>
      </c>
      <c r="AJ313" s="360" t="s">
        <v>2089</v>
      </c>
      <c r="AK313" s="160" t="str">
        <f t="shared" si="149"/>
        <v>Devis</v>
      </c>
      <c r="AL313" s="360" t="s">
        <v>2091</v>
      </c>
      <c r="AM313" s="160" t="str">
        <f t="shared" si="150"/>
        <v>DEV1-LABONNEBAGUETTE-PROJ235</v>
      </c>
      <c r="AN313" s="360" t="s">
        <v>2091</v>
      </c>
      <c r="AO313" s="160" t="str">
        <f t="shared" si="151"/>
        <v>Proposition commerciale du projet</v>
      </c>
      <c r="AP313" s="360" t="s">
        <v>2091</v>
      </c>
      <c r="AQ313" s="160" t="str">
        <f t="shared" ca="1" si="152"/>
        <v>2023/02/15</v>
      </c>
      <c r="AR313" s="360" t="s">
        <v>2091</v>
      </c>
      <c r="AS313" s="160" t="str">
        <f t="shared" si="153"/>
        <v>https:\\localhost\testPathFile49</v>
      </c>
      <c r="AT313" s="360" t="s">
        <v>2093</v>
      </c>
      <c r="AU313" s="160">
        <f t="shared" si="154"/>
        <v>5</v>
      </c>
      <c r="AV313" s="360" t="s">
        <v>2020</v>
      </c>
      <c r="AW313" s="160">
        <f t="shared" si="155"/>
        <v>11</v>
      </c>
      <c r="AX313" s="160" t="s">
        <v>2021</v>
      </c>
      <c r="AY313" s="160" t="str">
        <f t="shared" ca="1" si="156"/>
        <v>INSERT INTO DOCUMENTS(catDoc,nameDoc,descriptionDoc,dateDoc,pathDoc,idProjet,idDeGeneration) VALUES ('Devis','DEV1-LABONNEBAGUETTE-PROJ235','Proposition commerciale du projet','2023/02/15','https:\\localhost\testPathFile48',5,11);</v>
      </c>
      <c r="AZ313" s="160" t="s">
        <v>2226</v>
      </c>
    </row>
    <row r="314" spans="6:52" ht="20.05" customHeight="1" outlineLevel="1" thickBot="1" x14ac:dyDescent="0.35">
      <c r="F314" s="160">
        <f t="shared" si="157"/>
        <v>50</v>
      </c>
      <c r="G314" s="160" t="s">
        <v>105</v>
      </c>
      <c r="H314" s="354">
        <f>COUNTIF(G$265:G314,G314)</f>
        <v>9</v>
      </c>
      <c r="I314" s="160" t="str">
        <f t="shared" si="147"/>
        <v>FAC9-LABONNEBAGUETTE-PROJ235</v>
      </c>
      <c r="J314" s="160" t="s">
        <v>2230</v>
      </c>
      <c r="K314" s="329">
        <f>IF(N314=0,"",_xlfn.XLOOKUP(N314,F$32:F$54,G$32:G$54))</f>
        <v>44983</v>
      </c>
      <c r="L314" s="160" t="s">
        <v>2186</v>
      </c>
      <c r="M314" s="160">
        <f>M313</f>
        <v>5</v>
      </c>
      <c r="N314" s="160">
        <v>13</v>
      </c>
      <c r="S314" s="353"/>
      <c r="T314" s="160" t="s">
        <v>1922</v>
      </c>
      <c r="U314" s="160" t="str">
        <f t="shared" si="148"/>
        <v>DOCUMENTS</v>
      </c>
      <c r="V314" s="160" t="s">
        <v>2088</v>
      </c>
      <c r="W314" s="197" t="s">
        <v>168</v>
      </c>
      <c r="X314" s="360" t="s">
        <v>2020</v>
      </c>
      <c r="Y314" s="197" t="s">
        <v>303</v>
      </c>
      <c r="Z314" s="360" t="s">
        <v>2020</v>
      </c>
      <c r="AA314" s="199" t="s">
        <v>213</v>
      </c>
      <c r="AB314" s="360" t="s">
        <v>2020</v>
      </c>
      <c r="AC314" s="197" t="s">
        <v>211</v>
      </c>
      <c r="AD314" s="360" t="s">
        <v>2020</v>
      </c>
      <c r="AE314" s="197" t="s">
        <v>304</v>
      </c>
      <c r="AF314" s="360" t="s">
        <v>2020</v>
      </c>
      <c r="AG314" s="294" t="s">
        <v>287</v>
      </c>
      <c r="AH314" s="360" t="s">
        <v>2020</v>
      </c>
      <c r="AI314" s="294" t="s">
        <v>349</v>
      </c>
      <c r="AJ314" s="360" t="s">
        <v>2089</v>
      </c>
      <c r="AK314" s="160" t="str">
        <f t="shared" si="149"/>
        <v>Facture</v>
      </c>
      <c r="AL314" s="360" t="s">
        <v>2091</v>
      </c>
      <c r="AM314" s="160" t="str">
        <f t="shared" si="150"/>
        <v>FAC9-LABONNEBAGUETTE-PROJ235</v>
      </c>
      <c r="AN314" s="360" t="s">
        <v>2091</v>
      </c>
      <c r="AO314" s="160" t="str">
        <f t="shared" si="151"/>
        <v>Facture accompte pour démarrer les travaux</v>
      </c>
      <c r="AP314" s="360" t="s">
        <v>2091</v>
      </c>
      <c r="AQ314" s="160" t="str">
        <f t="shared" ca="1" si="152"/>
        <v>2023/02/26</v>
      </c>
      <c r="AR314" s="360" t="s">
        <v>2091</v>
      </c>
      <c r="AS314" s="160" t="str">
        <f t="shared" si="153"/>
        <v>https:\\localhost\testPathFile50</v>
      </c>
      <c r="AT314" s="360" t="s">
        <v>2093</v>
      </c>
      <c r="AU314" s="160">
        <f t="shared" si="154"/>
        <v>5</v>
      </c>
      <c r="AV314" s="360" t="s">
        <v>2020</v>
      </c>
      <c r="AW314" s="160">
        <f t="shared" si="155"/>
        <v>13</v>
      </c>
      <c r="AX314" s="160" t="s">
        <v>2021</v>
      </c>
      <c r="AY314" s="160" t="str">
        <f t="shared" ca="1" si="156"/>
        <v>INSERT INTO DOCUMENTS(catDoc,nameDoc,descriptionDoc,dateDoc,pathDoc,idProjet,idDeGeneration) VALUES ('Facture','FAC9-LABONNEBAGUETTE-PROJ235','Facture accompte pour démarrer les travaux','2023/02/26','https:\\localhost\testPathFile49',5,13);</v>
      </c>
      <c r="AZ314" s="160" t="s">
        <v>2236</v>
      </c>
    </row>
    <row r="315" spans="6:52" ht="32.6" customHeight="1" outlineLevel="1" thickBot="1" x14ac:dyDescent="0.35">
      <c r="F315" s="160">
        <f t="shared" si="157"/>
        <v>51</v>
      </c>
      <c r="G315" s="160" t="s">
        <v>106</v>
      </c>
      <c r="H315" s="354">
        <f>COUNTIF(G$265:G315,G315)</f>
        <v>9</v>
      </c>
      <c r="I315" s="160" t="str">
        <f t="shared" si="147"/>
        <v>PLA9-LABONNEBAGUETTE-PROJ235</v>
      </c>
      <c r="J315" s="160" t="s">
        <v>1893</v>
      </c>
      <c r="K315" s="329">
        <f>K314</f>
        <v>44983</v>
      </c>
      <c r="L315" s="160" t="s">
        <v>2187</v>
      </c>
      <c r="M315" s="160">
        <f t="shared" ref="M315:M324" si="161">M314</f>
        <v>5</v>
      </c>
      <c r="N315" s="160">
        <v>0</v>
      </c>
      <c r="S315" s="353"/>
      <c r="T315" s="160" t="s">
        <v>1922</v>
      </c>
      <c r="U315" s="160" t="str">
        <f t="shared" si="148"/>
        <v>DOCUMENTS</v>
      </c>
      <c r="V315" s="160" t="s">
        <v>2088</v>
      </c>
      <c r="W315" s="197" t="s">
        <v>168</v>
      </c>
      <c r="X315" s="360" t="s">
        <v>2020</v>
      </c>
      <c r="Y315" s="197" t="s">
        <v>303</v>
      </c>
      <c r="Z315" s="360" t="s">
        <v>2020</v>
      </c>
      <c r="AA315" s="199" t="s">
        <v>213</v>
      </c>
      <c r="AB315" s="360" t="s">
        <v>2020</v>
      </c>
      <c r="AC315" s="197" t="s">
        <v>211</v>
      </c>
      <c r="AD315" s="360" t="s">
        <v>2020</v>
      </c>
      <c r="AE315" s="197" t="s">
        <v>304</v>
      </c>
      <c r="AF315" s="360" t="s">
        <v>2020</v>
      </c>
      <c r="AG315" s="294" t="s">
        <v>287</v>
      </c>
      <c r="AH315" s="360" t="s">
        <v>2020</v>
      </c>
      <c r="AI315" s="294" t="s">
        <v>349</v>
      </c>
      <c r="AJ315" s="360" t="s">
        <v>2089</v>
      </c>
      <c r="AK315" s="160" t="str">
        <f t="shared" si="149"/>
        <v>Plan</v>
      </c>
      <c r="AL315" s="360" t="s">
        <v>2091</v>
      </c>
      <c r="AM315" s="160" t="str">
        <f t="shared" si="150"/>
        <v>PLA9-LABONNEBAGUETTE-PROJ235</v>
      </c>
      <c r="AN315" s="360" t="s">
        <v>2091</v>
      </c>
      <c r="AO315" s="160" t="str">
        <f t="shared" si="151"/>
        <v>Plan de face - etc</v>
      </c>
      <c r="AP315" s="360" t="s">
        <v>2091</v>
      </c>
      <c r="AQ315" s="160" t="str">
        <f t="shared" ca="1" si="152"/>
        <v>2023/02/26</v>
      </c>
      <c r="AR315" s="360" t="s">
        <v>2091</v>
      </c>
      <c r="AS315" s="160" t="str">
        <f t="shared" si="153"/>
        <v>https:\\localhost\testPathFile51</v>
      </c>
      <c r="AT315" s="360" t="s">
        <v>2093</v>
      </c>
      <c r="AU315" s="160">
        <f t="shared" si="154"/>
        <v>5</v>
      </c>
      <c r="AV315" s="360" t="s">
        <v>2020</v>
      </c>
      <c r="AW315" s="360" t="s">
        <v>1959</v>
      </c>
      <c r="AX315" s="160" t="s">
        <v>2021</v>
      </c>
      <c r="AY315" s="160" t="str">
        <f t="shared" ca="1" si="156"/>
        <v>INSERT INTO DOCUMENTS(catDoc,nameDoc,descriptionDoc,dateDoc,pathDoc,idProjet,idDeGeneration) VALUES ('Plan','PLA9-LABONNEBAGUETTE-PROJ235','Plan de face - etc','2023/02/26','https:\\localhost\testPathFile50',5,NULL);</v>
      </c>
      <c r="AZ315" s="160" t="s">
        <v>2269</v>
      </c>
    </row>
    <row r="316" spans="6:52" ht="25.85" customHeight="1" outlineLevel="1" thickBot="1" x14ac:dyDescent="0.35">
      <c r="F316" s="160">
        <f t="shared" si="157"/>
        <v>52</v>
      </c>
      <c r="G316" s="160" t="s">
        <v>106</v>
      </c>
      <c r="H316" s="354">
        <f>COUNTIF(G$265:G316,G316)</f>
        <v>10</v>
      </c>
      <c r="I316" s="160" t="str">
        <f t="shared" si="147"/>
        <v>PLA10-LABONNEBAGUETTE-PROJ235</v>
      </c>
      <c r="J316" s="160" t="s">
        <v>1894</v>
      </c>
      <c r="K316" s="329">
        <f>K315</f>
        <v>44983</v>
      </c>
      <c r="L316" s="160" t="s">
        <v>2188</v>
      </c>
      <c r="M316" s="160">
        <f t="shared" si="161"/>
        <v>5</v>
      </c>
      <c r="N316" s="160">
        <v>0</v>
      </c>
      <c r="S316" s="353"/>
      <c r="T316" s="160" t="s">
        <v>1922</v>
      </c>
      <c r="U316" s="160" t="str">
        <f t="shared" si="148"/>
        <v>DOCUMENTS</v>
      </c>
      <c r="V316" s="160" t="s">
        <v>2088</v>
      </c>
      <c r="W316" s="197" t="s">
        <v>168</v>
      </c>
      <c r="X316" s="360" t="s">
        <v>2020</v>
      </c>
      <c r="Y316" s="197" t="s">
        <v>303</v>
      </c>
      <c r="Z316" s="360" t="s">
        <v>2020</v>
      </c>
      <c r="AA316" s="199" t="s">
        <v>213</v>
      </c>
      <c r="AB316" s="360" t="s">
        <v>2020</v>
      </c>
      <c r="AC316" s="197" t="s">
        <v>211</v>
      </c>
      <c r="AD316" s="360" t="s">
        <v>2020</v>
      </c>
      <c r="AE316" s="197" t="s">
        <v>304</v>
      </c>
      <c r="AF316" s="360" t="s">
        <v>2020</v>
      </c>
      <c r="AG316" s="294" t="s">
        <v>287</v>
      </c>
      <c r="AH316" s="360" t="s">
        <v>2020</v>
      </c>
      <c r="AI316" s="294" t="s">
        <v>349</v>
      </c>
      <c r="AJ316" s="360" t="s">
        <v>2089</v>
      </c>
      <c r="AK316" s="160" t="str">
        <f t="shared" si="149"/>
        <v>Plan</v>
      </c>
      <c r="AL316" s="360" t="s">
        <v>2091</v>
      </c>
      <c r="AM316" s="160" t="str">
        <f t="shared" si="150"/>
        <v>PLA10-LABONNEBAGUETTE-PROJ235</v>
      </c>
      <c r="AN316" s="360" t="s">
        <v>2091</v>
      </c>
      <c r="AO316" s="160" t="str">
        <f t="shared" si="151"/>
        <v>Plan de coté Est - etc</v>
      </c>
      <c r="AP316" s="360" t="s">
        <v>2091</v>
      </c>
      <c r="AQ316" s="160" t="str">
        <f t="shared" ca="1" si="152"/>
        <v>2023/02/26</v>
      </c>
      <c r="AR316" s="360" t="s">
        <v>2091</v>
      </c>
      <c r="AS316" s="160" t="str">
        <f t="shared" si="153"/>
        <v>https:\\localhost\testPathFile52</v>
      </c>
      <c r="AT316" s="360" t="s">
        <v>2093</v>
      </c>
      <c r="AU316" s="160">
        <f t="shared" si="154"/>
        <v>5</v>
      </c>
      <c r="AV316" s="360" t="s">
        <v>2020</v>
      </c>
      <c r="AW316" s="360" t="s">
        <v>1959</v>
      </c>
      <c r="AX316" s="160" t="s">
        <v>2021</v>
      </c>
      <c r="AY316" s="160" t="str">
        <f t="shared" ca="1" si="156"/>
        <v>INSERT INTO DOCUMENTS(catDoc,nameDoc,descriptionDoc,dateDoc,pathDoc,idProjet,idDeGeneration) VALUES ('Plan','PLA10-LABONNEBAGUETTE-PROJ235','Plan de coté Est - etc','2023/02/26','https:\\localhost\testPathFile51',5,NULL);</v>
      </c>
      <c r="AZ316" s="160" t="s">
        <v>2270</v>
      </c>
    </row>
    <row r="317" spans="6:52" ht="15.65" outlineLevel="1" thickBot="1" x14ac:dyDescent="0.35">
      <c r="F317" s="160">
        <f t="shared" si="157"/>
        <v>53</v>
      </c>
      <c r="G317" s="160" t="s">
        <v>1885</v>
      </c>
      <c r="H317" s="354">
        <f>COUNTIF(G$265:G317,G317)</f>
        <v>13</v>
      </c>
      <c r="I317" s="160" t="str">
        <f t="shared" si="147"/>
        <v>IMG13-LABONNEBAGUETTE-PROJ235</v>
      </c>
      <c r="J317" s="160" t="s">
        <v>1895</v>
      </c>
      <c r="K317" s="329">
        <f>K316+1</f>
        <v>44984</v>
      </c>
      <c r="L317" s="160" t="s">
        <v>2189</v>
      </c>
      <c r="M317" s="160">
        <f t="shared" si="161"/>
        <v>5</v>
      </c>
      <c r="N317" s="160">
        <v>0</v>
      </c>
      <c r="S317" s="353"/>
      <c r="T317" s="160" t="s">
        <v>1922</v>
      </c>
      <c r="U317" s="160" t="str">
        <f t="shared" si="148"/>
        <v>DOCUMENTS</v>
      </c>
      <c r="V317" s="160" t="s">
        <v>2088</v>
      </c>
      <c r="W317" s="197" t="s">
        <v>168</v>
      </c>
      <c r="X317" s="360" t="s">
        <v>2020</v>
      </c>
      <c r="Y317" s="197" t="s">
        <v>303</v>
      </c>
      <c r="Z317" s="360" t="s">
        <v>2020</v>
      </c>
      <c r="AA317" s="199" t="s">
        <v>213</v>
      </c>
      <c r="AB317" s="360" t="s">
        <v>2020</v>
      </c>
      <c r="AC317" s="197" t="s">
        <v>211</v>
      </c>
      <c r="AD317" s="360" t="s">
        <v>2020</v>
      </c>
      <c r="AE317" s="197" t="s">
        <v>304</v>
      </c>
      <c r="AF317" s="360" t="s">
        <v>2020</v>
      </c>
      <c r="AG317" s="294" t="s">
        <v>287</v>
      </c>
      <c r="AH317" s="360" t="s">
        <v>2020</v>
      </c>
      <c r="AI317" s="294" t="s">
        <v>349</v>
      </c>
      <c r="AJ317" s="360" t="s">
        <v>2089</v>
      </c>
      <c r="AK317" s="160" t="str">
        <f t="shared" si="149"/>
        <v>ImgPhoto</v>
      </c>
      <c r="AL317" s="360" t="s">
        <v>2091</v>
      </c>
      <c r="AM317" s="160" t="str">
        <f t="shared" si="150"/>
        <v>IMG13-LABONNEBAGUETTE-PROJ235</v>
      </c>
      <c r="AN317" s="360" t="s">
        <v>2091</v>
      </c>
      <c r="AO317" s="160" t="str">
        <f t="shared" si="151"/>
        <v>Photo de projection de face</v>
      </c>
      <c r="AP317" s="360" t="s">
        <v>2091</v>
      </c>
      <c r="AQ317" s="160" t="str">
        <f t="shared" ca="1" si="152"/>
        <v>2023/02/27</v>
      </c>
      <c r="AR317" s="360" t="s">
        <v>2091</v>
      </c>
      <c r="AS317" s="160" t="str">
        <f t="shared" si="153"/>
        <v>https:\\localhost\testPathFile53</v>
      </c>
      <c r="AT317" s="360" t="s">
        <v>2093</v>
      </c>
      <c r="AU317" s="160">
        <f t="shared" si="154"/>
        <v>5</v>
      </c>
      <c r="AV317" s="360" t="s">
        <v>2020</v>
      </c>
      <c r="AW317" s="360" t="s">
        <v>1959</v>
      </c>
      <c r="AX317" s="160" t="s">
        <v>2021</v>
      </c>
      <c r="AY317" s="160" t="str">
        <f t="shared" ca="1" si="156"/>
        <v>INSERT INTO DOCUMENTS(catDoc,nameDoc,descriptionDoc,dateDoc,pathDoc,idProjet,idDeGeneration) VALUES ('ImgPhoto','IMG13-LABONNEBAGUETTE-PROJ235','Photo de projection de face','2023/02/27','https:\\localhost\testPathFile52',5,NULL);</v>
      </c>
      <c r="AZ317" s="160" t="s">
        <v>2271</v>
      </c>
    </row>
    <row r="318" spans="6:52" ht="28.05" customHeight="1" outlineLevel="1" thickBot="1" x14ac:dyDescent="0.35">
      <c r="F318" s="160">
        <f t="shared" si="157"/>
        <v>54</v>
      </c>
      <c r="G318" s="160" t="s">
        <v>1885</v>
      </c>
      <c r="H318" s="354">
        <f>COUNTIF(G$265:G318,G318)</f>
        <v>14</v>
      </c>
      <c r="I318" s="160" t="str">
        <f t="shared" si="147"/>
        <v>IMG14-LABONNEBAGUETTE-PROJ235</v>
      </c>
      <c r="J318" s="160" t="s">
        <v>1896</v>
      </c>
      <c r="K318" s="329">
        <f>K317</f>
        <v>44984</v>
      </c>
      <c r="L318" s="160" t="s">
        <v>2190</v>
      </c>
      <c r="M318" s="160">
        <f t="shared" si="161"/>
        <v>5</v>
      </c>
      <c r="N318" s="160">
        <v>0</v>
      </c>
      <c r="S318" s="353"/>
      <c r="T318" s="160" t="s">
        <v>1922</v>
      </c>
      <c r="U318" s="160" t="str">
        <f t="shared" si="148"/>
        <v>DOCUMENTS</v>
      </c>
      <c r="V318" s="160" t="s">
        <v>2088</v>
      </c>
      <c r="W318" s="197" t="s">
        <v>168</v>
      </c>
      <c r="X318" s="360" t="s">
        <v>2020</v>
      </c>
      <c r="Y318" s="197" t="s">
        <v>303</v>
      </c>
      <c r="Z318" s="360" t="s">
        <v>2020</v>
      </c>
      <c r="AA318" s="199" t="s">
        <v>213</v>
      </c>
      <c r="AB318" s="360" t="s">
        <v>2020</v>
      </c>
      <c r="AC318" s="197" t="s">
        <v>211</v>
      </c>
      <c r="AD318" s="360" t="s">
        <v>2020</v>
      </c>
      <c r="AE318" s="197" t="s">
        <v>304</v>
      </c>
      <c r="AF318" s="360" t="s">
        <v>2020</v>
      </c>
      <c r="AG318" s="294" t="s">
        <v>287</v>
      </c>
      <c r="AH318" s="360" t="s">
        <v>2020</v>
      </c>
      <c r="AI318" s="294" t="s">
        <v>349</v>
      </c>
      <c r="AJ318" s="360" t="s">
        <v>2089</v>
      </c>
      <c r="AK318" s="160" t="str">
        <f t="shared" si="149"/>
        <v>ImgPhoto</v>
      </c>
      <c r="AL318" s="360" t="s">
        <v>2091</v>
      </c>
      <c r="AM318" s="160" t="str">
        <f t="shared" si="150"/>
        <v>IMG14-LABONNEBAGUETTE-PROJ235</v>
      </c>
      <c r="AN318" s="360" t="s">
        <v>2091</v>
      </c>
      <c r="AO318" s="160" t="str">
        <f t="shared" si="151"/>
        <v>Photo de projection de coté Est</v>
      </c>
      <c r="AP318" s="360" t="s">
        <v>2091</v>
      </c>
      <c r="AQ318" s="160" t="str">
        <f t="shared" ca="1" si="152"/>
        <v>2023/02/27</v>
      </c>
      <c r="AR318" s="360" t="s">
        <v>2091</v>
      </c>
      <c r="AS318" s="160" t="str">
        <f t="shared" si="153"/>
        <v>https:\\localhost\testPathFile54</v>
      </c>
      <c r="AT318" s="360" t="s">
        <v>2093</v>
      </c>
      <c r="AU318" s="160">
        <f t="shared" si="154"/>
        <v>5</v>
      </c>
      <c r="AV318" s="360" t="s">
        <v>2020</v>
      </c>
      <c r="AW318" s="360" t="s">
        <v>1959</v>
      </c>
      <c r="AX318" s="160" t="s">
        <v>2021</v>
      </c>
      <c r="AY318" s="160" t="str">
        <f t="shared" ca="1" si="156"/>
        <v>INSERT INTO DOCUMENTS(catDoc,nameDoc,descriptionDoc,dateDoc,pathDoc,idProjet,idDeGeneration) VALUES ('ImgPhoto','IMG14-LABONNEBAGUETTE-PROJ235','Photo de projection de coté Est','2023/02/27','https:\\localhost\testPathFile53',5,NULL);</v>
      </c>
      <c r="AZ318" s="160" t="s">
        <v>2272</v>
      </c>
    </row>
    <row r="319" spans="6:52" ht="30.05" customHeight="1" outlineLevel="1" thickBot="1" x14ac:dyDescent="0.35">
      <c r="F319" s="160">
        <f t="shared" si="157"/>
        <v>55</v>
      </c>
      <c r="G319" s="160" t="s">
        <v>1885</v>
      </c>
      <c r="H319" s="354">
        <f>COUNTIF(G$265:G319,G319)</f>
        <v>15</v>
      </c>
      <c r="I319" s="160" t="str">
        <f t="shared" si="147"/>
        <v>IMG15-LABONNEBAGUETTE-PROJ235</v>
      </c>
      <c r="J319" s="160" t="s">
        <v>1897</v>
      </c>
      <c r="K319" s="329">
        <f>K318+1</f>
        <v>44985</v>
      </c>
      <c r="L319" s="160" t="s">
        <v>2191</v>
      </c>
      <c r="M319" s="160">
        <f t="shared" si="161"/>
        <v>5</v>
      </c>
      <c r="N319" s="160">
        <v>0</v>
      </c>
      <c r="S319" s="353"/>
      <c r="T319" s="160" t="s">
        <v>1922</v>
      </c>
      <c r="U319" s="160" t="str">
        <f t="shared" si="148"/>
        <v>DOCUMENTS</v>
      </c>
      <c r="V319" s="160" t="s">
        <v>2088</v>
      </c>
      <c r="W319" s="197" t="s">
        <v>168</v>
      </c>
      <c r="X319" s="360" t="s">
        <v>2020</v>
      </c>
      <c r="Y319" s="197" t="s">
        <v>303</v>
      </c>
      <c r="Z319" s="360" t="s">
        <v>2020</v>
      </c>
      <c r="AA319" s="199" t="s">
        <v>213</v>
      </c>
      <c r="AB319" s="360" t="s">
        <v>2020</v>
      </c>
      <c r="AC319" s="197" t="s">
        <v>211</v>
      </c>
      <c r="AD319" s="360" t="s">
        <v>2020</v>
      </c>
      <c r="AE319" s="197" t="s">
        <v>304</v>
      </c>
      <c r="AF319" s="360" t="s">
        <v>2020</v>
      </c>
      <c r="AG319" s="294" t="s">
        <v>287</v>
      </c>
      <c r="AH319" s="360" t="s">
        <v>2020</v>
      </c>
      <c r="AI319" s="294" t="s">
        <v>349</v>
      </c>
      <c r="AJ319" s="360" t="s">
        <v>2089</v>
      </c>
      <c r="AK319" s="160" t="str">
        <f t="shared" si="149"/>
        <v>ImgPhoto</v>
      </c>
      <c r="AL319" s="360" t="s">
        <v>2091</v>
      </c>
      <c r="AM319" s="160" t="str">
        <f t="shared" si="150"/>
        <v>IMG15-LABONNEBAGUETTE-PROJ235</v>
      </c>
      <c r="AN319" s="360" t="s">
        <v>2091</v>
      </c>
      <c r="AO319" s="160" t="str">
        <f t="shared" si="151"/>
        <v>Photo de projection dcoté Ouest et Sud</v>
      </c>
      <c r="AP319" s="360" t="s">
        <v>2091</v>
      </c>
      <c r="AQ319" s="160" t="str">
        <f t="shared" ca="1" si="152"/>
        <v>2023/02/28</v>
      </c>
      <c r="AR319" s="360" t="s">
        <v>2091</v>
      </c>
      <c r="AS319" s="160" t="str">
        <f t="shared" si="153"/>
        <v>https:\\localhost\testPathFile55</v>
      </c>
      <c r="AT319" s="360" t="s">
        <v>2093</v>
      </c>
      <c r="AU319" s="160">
        <f t="shared" si="154"/>
        <v>5</v>
      </c>
      <c r="AV319" s="360" t="s">
        <v>2020</v>
      </c>
      <c r="AW319" s="360" t="s">
        <v>1959</v>
      </c>
      <c r="AX319" s="160" t="s">
        <v>2021</v>
      </c>
      <c r="AY319" s="160" t="str">
        <f t="shared" ca="1" si="156"/>
        <v>INSERT INTO DOCUMENTS(catDoc,nameDoc,descriptionDoc,dateDoc,pathDoc,idProjet,idDeGeneration) VALUES ('ImgPhoto','IMG15-LABONNEBAGUETTE-PROJ235','Photo de projection dcoté Ouest et Sud','2023/02/28','https:\\localhost\testPathFile54',5,NULL);</v>
      </c>
      <c r="AZ319" s="160" t="s">
        <v>2273</v>
      </c>
    </row>
    <row r="320" spans="6:52" ht="20.05" customHeight="1" outlineLevel="1" thickBot="1" x14ac:dyDescent="0.35">
      <c r="F320" s="160">
        <f t="shared" si="157"/>
        <v>56</v>
      </c>
      <c r="G320" s="160" t="s">
        <v>109</v>
      </c>
      <c r="H320" s="354">
        <f>COUNTIF(G$265:G320,G320)</f>
        <v>4</v>
      </c>
      <c r="I320" s="160" t="str">
        <f t="shared" si="147"/>
        <v>SCH4-LABONNEBAGUETTE-PROJ235</v>
      </c>
      <c r="J320" s="160" t="s">
        <v>1898</v>
      </c>
      <c r="K320" s="329">
        <f>K319</f>
        <v>44985</v>
      </c>
      <c r="L320" s="160" t="s">
        <v>2192</v>
      </c>
      <c r="M320" s="160">
        <f t="shared" si="161"/>
        <v>5</v>
      </c>
      <c r="N320" s="160">
        <v>0</v>
      </c>
      <c r="S320" s="353"/>
      <c r="T320" s="160" t="s">
        <v>1922</v>
      </c>
      <c r="U320" s="160" t="str">
        <f t="shared" si="148"/>
        <v>DOCUMENTS</v>
      </c>
      <c r="V320" s="160" t="s">
        <v>2088</v>
      </c>
      <c r="W320" s="197" t="s">
        <v>168</v>
      </c>
      <c r="X320" s="360" t="s">
        <v>2020</v>
      </c>
      <c r="Y320" s="197" t="s">
        <v>303</v>
      </c>
      <c r="Z320" s="360" t="s">
        <v>2020</v>
      </c>
      <c r="AA320" s="199" t="s">
        <v>213</v>
      </c>
      <c r="AB320" s="360" t="s">
        <v>2020</v>
      </c>
      <c r="AC320" s="197" t="s">
        <v>211</v>
      </c>
      <c r="AD320" s="360" t="s">
        <v>2020</v>
      </c>
      <c r="AE320" s="197" t="s">
        <v>304</v>
      </c>
      <c r="AF320" s="360" t="s">
        <v>2020</v>
      </c>
      <c r="AG320" s="294" t="s">
        <v>287</v>
      </c>
      <c r="AH320" s="360" t="s">
        <v>2020</v>
      </c>
      <c r="AI320" s="294" t="s">
        <v>349</v>
      </c>
      <c r="AJ320" s="360" t="s">
        <v>2089</v>
      </c>
      <c r="AK320" s="160" t="str">
        <f t="shared" si="149"/>
        <v>Schema</v>
      </c>
      <c r="AL320" s="360" t="s">
        <v>2091</v>
      </c>
      <c r="AM320" s="160" t="str">
        <f t="shared" si="150"/>
        <v>SCH4-LABONNEBAGUETTE-PROJ235</v>
      </c>
      <c r="AN320" s="360" t="s">
        <v>2091</v>
      </c>
      <c r="AO320" s="160" t="str">
        <f t="shared" si="151"/>
        <v>Schema de principe de circulation</v>
      </c>
      <c r="AP320" s="360" t="s">
        <v>2091</v>
      </c>
      <c r="AQ320" s="160" t="str">
        <f t="shared" ca="1" si="152"/>
        <v>2023/02/28</v>
      </c>
      <c r="AR320" s="360" t="s">
        <v>2091</v>
      </c>
      <c r="AS320" s="160" t="str">
        <f t="shared" si="153"/>
        <v>https:\\localhost\testPathFile56</v>
      </c>
      <c r="AT320" s="360" t="s">
        <v>2093</v>
      </c>
      <c r="AU320" s="160">
        <f t="shared" si="154"/>
        <v>5</v>
      </c>
      <c r="AV320" s="360" t="s">
        <v>2020</v>
      </c>
      <c r="AW320" s="360" t="s">
        <v>1959</v>
      </c>
      <c r="AX320" s="160" t="s">
        <v>2021</v>
      </c>
      <c r="AY320" s="160" t="str">
        <f t="shared" ca="1" si="156"/>
        <v>INSERT INTO DOCUMENTS(catDoc,nameDoc,descriptionDoc,dateDoc,pathDoc,idProjet,idDeGeneration) VALUES ('Schema','SCH4-LABONNEBAGUETTE-PROJ235','Schema de principe de circulation','2023/02/28','https:\\localhost\testPathFile55',5,NULL);</v>
      </c>
      <c r="AZ320" s="160" t="s">
        <v>2298</v>
      </c>
    </row>
    <row r="321" spans="6:52" ht="20.05" customHeight="1" outlineLevel="1" thickBot="1" x14ac:dyDescent="0.35">
      <c r="F321" s="160">
        <f t="shared" si="157"/>
        <v>57</v>
      </c>
      <c r="G321" s="160" t="s">
        <v>1887</v>
      </c>
      <c r="H321" s="354">
        <f>COUNTIF(G$265:G321,G321)</f>
        <v>14</v>
      </c>
      <c r="I321" s="160" t="str">
        <f t="shared" si="147"/>
        <v>DIV14-LABONNEBAGUETTE-PROJ235</v>
      </c>
      <c r="J321" s="160" t="s">
        <v>2231</v>
      </c>
      <c r="K321" s="329">
        <f>K320+4</f>
        <v>44989</v>
      </c>
      <c r="L321" s="160" t="s">
        <v>2193</v>
      </c>
      <c r="M321" s="160">
        <f t="shared" si="161"/>
        <v>5</v>
      </c>
      <c r="N321" s="160">
        <v>0</v>
      </c>
      <c r="S321" s="353"/>
      <c r="T321" s="160" t="s">
        <v>1922</v>
      </c>
      <c r="U321" s="160" t="str">
        <f t="shared" si="148"/>
        <v>DOCUMENTS</v>
      </c>
      <c r="V321" s="160" t="s">
        <v>2088</v>
      </c>
      <c r="W321" s="197" t="s">
        <v>168</v>
      </c>
      <c r="X321" s="360" t="s">
        <v>2020</v>
      </c>
      <c r="Y321" s="197" t="s">
        <v>303</v>
      </c>
      <c r="Z321" s="360" t="s">
        <v>2020</v>
      </c>
      <c r="AA321" s="199" t="s">
        <v>213</v>
      </c>
      <c r="AB321" s="360" t="s">
        <v>2020</v>
      </c>
      <c r="AC321" s="197" t="s">
        <v>211</v>
      </c>
      <c r="AD321" s="360" t="s">
        <v>2020</v>
      </c>
      <c r="AE321" s="197" t="s">
        <v>304</v>
      </c>
      <c r="AF321" s="360" t="s">
        <v>2020</v>
      </c>
      <c r="AG321" s="294" t="s">
        <v>287</v>
      </c>
      <c r="AH321" s="360" t="s">
        <v>2020</v>
      </c>
      <c r="AI321" s="294" t="s">
        <v>349</v>
      </c>
      <c r="AJ321" s="360" t="s">
        <v>2089</v>
      </c>
      <c r="AK321" s="160" t="str">
        <f t="shared" si="149"/>
        <v>Divers</v>
      </c>
      <c r="AL321" s="360" t="s">
        <v>2091</v>
      </c>
      <c r="AM321" s="160" t="str">
        <f t="shared" si="150"/>
        <v>DIV14-LABONNEBAGUETTE-PROJ235</v>
      </c>
      <c r="AN321" s="360" t="s">
        <v>2091</v>
      </c>
      <c r="AO321" s="160" t="str">
        <f t="shared" si="151"/>
        <v>Relevé de Coût pour ameublement</v>
      </c>
      <c r="AP321" s="360" t="s">
        <v>2091</v>
      </c>
      <c r="AQ321" s="160" t="str">
        <f t="shared" ca="1" si="152"/>
        <v>2023/03/04</v>
      </c>
      <c r="AR321" s="360" t="s">
        <v>2091</v>
      </c>
      <c r="AS321" s="160" t="str">
        <f t="shared" si="153"/>
        <v>https:\\localhost\testPathFile57</v>
      </c>
      <c r="AT321" s="360" t="s">
        <v>2093</v>
      </c>
      <c r="AU321" s="160">
        <f t="shared" si="154"/>
        <v>5</v>
      </c>
      <c r="AV321" s="360" t="s">
        <v>2020</v>
      </c>
      <c r="AW321" s="360" t="s">
        <v>1959</v>
      </c>
      <c r="AX321" s="160" t="s">
        <v>2021</v>
      </c>
      <c r="AY321" s="160" t="str">
        <f t="shared" ca="1" si="156"/>
        <v>INSERT INTO DOCUMENTS(catDoc,nameDoc,descriptionDoc,dateDoc,pathDoc,idProjet,idDeGeneration) VALUES ('Divers','DIV14-LABONNEBAGUETTE-PROJ235','Relevé de Coût pour ameublement','2023/03/04','https:\\localhost\testPathFile56',5,NULL);</v>
      </c>
      <c r="AZ321" s="160" t="s">
        <v>2299</v>
      </c>
    </row>
    <row r="322" spans="6:52" ht="20.05" customHeight="1" outlineLevel="1" thickBot="1" x14ac:dyDescent="0.35">
      <c r="F322" s="160">
        <f t="shared" si="157"/>
        <v>58</v>
      </c>
      <c r="G322" s="160" t="s">
        <v>1887</v>
      </c>
      <c r="H322" s="354">
        <f>COUNTIF(G$265:G322,G322)</f>
        <v>15</v>
      </c>
      <c r="I322" s="160" t="str">
        <f t="shared" si="147"/>
        <v>DIV15-LABONNEBAGUETTE-PROJ235</v>
      </c>
      <c r="J322" s="160" t="s">
        <v>1900</v>
      </c>
      <c r="K322" s="329">
        <f>K321+1</f>
        <v>44990</v>
      </c>
      <c r="L322" s="160" t="s">
        <v>2194</v>
      </c>
      <c r="M322" s="160">
        <f t="shared" si="161"/>
        <v>5</v>
      </c>
      <c r="N322" s="160">
        <v>0</v>
      </c>
      <c r="S322" s="353"/>
      <c r="T322" s="160" t="s">
        <v>1922</v>
      </c>
      <c r="U322" s="160" t="str">
        <f t="shared" si="148"/>
        <v>DOCUMENTS</v>
      </c>
      <c r="V322" s="160" t="s">
        <v>2088</v>
      </c>
      <c r="W322" s="197" t="s">
        <v>168</v>
      </c>
      <c r="X322" s="360" t="s">
        <v>2020</v>
      </c>
      <c r="Y322" s="197" t="s">
        <v>303</v>
      </c>
      <c r="Z322" s="360" t="s">
        <v>2020</v>
      </c>
      <c r="AA322" s="199" t="s">
        <v>213</v>
      </c>
      <c r="AB322" s="360" t="s">
        <v>2020</v>
      </c>
      <c r="AC322" s="197" t="s">
        <v>211</v>
      </c>
      <c r="AD322" s="360" t="s">
        <v>2020</v>
      </c>
      <c r="AE322" s="197" t="s">
        <v>304</v>
      </c>
      <c r="AF322" s="360" t="s">
        <v>2020</v>
      </c>
      <c r="AG322" s="294" t="s">
        <v>287</v>
      </c>
      <c r="AH322" s="360" t="s">
        <v>2020</v>
      </c>
      <c r="AI322" s="294" t="s">
        <v>349</v>
      </c>
      <c r="AJ322" s="360" t="s">
        <v>2089</v>
      </c>
      <c r="AK322" s="160" t="str">
        <f t="shared" si="149"/>
        <v>Divers</v>
      </c>
      <c r="AL322" s="360" t="s">
        <v>2091</v>
      </c>
      <c r="AM322" s="160" t="str">
        <f t="shared" si="150"/>
        <v>DIV15-LABONNEBAGUETTE-PROJ235</v>
      </c>
      <c r="AN322" s="360" t="s">
        <v>2091</v>
      </c>
      <c r="AO322" s="160" t="str">
        <f t="shared" si="151"/>
        <v>Prise des cotes et des piges</v>
      </c>
      <c r="AP322" s="360" t="s">
        <v>2091</v>
      </c>
      <c r="AQ322" s="160" t="str">
        <f t="shared" ca="1" si="152"/>
        <v>2023/03/05</v>
      </c>
      <c r="AR322" s="360" t="s">
        <v>2091</v>
      </c>
      <c r="AS322" s="160" t="str">
        <f t="shared" si="153"/>
        <v>https:\\localhost\testPathFile58</v>
      </c>
      <c r="AT322" s="360" t="s">
        <v>2093</v>
      </c>
      <c r="AU322" s="160">
        <f t="shared" si="154"/>
        <v>5</v>
      </c>
      <c r="AV322" s="360" t="s">
        <v>2020</v>
      </c>
      <c r="AW322" s="360" t="s">
        <v>1959</v>
      </c>
      <c r="AX322" s="160" t="s">
        <v>2021</v>
      </c>
      <c r="AY322" s="160" t="str">
        <f t="shared" ca="1" si="156"/>
        <v>INSERT INTO DOCUMENTS(catDoc,nameDoc,descriptionDoc,dateDoc,pathDoc,idProjet,idDeGeneration) VALUES ('Divers','DIV15-LABONNEBAGUETTE-PROJ235','Prise des cotes et des piges','2023/03/05','https:\\localhost\testPathFile57',5,NULL);</v>
      </c>
      <c r="AZ322" s="160" t="s">
        <v>2300</v>
      </c>
    </row>
    <row r="323" spans="6:52" ht="20.05" customHeight="1" outlineLevel="1" thickBot="1" x14ac:dyDescent="0.35">
      <c r="F323" s="160">
        <f t="shared" si="157"/>
        <v>59</v>
      </c>
      <c r="G323" s="160" t="s">
        <v>1887</v>
      </c>
      <c r="H323" s="354">
        <f>COUNTIF(G$265:G323,G323)</f>
        <v>16</v>
      </c>
      <c r="I323" s="160" t="str">
        <f t="shared" si="147"/>
        <v>DIV16-LABONNEBAGUETTE-PROJ235</v>
      </c>
      <c r="J323" s="160" t="s">
        <v>1901</v>
      </c>
      <c r="K323" s="329">
        <f>K322</f>
        <v>44990</v>
      </c>
      <c r="L323" s="160" t="s">
        <v>2195</v>
      </c>
      <c r="M323" s="160">
        <f t="shared" si="161"/>
        <v>5</v>
      </c>
      <c r="N323" s="160">
        <v>0</v>
      </c>
      <c r="S323" s="353"/>
      <c r="T323" s="160" t="s">
        <v>1922</v>
      </c>
      <c r="U323" s="160" t="str">
        <f t="shared" si="148"/>
        <v>DOCUMENTS</v>
      </c>
      <c r="V323" s="160" t="s">
        <v>2088</v>
      </c>
      <c r="W323" s="197" t="s">
        <v>168</v>
      </c>
      <c r="X323" s="360" t="s">
        <v>2020</v>
      </c>
      <c r="Y323" s="197" t="s">
        <v>303</v>
      </c>
      <c r="Z323" s="360" t="s">
        <v>2020</v>
      </c>
      <c r="AA323" s="199" t="s">
        <v>213</v>
      </c>
      <c r="AB323" s="360" t="s">
        <v>2020</v>
      </c>
      <c r="AC323" s="197" t="s">
        <v>211</v>
      </c>
      <c r="AD323" s="360" t="s">
        <v>2020</v>
      </c>
      <c r="AE323" s="197" t="s">
        <v>304</v>
      </c>
      <c r="AF323" s="360" t="s">
        <v>2020</v>
      </c>
      <c r="AG323" s="294" t="s">
        <v>287</v>
      </c>
      <c r="AH323" s="360" t="s">
        <v>2020</v>
      </c>
      <c r="AI323" s="294" t="s">
        <v>349</v>
      </c>
      <c r="AJ323" s="360" t="s">
        <v>2089</v>
      </c>
      <c r="AK323" s="160" t="str">
        <f t="shared" si="149"/>
        <v>Divers</v>
      </c>
      <c r="AL323" s="360" t="s">
        <v>2091</v>
      </c>
      <c r="AM323" s="160" t="str">
        <f t="shared" si="150"/>
        <v>DIV16-LABONNEBAGUETTE-PROJ235</v>
      </c>
      <c r="AN323" s="360" t="s">
        <v>2091</v>
      </c>
      <c r="AO323" s="160" t="str">
        <f t="shared" si="151"/>
        <v>Document de Chiffrage du projet</v>
      </c>
      <c r="AP323" s="360" t="s">
        <v>2091</v>
      </c>
      <c r="AQ323" s="160" t="str">
        <f t="shared" ca="1" si="152"/>
        <v>2023/03/05</v>
      </c>
      <c r="AR323" s="360" t="s">
        <v>2091</v>
      </c>
      <c r="AS323" s="160" t="str">
        <f t="shared" si="153"/>
        <v>https:\\localhost\testPathFile59</v>
      </c>
      <c r="AT323" s="360" t="s">
        <v>2093</v>
      </c>
      <c r="AU323" s="160">
        <f t="shared" si="154"/>
        <v>5</v>
      </c>
      <c r="AV323" s="360" t="s">
        <v>2020</v>
      </c>
      <c r="AW323" s="360" t="s">
        <v>1959</v>
      </c>
      <c r="AX323" s="160" t="s">
        <v>2021</v>
      </c>
      <c r="AY323" s="160" t="str">
        <f t="shared" ca="1" si="156"/>
        <v>INSERT INTO DOCUMENTS(catDoc,nameDoc,descriptionDoc,dateDoc,pathDoc,idProjet,idDeGeneration) VALUES ('Divers','DIV16-LABONNEBAGUETTE-PROJ235','Document de Chiffrage du projet','2023/03/05','https:\\localhost\testPathFile58',5,NULL);</v>
      </c>
      <c r="AZ323" s="160" t="s">
        <v>2301</v>
      </c>
    </row>
    <row r="324" spans="6:52" ht="15.65" thickBot="1" x14ac:dyDescent="0.35">
      <c r="F324" s="160">
        <f t="shared" si="157"/>
        <v>60</v>
      </c>
      <c r="G324" s="160" t="s">
        <v>105</v>
      </c>
      <c r="H324" s="354">
        <f>COUNTIF(G$265:G324,G324)</f>
        <v>10</v>
      </c>
      <c r="I324" s="160" t="str">
        <f t="shared" si="147"/>
        <v>FAC10-LABONNEBAGUETTE-PROJ235</v>
      </c>
      <c r="J324" s="160" t="s">
        <v>2240</v>
      </c>
      <c r="K324" s="329">
        <f>IF(N324=0,"",_xlfn.XLOOKUP(N324,F$32:F$54,G$32:G$54))</f>
        <v>45020</v>
      </c>
      <c r="L324" s="160" t="s">
        <v>2196</v>
      </c>
      <c r="M324" s="160">
        <f t="shared" si="161"/>
        <v>5</v>
      </c>
      <c r="N324" s="160">
        <v>17</v>
      </c>
      <c r="S324" s="353"/>
      <c r="T324" s="160" t="s">
        <v>1922</v>
      </c>
      <c r="U324" s="160" t="str">
        <f t="shared" si="148"/>
        <v>DOCUMENTS</v>
      </c>
      <c r="V324" s="160" t="s">
        <v>2088</v>
      </c>
      <c r="W324" s="197" t="s">
        <v>168</v>
      </c>
      <c r="X324" s="360" t="s">
        <v>2020</v>
      </c>
      <c r="Y324" s="197" t="s">
        <v>303</v>
      </c>
      <c r="Z324" s="360" t="s">
        <v>2020</v>
      </c>
      <c r="AA324" s="199" t="s">
        <v>213</v>
      </c>
      <c r="AB324" s="360" t="s">
        <v>2020</v>
      </c>
      <c r="AC324" s="197" t="s">
        <v>211</v>
      </c>
      <c r="AD324" s="360" t="s">
        <v>2020</v>
      </c>
      <c r="AE324" s="197" t="s">
        <v>304</v>
      </c>
      <c r="AF324" s="360" t="s">
        <v>2020</v>
      </c>
      <c r="AG324" s="294" t="s">
        <v>287</v>
      </c>
      <c r="AH324" s="360" t="s">
        <v>2020</v>
      </c>
      <c r="AI324" s="294" t="s">
        <v>349</v>
      </c>
      <c r="AJ324" s="360" t="s">
        <v>2089</v>
      </c>
      <c r="AK324" s="160" t="str">
        <f t="shared" si="149"/>
        <v>Facture</v>
      </c>
      <c r="AL324" s="360" t="s">
        <v>2091</v>
      </c>
      <c r="AM324" s="160" t="str">
        <f t="shared" si="150"/>
        <v>FAC10-LABONNEBAGUETTE-PROJ235</v>
      </c>
      <c r="AN324" s="360" t="s">
        <v>2091</v>
      </c>
      <c r="AO324" s="160" t="str">
        <f t="shared" si="151"/>
        <v>Facture transmise pour autorisation exploitation</v>
      </c>
      <c r="AP324" s="360" t="s">
        <v>2091</v>
      </c>
      <c r="AQ324" s="160" t="str">
        <f t="shared" ca="1" si="152"/>
        <v>2023/04/04</v>
      </c>
      <c r="AR324" s="360" t="s">
        <v>2091</v>
      </c>
      <c r="AS324" s="160" t="str">
        <f t="shared" si="153"/>
        <v>https:\\localhost\testPathFile60</v>
      </c>
      <c r="AT324" s="360" t="s">
        <v>2093</v>
      </c>
      <c r="AU324" s="160">
        <f t="shared" si="154"/>
        <v>5</v>
      </c>
      <c r="AV324" s="360" t="s">
        <v>2020</v>
      </c>
      <c r="AW324" s="160">
        <f t="shared" si="155"/>
        <v>17</v>
      </c>
      <c r="AX324" s="160" t="s">
        <v>2021</v>
      </c>
      <c r="AY324" s="160" t="str">
        <f t="shared" ca="1" si="156"/>
        <v>INSERT INTO DOCUMENTS(catDoc,nameDoc,descriptionDoc,dateDoc,pathDoc,idProjet,idDeGeneration) VALUES ('Facture','FAC10-LABONNEBAGUETTE-PROJ235','Facture transmise pour autorisation exploitation','2023/04/04','https:\\localhost\testPathFile59',5,17);</v>
      </c>
      <c r="AZ324" s="160" t="s">
        <v>2245</v>
      </c>
    </row>
    <row r="325" spans="6:52" ht="20.05" customHeight="1" outlineLevel="1" thickBot="1" x14ac:dyDescent="0.35">
      <c r="F325" s="160">
        <f t="shared" si="157"/>
        <v>61</v>
      </c>
      <c r="G325" s="160" t="s">
        <v>104</v>
      </c>
      <c r="H325" s="354">
        <f>COUNTIF(G325,G325)</f>
        <v>1</v>
      </c>
      <c r="I325" s="160" t="str">
        <f t="shared" si="147"/>
        <v>DEV1-GLESBOULES-PROJ236</v>
      </c>
      <c r="J325" s="160" t="s">
        <v>1891</v>
      </c>
      <c r="K325" s="329">
        <f>IF(N325=0,"",_xlfn.XLOOKUP(N325,F$32:F$54,G$32:G$54))</f>
        <v>44990</v>
      </c>
      <c r="L325" s="160" t="s">
        <v>2197</v>
      </c>
      <c r="M325" s="160">
        <v>6</v>
      </c>
      <c r="N325" s="160">
        <v>14</v>
      </c>
      <c r="S325" s="353"/>
      <c r="T325" s="160" t="s">
        <v>1922</v>
      </c>
      <c r="U325" s="160" t="str">
        <f t="shared" si="148"/>
        <v>DOCUMENTS</v>
      </c>
      <c r="V325" s="160" t="s">
        <v>2088</v>
      </c>
      <c r="W325" s="197" t="s">
        <v>168</v>
      </c>
      <c r="X325" s="360" t="s">
        <v>2020</v>
      </c>
      <c r="Y325" s="197" t="s">
        <v>303</v>
      </c>
      <c r="Z325" s="360" t="s">
        <v>2020</v>
      </c>
      <c r="AA325" s="199" t="s">
        <v>213</v>
      </c>
      <c r="AB325" s="360" t="s">
        <v>2020</v>
      </c>
      <c r="AC325" s="197" t="s">
        <v>211</v>
      </c>
      <c r="AD325" s="360" t="s">
        <v>2020</v>
      </c>
      <c r="AE325" s="197" t="s">
        <v>304</v>
      </c>
      <c r="AF325" s="360" t="s">
        <v>2020</v>
      </c>
      <c r="AG325" s="294" t="s">
        <v>287</v>
      </c>
      <c r="AH325" s="360" t="s">
        <v>2020</v>
      </c>
      <c r="AI325" s="294" t="s">
        <v>349</v>
      </c>
      <c r="AJ325" s="360" t="s">
        <v>2089</v>
      </c>
      <c r="AK325" s="160" t="str">
        <f t="shared" si="149"/>
        <v>Devis</v>
      </c>
      <c r="AL325" s="360" t="s">
        <v>2091</v>
      </c>
      <c r="AM325" s="160" t="str">
        <f t="shared" si="150"/>
        <v>DEV1-GLESBOULES-PROJ236</v>
      </c>
      <c r="AN325" s="360" t="s">
        <v>2091</v>
      </c>
      <c r="AO325" s="160" t="str">
        <f t="shared" si="151"/>
        <v>Proposition commerciale du projet</v>
      </c>
      <c r="AP325" s="360" t="s">
        <v>2091</v>
      </c>
      <c r="AQ325" s="160" t="str">
        <f t="shared" ca="1" si="152"/>
        <v>2023/03/05</v>
      </c>
      <c r="AR325" s="360" t="s">
        <v>2091</v>
      </c>
      <c r="AS325" s="160" t="str">
        <f t="shared" si="153"/>
        <v>https:\\localhost\testPathFile61</v>
      </c>
      <c r="AT325" s="360" t="s">
        <v>2093</v>
      </c>
      <c r="AU325" s="160">
        <f t="shared" si="154"/>
        <v>6</v>
      </c>
      <c r="AV325" s="360" t="s">
        <v>2020</v>
      </c>
      <c r="AW325" s="160">
        <f t="shared" si="155"/>
        <v>14</v>
      </c>
      <c r="AX325" s="160" t="s">
        <v>2021</v>
      </c>
      <c r="AY325" s="160" t="str">
        <f t="shared" ca="1" si="156"/>
        <v>INSERT INTO DOCUMENTS(catDoc,nameDoc,descriptionDoc,dateDoc,pathDoc,idProjet,idDeGeneration) VALUES ('Devis','DEV1-GLESBOULES-PROJ236','Proposition commerciale du projet','2023/03/05','https:\\localhost\testPathFile60',6,14);</v>
      </c>
      <c r="AZ325" s="160" t="s">
        <v>2227</v>
      </c>
    </row>
    <row r="326" spans="6:52" ht="20.05" customHeight="1" outlineLevel="1" thickBot="1" x14ac:dyDescent="0.35">
      <c r="F326" s="160">
        <f t="shared" si="157"/>
        <v>62</v>
      </c>
      <c r="G326" s="160" t="s">
        <v>105</v>
      </c>
      <c r="H326" s="354">
        <f>COUNTIF(G$265:G326,G326)</f>
        <v>11</v>
      </c>
      <c r="I326" s="160" t="str">
        <f t="shared" si="147"/>
        <v>FAC11-GLESBOULES-PROJ236</v>
      </c>
      <c r="J326" s="160" t="s">
        <v>2230</v>
      </c>
      <c r="K326" s="329">
        <f>IF(N326=0,"",_xlfn.XLOOKUP(N326,F$32:F$54,G$32:G$54))</f>
        <v>44997</v>
      </c>
      <c r="L326" s="160" t="s">
        <v>2198</v>
      </c>
      <c r="M326" s="160">
        <f>M325</f>
        <v>6</v>
      </c>
      <c r="N326" s="160">
        <v>16</v>
      </c>
      <c r="S326" s="353"/>
      <c r="T326" s="160" t="s">
        <v>1922</v>
      </c>
      <c r="U326" s="160" t="str">
        <f t="shared" si="148"/>
        <v>DOCUMENTS</v>
      </c>
      <c r="V326" s="160" t="s">
        <v>2088</v>
      </c>
      <c r="W326" s="197" t="s">
        <v>168</v>
      </c>
      <c r="X326" s="360" t="s">
        <v>2020</v>
      </c>
      <c r="Y326" s="197" t="s">
        <v>303</v>
      </c>
      <c r="Z326" s="360" t="s">
        <v>2020</v>
      </c>
      <c r="AA326" s="199" t="s">
        <v>213</v>
      </c>
      <c r="AB326" s="360" t="s">
        <v>2020</v>
      </c>
      <c r="AC326" s="197" t="s">
        <v>211</v>
      </c>
      <c r="AD326" s="360" t="s">
        <v>2020</v>
      </c>
      <c r="AE326" s="197" t="s">
        <v>304</v>
      </c>
      <c r="AF326" s="360" t="s">
        <v>2020</v>
      </c>
      <c r="AG326" s="294" t="s">
        <v>287</v>
      </c>
      <c r="AH326" s="360" t="s">
        <v>2020</v>
      </c>
      <c r="AI326" s="294" t="s">
        <v>349</v>
      </c>
      <c r="AJ326" s="360" t="s">
        <v>2089</v>
      </c>
      <c r="AK326" s="160" t="str">
        <f t="shared" si="149"/>
        <v>Facture</v>
      </c>
      <c r="AL326" s="360" t="s">
        <v>2091</v>
      </c>
      <c r="AM326" s="160" t="str">
        <f t="shared" si="150"/>
        <v>FAC11-GLESBOULES-PROJ236</v>
      </c>
      <c r="AN326" s="360" t="s">
        <v>2091</v>
      </c>
      <c r="AO326" s="160" t="str">
        <f t="shared" si="151"/>
        <v>Facture accompte pour démarrer les travaux</v>
      </c>
      <c r="AP326" s="360" t="s">
        <v>2091</v>
      </c>
      <c r="AQ326" s="160" t="str">
        <f t="shared" ca="1" si="152"/>
        <v>2023/03/12</v>
      </c>
      <c r="AR326" s="360" t="s">
        <v>2091</v>
      </c>
      <c r="AS326" s="160" t="str">
        <f t="shared" si="153"/>
        <v>https:\\localhost\testPathFile62</v>
      </c>
      <c r="AT326" s="360" t="s">
        <v>2093</v>
      </c>
      <c r="AU326" s="160">
        <f t="shared" si="154"/>
        <v>6</v>
      </c>
      <c r="AV326" s="360" t="s">
        <v>2020</v>
      </c>
      <c r="AW326" s="160">
        <f t="shared" si="155"/>
        <v>16</v>
      </c>
      <c r="AX326" s="160" t="s">
        <v>2021</v>
      </c>
      <c r="AY326" s="160" t="str">
        <f t="shared" ca="1" si="156"/>
        <v>INSERT INTO DOCUMENTS(catDoc,nameDoc,descriptionDoc,dateDoc,pathDoc,idProjet,idDeGeneration) VALUES ('Facture','FAC11-GLESBOULES-PROJ236','Facture accompte pour démarrer les travaux','2023/03/12','https:\\localhost\testPathFile61',6,16);</v>
      </c>
      <c r="AZ326" s="160" t="s">
        <v>2237</v>
      </c>
    </row>
    <row r="327" spans="6:52" ht="32.6" customHeight="1" outlineLevel="1" thickBot="1" x14ac:dyDescent="0.35">
      <c r="F327" s="160">
        <f t="shared" si="157"/>
        <v>63</v>
      </c>
      <c r="G327" s="160" t="s">
        <v>106</v>
      </c>
      <c r="H327" s="354">
        <f>COUNTIF(G$265:G327,G327)</f>
        <v>11</v>
      </c>
      <c r="I327" s="160" t="str">
        <f t="shared" si="147"/>
        <v>PLA11-GLESBOULES-PROJ236</v>
      </c>
      <c r="J327" s="160" t="s">
        <v>1893</v>
      </c>
      <c r="K327" s="329">
        <f>K326</f>
        <v>44997</v>
      </c>
      <c r="L327" s="160" t="s">
        <v>2199</v>
      </c>
      <c r="M327" s="160">
        <f t="shared" ref="M327:M336" si="162">M326</f>
        <v>6</v>
      </c>
      <c r="N327" s="160">
        <v>0</v>
      </c>
      <c r="S327" s="353"/>
      <c r="T327" s="160" t="s">
        <v>1922</v>
      </c>
      <c r="U327" s="160" t="str">
        <f t="shared" si="148"/>
        <v>DOCUMENTS</v>
      </c>
      <c r="V327" s="160" t="s">
        <v>2088</v>
      </c>
      <c r="W327" s="197" t="s">
        <v>168</v>
      </c>
      <c r="X327" s="360" t="s">
        <v>2020</v>
      </c>
      <c r="Y327" s="197" t="s">
        <v>303</v>
      </c>
      <c r="Z327" s="360" t="s">
        <v>2020</v>
      </c>
      <c r="AA327" s="199" t="s">
        <v>213</v>
      </c>
      <c r="AB327" s="360" t="s">
        <v>2020</v>
      </c>
      <c r="AC327" s="197" t="s">
        <v>211</v>
      </c>
      <c r="AD327" s="360" t="s">
        <v>2020</v>
      </c>
      <c r="AE327" s="197" t="s">
        <v>304</v>
      </c>
      <c r="AF327" s="360" t="s">
        <v>2020</v>
      </c>
      <c r="AG327" s="294" t="s">
        <v>287</v>
      </c>
      <c r="AH327" s="360" t="s">
        <v>2020</v>
      </c>
      <c r="AI327" s="294" t="s">
        <v>349</v>
      </c>
      <c r="AJ327" s="360" t="s">
        <v>2089</v>
      </c>
      <c r="AK327" s="160" t="str">
        <f t="shared" si="149"/>
        <v>Plan</v>
      </c>
      <c r="AL327" s="360" t="s">
        <v>2091</v>
      </c>
      <c r="AM327" s="160" t="str">
        <f t="shared" si="150"/>
        <v>PLA11-GLESBOULES-PROJ236</v>
      </c>
      <c r="AN327" s="360" t="s">
        <v>2091</v>
      </c>
      <c r="AO327" s="160" t="str">
        <f t="shared" si="151"/>
        <v>Plan de face - etc</v>
      </c>
      <c r="AP327" s="360" t="s">
        <v>2091</v>
      </c>
      <c r="AQ327" s="160" t="str">
        <f t="shared" ca="1" si="152"/>
        <v>2023/03/12</v>
      </c>
      <c r="AR327" s="360" t="s">
        <v>2091</v>
      </c>
      <c r="AS327" s="160" t="str">
        <f t="shared" si="153"/>
        <v>https:\\localhost\testPathFile63</v>
      </c>
      <c r="AT327" s="360" t="s">
        <v>2093</v>
      </c>
      <c r="AU327" s="160">
        <f t="shared" si="154"/>
        <v>6</v>
      </c>
      <c r="AV327" s="360" t="s">
        <v>2020</v>
      </c>
      <c r="AW327" s="360" t="s">
        <v>1959</v>
      </c>
      <c r="AX327" s="160" t="s">
        <v>2021</v>
      </c>
      <c r="AY327" s="160" t="str">
        <f t="shared" ca="1" si="156"/>
        <v>INSERT INTO DOCUMENTS(catDoc,nameDoc,descriptionDoc,dateDoc,pathDoc,idProjet,idDeGeneration) VALUES ('Plan','PLA11-GLESBOULES-PROJ236','Plan de face - etc','2023/03/12','https:\\localhost\testPathFile62',6,NULL);</v>
      </c>
      <c r="AZ327" s="160" t="s">
        <v>2274</v>
      </c>
    </row>
    <row r="328" spans="6:52" ht="25.85" customHeight="1" outlineLevel="1" thickBot="1" x14ac:dyDescent="0.35">
      <c r="F328" s="160">
        <f t="shared" si="157"/>
        <v>64</v>
      </c>
      <c r="G328" s="160" t="s">
        <v>106</v>
      </c>
      <c r="H328" s="354">
        <f>COUNTIF(G$265:G328,G328)</f>
        <v>12</v>
      </c>
      <c r="I328" s="160" t="str">
        <f t="shared" si="147"/>
        <v>PLA12-GLESBOULES-PROJ236</v>
      </c>
      <c r="J328" s="160" t="s">
        <v>1894</v>
      </c>
      <c r="K328" s="329">
        <f>K327</f>
        <v>44997</v>
      </c>
      <c r="L328" s="160" t="s">
        <v>2200</v>
      </c>
      <c r="M328" s="160">
        <f t="shared" si="162"/>
        <v>6</v>
      </c>
      <c r="N328" s="160">
        <v>0</v>
      </c>
      <c r="S328" s="353"/>
      <c r="T328" s="160" t="s">
        <v>1922</v>
      </c>
      <c r="U328" s="160" t="str">
        <f t="shared" si="148"/>
        <v>DOCUMENTS</v>
      </c>
      <c r="V328" s="160" t="s">
        <v>2088</v>
      </c>
      <c r="W328" s="197" t="s">
        <v>168</v>
      </c>
      <c r="X328" s="360" t="s">
        <v>2020</v>
      </c>
      <c r="Y328" s="197" t="s">
        <v>303</v>
      </c>
      <c r="Z328" s="360" t="s">
        <v>2020</v>
      </c>
      <c r="AA328" s="199" t="s">
        <v>213</v>
      </c>
      <c r="AB328" s="360" t="s">
        <v>2020</v>
      </c>
      <c r="AC328" s="197" t="s">
        <v>211</v>
      </c>
      <c r="AD328" s="360" t="s">
        <v>2020</v>
      </c>
      <c r="AE328" s="197" t="s">
        <v>304</v>
      </c>
      <c r="AF328" s="360" t="s">
        <v>2020</v>
      </c>
      <c r="AG328" s="294" t="s">
        <v>287</v>
      </c>
      <c r="AH328" s="360" t="s">
        <v>2020</v>
      </c>
      <c r="AI328" s="294" t="s">
        <v>349</v>
      </c>
      <c r="AJ328" s="360" t="s">
        <v>2089</v>
      </c>
      <c r="AK328" s="160" t="str">
        <f t="shared" si="149"/>
        <v>Plan</v>
      </c>
      <c r="AL328" s="360" t="s">
        <v>2091</v>
      </c>
      <c r="AM328" s="160" t="str">
        <f t="shared" si="150"/>
        <v>PLA12-GLESBOULES-PROJ236</v>
      </c>
      <c r="AN328" s="360" t="s">
        <v>2091</v>
      </c>
      <c r="AO328" s="160" t="str">
        <f t="shared" si="151"/>
        <v>Plan de coté Est - etc</v>
      </c>
      <c r="AP328" s="360" t="s">
        <v>2091</v>
      </c>
      <c r="AQ328" s="160" t="str">
        <f t="shared" ca="1" si="152"/>
        <v>2023/03/12</v>
      </c>
      <c r="AR328" s="360" t="s">
        <v>2091</v>
      </c>
      <c r="AS328" s="160" t="str">
        <f t="shared" si="153"/>
        <v>https:\\localhost\testPathFile64</v>
      </c>
      <c r="AT328" s="360" t="s">
        <v>2093</v>
      </c>
      <c r="AU328" s="160">
        <f t="shared" si="154"/>
        <v>6</v>
      </c>
      <c r="AV328" s="360" t="s">
        <v>2020</v>
      </c>
      <c r="AW328" s="360" t="s">
        <v>1959</v>
      </c>
      <c r="AX328" s="160" t="s">
        <v>2021</v>
      </c>
      <c r="AY328" s="160" t="str">
        <f t="shared" ca="1" si="156"/>
        <v>INSERT INTO DOCUMENTS(catDoc,nameDoc,descriptionDoc,dateDoc,pathDoc,idProjet,idDeGeneration) VALUES ('Plan','PLA12-GLESBOULES-PROJ236','Plan de coté Est - etc','2023/03/12','https:\\localhost\testPathFile63',6,NULL);</v>
      </c>
      <c r="AZ328" s="160" t="s">
        <v>2275</v>
      </c>
    </row>
    <row r="329" spans="6:52" ht="15.65" outlineLevel="1" thickBot="1" x14ac:dyDescent="0.35">
      <c r="F329" s="160">
        <f t="shared" si="157"/>
        <v>65</v>
      </c>
      <c r="G329" s="160" t="s">
        <v>1885</v>
      </c>
      <c r="H329" s="354">
        <f>COUNTIF(G$265:G329,G329)</f>
        <v>16</v>
      </c>
      <c r="I329" s="160" t="str">
        <f t="shared" ref="I329:I349" si="163">UPPER(MID(G329,1,3)&amp;H329&amp;"-"&amp;SUBSTITUTE(_xlfn.XLOOKUP(M329,F$117:F$124,G$117:G$124)," ",""))</f>
        <v>IMG16-GLESBOULES-PROJ236</v>
      </c>
      <c r="J329" s="160" t="s">
        <v>1895</v>
      </c>
      <c r="K329" s="329">
        <f>K328+1</f>
        <v>44998</v>
      </c>
      <c r="L329" s="160" t="s">
        <v>2201</v>
      </c>
      <c r="M329" s="160">
        <f t="shared" si="162"/>
        <v>6</v>
      </c>
      <c r="N329" s="160">
        <v>0</v>
      </c>
      <c r="S329" s="353"/>
      <c r="T329" s="160" t="s">
        <v>1922</v>
      </c>
      <c r="U329" s="160" t="str">
        <f t="shared" si="148"/>
        <v>DOCUMENTS</v>
      </c>
      <c r="V329" s="160" t="s">
        <v>2088</v>
      </c>
      <c r="W329" s="197" t="s">
        <v>168</v>
      </c>
      <c r="X329" s="360" t="s">
        <v>2020</v>
      </c>
      <c r="Y329" s="197" t="s">
        <v>303</v>
      </c>
      <c r="Z329" s="360" t="s">
        <v>2020</v>
      </c>
      <c r="AA329" s="199" t="s">
        <v>213</v>
      </c>
      <c r="AB329" s="360" t="s">
        <v>2020</v>
      </c>
      <c r="AC329" s="197" t="s">
        <v>211</v>
      </c>
      <c r="AD329" s="360" t="s">
        <v>2020</v>
      </c>
      <c r="AE329" s="197" t="s">
        <v>304</v>
      </c>
      <c r="AF329" s="360" t="s">
        <v>2020</v>
      </c>
      <c r="AG329" s="294" t="s">
        <v>287</v>
      </c>
      <c r="AH329" s="360" t="s">
        <v>2020</v>
      </c>
      <c r="AI329" s="294" t="s">
        <v>349</v>
      </c>
      <c r="AJ329" s="360" t="s">
        <v>2089</v>
      </c>
      <c r="AK329" s="160" t="str">
        <f t="shared" si="149"/>
        <v>ImgPhoto</v>
      </c>
      <c r="AL329" s="360" t="s">
        <v>2091</v>
      </c>
      <c r="AM329" s="160" t="str">
        <f t="shared" si="150"/>
        <v>IMG16-GLESBOULES-PROJ236</v>
      </c>
      <c r="AN329" s="360" t="s">
        <v>2091</v>
      </c>
      <c r="AO329" s="160" t="str">
        <f t="shared" si="151"/>
        <v>Photo de projection de face</v>
      </c>
      <c r="AP329" s="360" t="s">
        <v>2091</v>
      </c>
      <c r="AQ329" s="160" t="str">
        <f t="shared" ca="1" si="152"/>
        <v>2023/03/13</v>
      </c>
      <c r="AR329" s="360" t="s">
        <v>2091</v>
      </c>
      <c r="AS329" s="160" t="str">
        <f t="shared" si="153"/>
        <v>https:\\localhost\testPathFile65</v>
      </c>
      <c r="AT329" s="360" t="s">
        <v>2093</v>
      </c>
      <c r="AU329" s="160">
        <f t="shared" si="154"/>
        <v>6</v>
      </c>
      <c r="AV329" s="360" t="s">
        <v>2020</v>
      </c>
      <c r="AW329" s="360" t="s">
        <v>1959</v>
      </c>
      <c r="AX329" s="160" t="s">
        <v>2021</v>
      </c>
      <c r="AY329" s="160" t="str">
        <f t="shared" ca="1" si="156"/>
        <v>INSERT INTO DOCUMENTS(catDoc,nameDoc,descriptionDoc,dateDoc,pathDoc,idProjet,idDeGeneration) VALUES ('ImgPhoto','IMG16-GLESBOULES-PROJ236','Photo de projection de face','2023/03/13','https:\\localhost\testPathFile64',6,NULL);</v>
      </c>
      <c r="AZ329" s="160" t="s">
        <v>2276</v>
      </c>
    </row>
    <row r="330" spans="6:52" ht="28.05" customHeight="1" outlineLevel="1" thickBot="1" x14ac:dyDescent="0.35">
      <c r="F330" s="160">
        <f t="shared" si="157"/>
        <v>66</v>
      </c>
      <c r="G330" s="160" t="s">
        <v>1885</v>
      </c>
      <c r="H330" s="354">
        <f>COUNTIF(G$265:G330,G330)</f>
        <v>17</v>
      </c>
      <c r="I330" s="160" t="str">
        <f t="shared" si="163"/>
        <v>IMG17-GLESBOULES-PROJ236</v>
      </c>
      <c r="J330" s="160" t="s">
        <v>1896</v>
      </c>
      <c r="K330" s="329">
        <f>K329</f>
        <v>44998</v>
      </c>
      <c r="L330" s="160" t="s">
        <v>2202</v>
      </c>
      <c r="M330" s="160">
        <f t="shared" si="162"/>
        <v>6</v>
      </c>
      <c r="N330" s="160">
        <v>0</v>
      </c>
      <c r="S330" s="353"/>
      <c r="T330" s="160" t="s">
        <v>1922</v>
      </c>
      <c r="U330" s="160" t="str">
        <f t="shared" ref="U330:U349" si="164">U329</f>
        <v>DOCUMENTS</v>
      </c>
      <c r="V330" s="160" t="s">
        <v>2088</v>
      </c>
      <c r="W330" s="197" t="s">
        <v>168</v>
      </c>
      <c r="X330" s="360" t="s">
        <v>2020</v>
      </c>
      <c r="Y330" s="197" t="s">
        <v>303</v>
      </c>
      <c r="Z330" s="360" t="s">
        <v>2020</v>
      </c>
      <c r="AA330" s="199" t="s">
        <v>213</v>
      </c>
      <c r="AB330" s="360" t="s">
        <v>2020</v>
      </c>
      <c r="AC330" s="197" t="s">
        <v>211</v>
      </c>
      <c r="AD330" s="360" t="s">
        <v>2020</v>
      </c>
      <c r="AE330" s="197" t="s">
        <v>304</v>
      </c>
      <c r="AF330" s="360" t="s">
        <v>2020</v>
      </c>
      <c r="AG330" s="294" t="s">
        <v>287</v>
      </c>
      <c r="AH330" s="360" t="s">
        <v>2020</v>
      </c>
      <c r="AI330" s="294" t="s">
        <v>349</v>
      </c>
      <c r="AJ330" s="360" t="s">
        <v>2089</v>
      </c>
      <c r="AK330" s="160" t="str">
        <f t="shared" ref="AK330:AK349" si="165">G330</f>
        <v>ImgPhoto</v>
      </c>
      <c r="AL330" s="360" t="s">
        <v>2091</v>
      </c>
      <c r="AM330" s="160" t="str">
        <f t="shared" ref="AM330:AM349" si="166">I330</f>
        <v>IMG17-GLESBOULES-PROJ236</v>
      </c>
      <c r="AN330" s="360" t="s">
        <v>2091</v>
      </c>
      <c r="AO330" s="160" t="str">
        <f t="shared" ref="AO330:AO349" si="167">J330</f>
        <v>Photo de projection de coté Est</v>
      </c>
      <c r="AP330" s="360" t="s">
        <v>2091</v>
      </c>
      <c r="AQ330" s="160" t="str">
        <f t="shared" ref="AQ330:AQ348" ca="1" si="168">IF(AND(K330&lt;=TODAY(),K330&lt;&gt;""),TEXT(K330,"aaaa/mm/jj"),"")</f>
        <v>2023/03/13</v>
      </c>
      <c r="AR330" s="360" t="s">
        <v>2091</v>
      </c>
      <c r="AS330" s="160" t="str">
        <f t="shared" ref="AS330:AS349" si="169">L330</f>
        <v>https:\\localhost\testPathFile66</v>
      </c>
      <c r="AT330" s="360" t="s">
        <v>2093</v>
      </c>
      <c r="AU330" s="160">
        <f t="shared" ref="AU330:AU349" si="170">M330</f>
        <v>6</v>
      </c>
      <c r="AV330" s="360" t="s">
        <v>2020</v>
      </c>
      <c r="AW330" s="360" t="s">
        <v>1959</v>
      </c>
      <c r="AX330" s="160" t="s">
        <v>2021</v>
      </c>
      <c r="AY330" s="160" t="str">
        <f t="shared" ref="AY330:AY349" ca="1" si="171">T330&amp;U330&amp;V330&amp;W330&amp;X330&amp;Y330&amp;Z330&amp;AA330&amp;AB330&amp;AC330&amp;AD330&amp;AE330&amp;AF330&amp;AG330&amp;AH330&amp;AI330&amp;AJ330&amp;AK330&amp;AL330&amp;AM330&amp;AN330&amp;AO330&amp;AP330&amp;AQ330&amp;AR330&amp;AS329&amp;AT330&amp;AU330&amp;AV330&amp;AW330&amp;AX330</f>
        <v>INSERT INTO DOCUMENTS(catDoc,nameDoc,descriptionDoc,dateDoc,pathDoc,idProjet,idDeGeneration) VALUES ('ImgPhoto','IMG17-GLESBOULES-PROJ236','Photo de projection de coté Est','2023/03/13','https:\\localhost\testPathFile65',6,NULL);</v>
      </c>
      <c r="AZ330" s="160" t="s">
        <v>2277</v>
      </c>
    </row>
    <row r="331" spans="6:52" ht="30.05" customHeight="1" outlineLevel="1" thickBot="1" x14ac:dyDescent="0.35">
      <c r="F331" s="160">
        <f t="shared" ref="F331:F349" si="172">F330+1</f>
        <v>67</v>
      </c>
      <c r="G331" s="160" t="s">
        <v>1885</v>
      </c>
      <c r="H331" s="354">
        <f>COUNTIF(G$265:G331,G331)</f>
        <v>18</v>
      </c>
      <c r="I331" s="160" t="str">
        <f t="shared" si="163"/>
        <v>IMG18-GLESBOULES-PROJ236</v>
      </c>
      <c r="J331" s="160" t="s">
        <v>1897</v>
      </c>
      <c r="K331" s="329">
        <f>K330+1</f>
        <v>44999</v>
      </c>
      <c r="L331" s="160" t="s">
        <v>2203</v>
      </c>
      <c r="M331" s="160">
        <f t="shared" si="162"/>
        <v>6</v>
      </c>
      <c r="N331" s="160">
        <v>0</v>
      </c>
      <c r="S331" s="353"/>
      <c r="T331" s="160" t="s">
        <v>1922</v>
      </c>
      <c r="U331" s="160" t="str">
        <f t="shared" si="164"/>
        <v>DOCUMENTS</v>
      </c>
      <c r="V331" s="160" t="s">
        <v>2088</v>
      </c>
      <c r="W331" s="197" t="s">
        <v>168</v>
      </c>
      <c r="X331" s="360" t="s">
        <v>2020</v>
      </c>
      <c r="Y331" s="197" t="s">
        <v>303</v>
      </c>
      <c r="Z331" s="360" t="s">
        <v>2020</v>
      </c>
      <c r="AA331" s="199" t="s">
        <v>213</v>
      </c>
      <c r="AB331" s="360" t="s">
        <v>2020</v>
      </c>
      <c r="AC331" s="197" t="s">
        <v>211</v>
      </c>
      <c r="AD331" s="360" t="s">
        <v>2020</v>
      </c>
      <c r="AE331" s="197" t="s">
        <v>304</v>
      </c>
      <c r="AF331" s="360" t="s">
        <v>2020</v>
      </c>
      <c r="AG331" s="294" t="s">
        <v>287</v>
      </c>
      <c r="AH331" s="360" t="s">
        <v>2020</v>
      </c>
      <c r="AI331" s="294" t="s">
        <v>349</v>
      </c>
      <c r="AJ331" s="360" t="s">
        <v>2089</v>
      </c>
      <c r="AK331" s="160" t="str">
        <f t="shared" si="165"/>
        <v>ImgPhoto</v>
      </c>
      <c r="AL331" s="360" t="s">
        <v>2091</v>
      </c>
      <c r="AM331" s="160" t="str">
        <f t="shared" si="166"/>
        <v>IMG18-GLESBOULES-PROJ236</v>
      </c>
      <c r="AN331" s="360" t="s">
        <v>2091</v>
      </c>
      <c r="AO331" s="160" t="str">
        <f t="shared" si="167"/>
        <v>Photo de projection dcoté Ouest et Sud</v>
      </c>
      <c r="AP331" s="360" t="s">
        <v>2091</v>
      </c>
      <c r="AQ331" s="160" t="str">
        <f t="shared" ca="1" si="168"/>
        <v>2023/03/14</v>
      </c>
      <c r="AR331" s="360" t="s">
        <v>2091</v>
      </c>
      <c r="AS331" s="160" t="str">
        <f t="shared" si="169"/>
        <v>https:\\localhost\testPathFile67</v>
      </c>
      <c r="AT331" s="360" t="s">
        <v>2093</v>
      </c>
      <c r="AU331" s="160">
        <f t="shared" si="170"/>
        <v>6</v>
      </c>
      <c r="AV331" s="360" t="s">
        <v>2020</v>
      </c>
      <c r="AW331" s="360" t="s">
        <v>1959</v>
      </c>
      <c r="AX331" s="160" t="s">
        <v>2021</v>
      </c>
      <c r="AY331" s="160" t="str">
        <f t="shared" ca="1" si="171"/>
        <v>INSERT INTO DOCUMENTS(catDoc,nameDoc,descriptionDoc,dateDoc,pathDoc,idProjet,idDeGeneration) VALUES ('ImgPhoto','IMG18-GLESBOULES-PROJ236','Photo de projection dcoté Ouest et Sud','2023/03/14','https:\\localhost\testPathFile66',6,NULL);</v>
      </c>
      <c r="AZ331" s="160" t="s">
        <v>2278</v>
      </c>
    </row>
    <row r="332" spans="6:52" ht="20.05" customHeight="1" outlineLevel="1" thickBot="1" x14ac:dyDescent="0.35">
      <c r="F332" s="160">
        <f t="shared" si="172"/>
        <v>68</v>
      </c>
      <c r="G332" s="160" t="s">
        <v>109</v>
      </c>
      <c r="H332" s="354">
        <f>COUNTIF(G$265:G332,G332)</f>
        <v>5</v>
      </c>
      <c r="I332" s="160" t="str">
        <f t="shared" si="163"/>
        <v>SCH5-GLESBOULES-PROJ236</v>
      </c>
      <c r="J332" s="160" t="s">
        <v>1898</v>
      </c>
      <c r="K332" s="329">
        <f>K331</f>
        <v>44999</v>
      </c>
      <c r="L332" s="160" t="s">
        <v>2204</v>
      </c>
      <c r="M332" s="160">
        <f t="shared" si="162"/>
        <v>6</v>
      </c>
      <c r="N332" s="160">
        <v>0</v>
      </c>
      <c r="S332" s="353"/>
      <c r="T332" s="160" t="s">
        <v>1922</v>
      </c>
      <c r="U332" s="160" t="str">
        <f t="shared" si="164"/>
        <v>DOCUMENTS</v>
      </c>
      <c r="V332" s="160" t="s">
        <v>2088</v>
      </c>
      <c r="W332" s="197" t="s">
        <v>168</v>
      </c>
      <c r="X332" s="360" t="s">
        <v>2020</v>
      </c>
      <c r="Y332" s="197" t="s">
        <v>303</v>
      </c>
      <c r="Z332" s="360" t="s">
        <v>2020</v>
      </c>
      <c r="AA332" s="199" t="s">
        <v>213</v>
      </c>
      <c r="AB332" s="360" t="s">
        <v>2020</v>
      </c>
      <c r="AC332" s="197" t="s">
        <v>211</v>
      </c>
      <c r="AD332" s="360" t="s">
        <v>2020</v>
      </c>
      <c r="AE332" s="197" t="s">
        <v>304</v>
      </c>
      <c r="AF332" s="360" t="s">
        <v>2020</v>
      </c>
      <c r="AG332" s="294" t="s">
        <v>287</v>
      </c>
      <c r="AH332" s="360" t="s">
        <v>2020</v>
      </c>
      <c r="AI332" s="294" t="s">
        <v>349</v>
      </c>
      <c r="AJ332" s="360" t="s">
        <v>2089</v>
      </c>
      <c r="AK332" s="160" t="str">
        <f t="shared" si="165"/>
        <v>Schema</v>
      </c>
      <c r="AL332" s="360" t="s">
        <v>2091</v>
      </c>
      <c r="AM332" s="160" t="str">
        <f t="shared" si="166"/>
        <v>SCH5-GLESBOULES-PROJ236</v>
      </c>
      <c r="AN332" s="360" t="s">
        <v>2091</v>
      </c>
      <c r="AO332" s="160" t="str">
        <f t="shared" si="167"/>
        <v>Schema de principe de circulation</v>
      </c>
      <c r="AP332" s="360" t="s">
        <v>2091</v>
      </c>
      <c r="AQ332" s="160" t="str">
        <f t="shared" ca="1" si="168"/>
        <v>2023/03/14</v>
      </c>
      <c r="AR332" s="360" t="s">
        <v>2091</v>
      </c>
      <c r="AS332" s="160" t="str">
        <f t="shared" si="169"/>
        <v>https:\\localhost\testPathFile68</v>
      </c>
      <c r="AT332" s="360" t="s">
        <v>2093</v>
      </c>
      <c r="AU332" s="160">
        <f t="shared" si="170"/>
        <v>6</v>
      </c>
      <c r="AV332" s="360" t="s">
        <v>2020</v>
      </c>
      <c r="AW332" s="360" t="s">
        <v>1959</v>
      </c>
      <c r="AX332" s="160" t="s">
        <v>2021</v>
      </c>
      <c r="AY332" s="160" t="str">
        <f t="shared" ca="1" si="171"/>
        <v>INSERT INTO DOCUMENTS(catDoc,nameDoc,descriptionDoc,dateDoc,pathDoc,idProjet,idDeGeneration) VALUES ('Schema','SCH5-GLESBOULES-PROJ236','Schema de principe de circulation','2023/03/14','https:\\localhost\testPathFile67',6,NULL);</v>
      </c>
      <c r="AZ332" s="160" t="s">
        <v>2302</v>
      </c>
    </row>
    <row r="333" spans="6:52" ht="20.05" customHeight="1" outlineLevel="1" thickBot="1" x14ac:dyDescent="0.35">
      <c r="F333" s="160">
        <f t="shared" si="172"/>
        <v>69</v>
      </c>
      <c r="G333" s="160" t="s">
        <v>1887</v>
      </c>
      <c r="H333" s="354">
        <f>COUNTIF(G$265:G333,G333)</f>
        <v>17</v>
      </c>
      <c r="I333" s="160" t="str">
        <f t="shared" si="163"/>
        <v>DIV17-GLESBOULES-PROJ236</v>
      </c>
      <c r="J333" s="160" t="s">
        <v>2231</v>
      </c>
      <c r="K333" s="329">
        <f>K332+4</f>
        <v>45003</v>
      </c>
      <c r="L333" s="160" t="s">
        <v>2205</v>
      </c>
      <c r="M333" s="160">
        <f t="shared" si="162"/>
        <v>6</v>
      </c>
      <c r="N333" s="160">
        <v>0</v>
      </c>
      <c r="S333" s="353"/>
      <c r="T333" s="160" t="s">
        <v>1922</v>
      </c>
      <c r="U333" s="160" t="str">
        <f t="shared" si="164"/>
        <v>DOCUMENTS</v>
      </c>
      <c r="V333" s="160" t="s">
        <v>2088</v>
      </c>
      <c r="W333" s="197" t="s">
        <v>168</v>
      </c>
      <c r="X333" s="360" t="s">
        <v>2020</v>
      </c>
      <c r="Y333" s="197" t="s">
        <v>303</v>
      </c>
      <c r="Z333" s="360" t="s">
        <v>2020</v>
      </c>
      <c r="AA333" s="199" t="s">
        <v>213</v>
      </c>
      <c r="AB333" s="360" t="s">
        <v>2020</v>
      </c>
      <c r="AC333" s="197" t="s">
        <v>211</v>
      </c>
      <c r="AD333" s="360" t="s">
        <v>2020</v>
      </c>
      <c r="AE333" s="197" t="s">
        <v>304</v>
      </c>
      <c r="AF333" s="360" t="s">
        <v>2020</v>
      </c>
      <c r="AG333" s="294" t="s">
        <v>287</v>
      </c>
      <c r="AH333" s="360" t="s">
        <v>2020</v>
      </c>
      <c r="AI333" s="294" t="s">
        <v>349</v>
      </c>
      <c r="AJ333" s="360" t="s">
        <v>2089</v>
      </c>
      <c r="AK333" s="160" t="str">
        <f t="shared" si="165"/>
        <v>Divers</v>
      </c>
      <c r="AL333" s="360" t="s">
        <v>2091</v>
      </c>
      <c r="AM333" s="160" t="str">
        <f t="shared" si="166"/>
        <v>DIV17-GLESBOULES-PROJ236</v>
      </c>
      <c r="AN333" s="360" t="s">
        <v>2091</v>
      </c>
      <c r="AO333" s="160" t="str">
        <f t="shared" si="167"/>
        <v>Relevé de Coût pour ameublement</v>
      </c>
      <c r="AP333" s="360" t="s">
        <v>2091</v>
      </c>
      <c r="AQ333" s="160" t="str">
        <f t="shared" ca="1" si="168"/>
        <v>2023/03/18</v>
      </c>
      <c r="AR333" s="360" t="s">
        <v>2091</v>
      </c>
      <c r="AS333" s="160" t="str">
        <f t="shared" si="169"/>
        <v>https:\\localhost\testPathFile69</v>
      </c>
      <c r="AT333" s="360" t="s">
        <v>2093</v>
      </c>
      <c r="AU333" s="160">
        <f t="shared" si="170"/>
        <v>6</v>
      </c>
      <c r="AV333" s="360" t="s">
        <v>2020</v>
      </c>
      <c r="AW333" s="360" t="s">
        <v>1959</v>
      </c>
      <c r="AX333" s="160" t="s">
        <v>2021</v>
      </c>
      <c r="AY333" s="160" t="str">
        <f t="shared" ca="1" si="171"/>
        <v>INSERT INTO DOCUMENTS(catDoc,nameDoc,descriptionDoc,dateDoc,pathDoc,idProjet,idDeGeneration) VALUES ('Divers','DIV17-GLESBOULES-PROJ236','Relevé de Coût pour ameublement','2023/03/18','https:\\localhost\testPathFile68',6,NULL);</v>
      </c>
      <c r="AZ333" s="160" t="s">
        <v>2303</v>
      </c>
    </row>
    <row r="334" spans="6:52" ht="20.05" customHeight="1" outlineLevel="1" thickBot="1" x14ac:dyDescent="0.35">
      <c r="F334" s="160">
        <f t="shared" si="172"/>
        <v>70</v>
      </c>
      <c r="G334" s="160" t="s">
        <v>1887</v>
      </c>
      <c r="H334" s="354">
        <f>COUNTIF(G$265:G334,G334)</f>
        <v>18</v>
      </c>
      <c r="I334" s="160" t="str">
        <f t="shared" si="163"/>
        <v>DIV18-GLESBOULES-PROJ236</v>
      </c>
      <c r="J334" s="160" t="s">
        <v>1900</v>
      </c>
      <c r="K334" s="329">
        <f>K333+1</f>
        <v>45004</v>
      </c>
      <c r="L334" s="160" t="s">
        <v>2206</v>
      </c>
      <c r="M334" s="160">
        <f t="shared" si="162"/>
        <v>6</v>
      </c>
      <c r="N334" s="160">
        <v>0</v>
      </c>
      <c r="S334" s="353"/>
      <c r="T334" s="160" t="s">
        <v>1922</v>
      </c>
      <c r="U334" s="160" t="str">
        <f t="shared" si="164"/>
        <v>DOCUMENTS</v>
      </c>
      <c r="V334" s="160" t="s">
        <v>2088</v>
      </c>
      <c r="W334" s="197" t="s">
        <v>168</v>
      </c>
      <c r="X334" s="360" t="s">
        <v>2020</v>
      </c>
      <c r="Y334" s="197" t="s">
        <v>303</v>
      </c>
      <c r="Z334" s="360" t="s">
        <v>2020</v>
      </c>
      <c r="AA334" s="199" t="s">
        <v>213</v>
      </c>
      <c r="AB334" s="360" t="s">
        <v>2020</v>
      </c>
      <c r="AC334" s="197" t="s">
        <v>211</v>
      </c>
      <c r="AD334" s="360" t="s">
        <v>2020</v>
      </c>
      <c r="AE334" s="197" t="s">
        <v>304</v>
      </c>
      <c r="AF334" s="360" t="s">
        <v>2020</v>
      </c>
      <c r="AG334" s="294" t="s">
        <v>287</v>
      </c>
      <c r="AH334" s="360" t="s">
        <v>2020</v>
      </c>
      <c r="AI334" s="294" t="s">
        <v>349</v>
      </c>
      <c r="AJ334" s="360" t="s">
        <v>2089</v>
      </c>
      <c r="AK334" s="160" t="str">
        <f t="shared" si="165"/>
        <v>Divers</v>
      </c>
      <c r="AL334" s="360" t="s">
        <v>2091</v>
      </c>
      <c r="AM334" s="160" t="str">
        <f t="shared" si="166"/>
        <v>DIV18-GLESBOULES-PROJ236</v>
      </c>
      <c r="AN334" s="360" t="s">
        <v>2091</v>
      </c>
      <c r="AO334" s="160" t="str">
        <f t="shared" si="167"/>
        <v>Prise des cotes et des piges</v>
      </c>
      <c r="AP334" s="360" t="s">
        <v>2091</v>
      </c>
      <c r="AQ334" s="160" t="str">
        <f t="shared" ca="1" si="168"/>
        <v>2023/03/19</v>
      </c>
      <c r="AR334" s="360" t="s">
        <v>2091</v>
      </c>
      <c r="AS334" s="160" t="str">
        <f t="shared" si="169"/>
        <v>https:\\localhost\testPathFile70</v>
      </c>
      <c r="AT334" s="360" t="s">
        <v>2093</v>
      </c>
      <c r="AU334" s="160">
        <f t="shared" si="170"/>
        <v>6</v>
      </c>
      <c r="AV334" s="360" t="s">
        <v>2020</v>
      </c>
      <c r="AW334" s="360" t="s">
        <v>1959</v>
      </c>
      <c r="AX334" s="160" t="s">
        <v>2021</v>
      </c>
      <c r="AY334" s="160" t="str">
        <f t="shared" ca="1" si="171"/>
        <v>INSERT INTO DOCUMENTS(catDoc,nameDoc,descriptionDoc,dateDoc,pathDoc,idProjet,idDeGeneration) VALUES ('Divers','DIV18-GLESBOULES-PROJ236','Prise des cotes et des piges','2023/03/19','https:\\localhost\testPathFile69',6,NULL);</v>
      </c>
      <c r="AZ334" s="160" t="s">
        <v>2304</v>
      </c>
    </row>
    <row r="335" spans="6:52" ht="20.05" customHeight="1" outlineLevel="1" thickBot="1" x14ac:dyDescent="0.35">
      <c r="F335" s="160">
        <f t="shared" si="172"/>
        <v>71</v>
      </c>
      <c r="G335" s="160" t="s">
        <v>1887</v>
      </c>
      <c r="H335" s="354">
        <f>COUNTIF(G$265:G335,G335)</f>
        <v>19</v>
      </c>
      <c r="I335" s="160" t="str">
        <f t="shared" si="163"/>
        <v>DIV19-GLESBOULES-PROJ236</v>
      </c>
      <c r="J335" s="160" t="s">
        <v>1901</v>
      </c>
      <c r="K335" s="329">
        <f>K334</f>
        <v>45004</v>
      </c>
      <c r="L335" s="160" t="s">
        <v>2207</v>
      </c>
      <c r="M335" s="160">
        <f t="shared" si="162"/>
        <v>6</v>
      </c>
      <c r="N335" s="160">
        <v>0</v>
      </c>
      <c r="S335" s="353"/>
      <c r="T335" s="160" t="s">
        <v>1922</v>
      </c>
      <c r="U335" s="160" t="str">
        <f t="shared" si="164"/>
        <v>DOCUMENTS</v>
      </c>
      <c r="V335" s="160" t="s">
        <v>2088</v>
      </c>
      <c r="W335" s="197" t="s">
        <v>168</v>
      </c>
      <c r="X335" s="360" t="s">
        <v>2020</v>
      </c>
      <c r="Y335" s="197" t="s">
        <v>303</v>
      </c>
      <c r="Z335" s="360" t="s">
        <v>2020</v>
      </c>
      <c r="AA335" s="199" t="s">
        <v>213</v>
      </c>
      <c r="AB335" s="360" t="s">
        <v>2020</v>
      </c>
      <c r="AC335" s="197" t="s">
        <v>211</v>
      </c>
      <c r="AD335" s="360" t="s">
        <v>2020</v>
      </c>
      <c r="AE335" s="197" t="s">
        <v>304</v>
      </c>
      <c r="AF335" s="360" t="s">
        <v>2020</v>
      </c>
      <c r="AG335" s="294" t="s">
        <v>287</v>
      </c>
      <c r="AH335" s="360" t="s">
        <v>2020</v>
      </c>
      <c r="AI335" s="294" t="s">
        <v>349</v>
      </c>
      <c r="AJ335" s="360" t="s">
        <v>2089</v>
      </c>
      <c r="AK335" s="160" t="str">
        <f t="shared" si="165"/>
        <v>Divers</v>
      </c>
      <c r="AL335" s="360" t="s">
        <v>2091</v>
      </c>
      <c r="AM335" s="160" t="str">
        <f t="shared" si="166"/>
        <v>DIV19-GLESBOULES-PROJ236</v>
      </c>
      <c r="AN335" s="360" t="s">
        <v>2091</v>
      </c>
      <c r="AO335" s="160" t="str">
        <f t="shared" si="167"/>
        <v>Document de Chiffrage du projet</v>
      </c>
      <c r="AP335" s="360" t="s">
        <v>2091</v>
      </c>
      <c r="AQ335" s="160" t="str">
        <f t="shared" ca="1" si="168"/>
        <v>2023/03/19</v>
      </c>
      <c r="AR335" s="360" t="s">
        <v>2091</v>
      </c>
      <c r="AS335" s="160" t="str">
        <f t="shared" si="169"/>
        <v>https:\\localhost\testPathFile71</v>
      </c>
      <c r="AT335" s="360" t="s">
        <v>2093</v>
      </c>
      <c r="AU335" s="160">
        <f t="shared" si="170"/>
        <v>6</v>
      </c>
      <c r="AV335" s="360" t="s">
        <v>2020</v>
      </c>
      <c r="AW335" s="360" t="s">
        <v>1959</v>
      </c>
      <c r="AX335" s="160" t="s">
        <v>2021</v>
      </c>
      <c r="AY335" s="160" t="str">
        <f t="shared" ca="1" si="171"/>
        <v>INSERT INTO DOCUMENTS(catDoc,nameDoc,descriptionDoc,dateDoc,pathDoc,idProjet,idDeGeneration) VALUES ('Divers','DIV19-GLESBOULES-PROJ236','Document de Chiffrage du projet','2023/03/19','https:\\localhost\testPathFile70',6,NULL);</v>
      </c>
      <c r="AZ335" s="160" t="s">
        <v>2305</v>
      </c>
    </row>
    <row r="336" spans="6:52" ht="15.65" thickBot="1" x14ac:dyDescent="0.35">
      <c r="F336" s="160">
        <f t="shared" si="172"/>
        <v>72</v>
      </c>
      <c r="G336" s="160" t="s">
        <v>105</v>
      </c>
      <c r="H336" s="354">
        <f>COUNTIF(G$265:G336,G336)</f>
        <v>12</v>
      </c>
      <c r="I336" s="160" t="str">
        <f t="shared" si="163"/>
        <v>FAC12-GLESBOULES-PROJ236</v>
      </c>
      <c r="J336" s="160" t="s">
        <v>2240</v>
      </c>
      <c r="K336" s="329">
        <f>IF(N336=0,"",_xlfn.XLOOKUP(N336,F$32:F$54,G$32:G$54))</f>
        <v>45044</v>
      </c>
      <c r="L336" s="160" t="s">
        <v>2208</v>
      </c>
      <c r="M336" s="160">
        <f t="shared" si="162"/>
        <v>6</v>
      </c>
      <c r="N336" s="160">
        <v>20</v>
      </c>
      <c r="S336" s="353"/>
      <c r="T336" s="160" t="s">
        <v>1922</v>
      </c>
      <c r="U336" s="160" t="str">
        <f t="shared" si="164"/>
        <v>DOCUMENTS</v>
      </c>
      <c r="V336" s="160" t="s">
        <v>2088</v>
      </c>
      <c r="W336" s="197" t="s">
        <v>168</v>
      </c>
      <c r="X336" s="360" t="s">
        <v>2020</v>
      </c>
      <c r="Y336" s="197" t="s">
        <v>303</v>
      </c>
      <c r="Z336" s="360" t="s">
        <v>2020</v>
      </c>
      <c r="AA336" s="199" t="s">
        <v>213</v>
      </c>
      <c r="AB336" s="360" t="s">
        <v>2020</v>
      </c>
      <c r="AC336" s="197" t="s">
        <v>211</v>
      </c>
      <c r="AD336" s="360" t="s">
        <v>2020</v>
      </c>
      <c r="AE336" s="197" t="s">
        <v>304</v>
      </c>
      <c r="AF336" s="360" t="s">
        <v>2020</v>
      </c>
      <c r="AG336" s="294" t="s">
        <v>287</v>
      </c>
      <c r="AH336" s="360" t="s">
        <v>2020</v>
      </c>
      <c r="AI336" s="294" t="s">
        <v>349</v>
      </c>
      <c r="AJ336" s="360" t="s">
        <v>2089</v>
      </c>
      <c r="AK336" s="160" t="str">
        <f t="shared" si="165"/>
        <v>Facture</v>
      </c>
      <c r="AL336" s="360" t="s">
        <v>2091</v>
      </c>
      <c r="AM336" s="160" t="str">
        <f t="shared" si="166"/>
        <v>FAC12-GLESBOULES-PROJ236</v>
      </c>
      <c r="AN336" s="360" t="s">
        <v>2091</v>
      </c>
      <c r="AO336" s="160" t="str">
        <f t="shared" si="167"/>
        <v>Facture transmise pour autorisation exploitation</v>
      </c>
      <c r="AP336" s="360" t="s">
        <v>2091</v>
      </c>
      <c r="AQ336" s="160" t="str">
        <f t="shared" ca="1" si="168"/>
        <v>2023/04/28</v>
      </c>
      <c r="AR336" s="360" t="s">
        <v>2091</v>
      </c>
      <c r="AS336" s="160" t="str">
        <f t="shared" si="169"/>
        <v>https:\\localhost\testPathFile72</v>
      </c>
      <c r="AT336" s="360" t="s">
        <v>2093</v>
      </c>
      <c r="AU336" s="160">
        <f t="shared" si="170"/>
        <v>6</v>
      </c>
      <c r="AV336" s="360" t="s">
        <v>2020</v>
      </c>
      <c r="AW336" s="160">
        <f t="shared" ref="AW336:AW349" si="173">N336</f>
        <v>20</v>
      </c>
      <c r="AX336" s="160" t="s">
        <v>2021</v>
      </c>
      <c r="AY336" s="160" t="str">
        <f t="shared" ca="1" si="171"/>
        <v>INSERT INTO DOCUMENTS(catDoc,nameDoc,descriptionDoc,dateDoc,pathDoc,idProjet,idDeGeneration) VALUES ('Facture','FAC12-GLESBOULES-PROJ236','Facture transmise pour autorisation exploitation','2023/04/28','https:\\localhost\testPathFile71',6,20);</v>
      </c>
      <c r="AZ336" s="160" t="s">
        <v>2246</v>
      </c>
    </row>
    <row r="337" spans="6:52" ht="20.05" customHeight="1" thickBot="1" x14ac:dyDescent="0.35">
      <c r="F337" s="160">
        <f t="shared" si="172"/>
        <v>73</v>
      </c>
      <c r="G337" s="160" t="s">
        <v>104</v>
      </c>
      <c r="H337" s="354">
        <f>COUNTIF(G337,G337)</f>
        <v>1</v>
      </c>
      <c r="I337" s="160" t="str">
        <f t="shared" si="163"/>
        <v>DEV1-AUPIRATE-PROJ237</v>
      </c>
      <c r="J337" s="160" t="s">
        <v>1891</v>
      </c>
      <c r="K337" s="329">
        <f>IF(N337=0,"",_xlfn.XLOOKUP(N337,F$32:F$54,G$32:G$54))</f>
        <v>45021</v>
      </c>
      <c r="L337" s="160" t="s">
        <v>2209</v>
      </c>
      <c r="M337" s="160">
        <v>7</v>
      </c>
      <c r="N337" s="160">
        <v>18</v>
      </c>
      <c r="S337" s="353"/>
      <c r="T337" s="160" t="s">
        <v>1922</v>
      </c>
      <c r="U337" s="160" t="str">
        <f t="shared" si="164"/>
        <v>DOCUMENTS</v>
      </c>
      <c r="V337" s="160" t="s">
        <v>2088</v>
      </c>
      <c r="W337" s="197" t="s">
        <v>168</v>
      </c>
      <c r="X337" s="360" t="s">
        <v>2020</v>
      </c>
      <c r="Y337" s="197" t="s">
        <v>303</v>
      </c>
      <c r="Z337" s="360" t="s">
        <v>2020</v>
      </c>
      <c r="AA337" s="199" t="s">
        <v>213</v>
      </c>
      <c r="AB337" s="360" t="s">
        <v>2020</v>
      </c>
      <c r="AC337" s="197" t="s">
        <v>211</v>
      </c>
      <c r="AD337" s="360" t="s">
        <v>2020</v>
      </c>
      <c r="AE337" s="197" t="s">
        <v>304</v>
      </c>
      <c r="AF337" s="360" t="s">
        <v>2020</v>
      </c>
      <c r="AG337" s="294" t="s">
        <v>287</v>
      </c>
      <c r="AH337" s="360" t="s">
        <v>2020</v>
      </c>
      <c r="AI337" s="294" t="s">
        <v>349</v>
      </c>
      <c r="AJ337" s="360" t="s">
        <v>2089</v>
      </c>
      <c r="AK337" s="160" t="str">
        <f t="shared" si="165"/>
        <v>Devis</v>
      </c>
      <c r="AL337" s="360" t="s">
        <v>2091</v>
      </c>
      <c r="AM337" s="160" t="str">
        <f t="shared" si="166"/>
        <v>DEV1-AUPIRATE-PROJ237</v>
      </c>
      <c r="AN337" s="360" t="s">
        <v>2091</v>
      </c>
      <c r="AO337" s="160" t="str">
        <f t="shared" si="167"/>
        <v>Proposition commerciale du projet</v>
      </c>
      <c r="AP337" s="360" t="s">
        <v>2091</v>
      </c>
      <c r="AQ337" s="160" t="str">
        <f t="shared" ca="1" si="168"/>
        <v>2023/04/05</v>
      </c>
      <c r="AR337" s="360" t="s">
        <v>2091</v>
      </c>
      <c r="AS337" s="160" t="str">
        <f t="shared" si="169"/>
        <v>https:\\localhost\testPathFile73</v>
      </c>
      <c r="AT337" s="360" t="s">
        <v>2093</v>
      </c>
      <c r="AU337" s="160">
        <f t="shared" si="170"/>
        <v>7</v>
      </c>
      <c r="AV337" s="360" t="s">
        <v>2020</v>
      </c>
      <c r="AW337" s="160">
        <f t="shared" si="173"/>
        <v>18</v>
      </c>
      <c r="AX337" s="160" t="s">
        <v>2021</v>
      </c>
      <c r="AY337" s="160" t="str">
        <f t="shared" ca="1" si="171"/>
        <v>INSERT INTO DOCUMENTS(catDoc,nameDoc,descriptionDoc,dateDoc,pathDoc,idProjet,idDeGeneration) VALUES ('Devis','DEV1-AUPIRATE-PROJ237','Proposition commerciale du projet','2023/04/05','https:\\localhost\testPathFile72',7,18);</v>
      </c>
      <c r="AZ337" s="160" t="s">
        <v>2228</v>
      </c>
    </row>
    <row r="338" spans="6:52" ht="20.05" customHeight="1" thickBot="1" x14ac:dyDescent="0.35">
      <c r="F338" s="160">
        <f t="shared" si="172"/>
        <v>74</v>
      </c>
      <c r="G338" s="160" t="s">
        <v>105</v>
      </c>
      <c r="H338" s="354">
        <f>COUNTIF(G$265:G338,G338)</f>
        <v>13</v>
      </c>
      <c r="I338" s="160" t="str">
        <f t="shared" si="163"/>
        <v>FAC13-AUPIRATE-PROJ237</v>
      </c>
      <c r="J338" s="160" t="s">
        <v>2230</v>
      </c>
      <c r="K338" s="329">
        <f>IF(N338=0,"",_xlfn.XLOOKUP(N338,F$32:F$54,G$32:G$54))</f>
        <v>45031</v>
      </c>
      <c r="L338" s="160" t="s">
        <v>2210</v>
      </c>
      <c r="M338" s="160">
        <f>M337</f>
        <v>7</v>
      </c>
      <c r="N338" s="160">
        <v>19</v>
      </c>
      <c r="S338" s="353"/>
      <c r="T338" s="160" t="s">
        <v>1922</v>
      </c>
      <c r="U338" s="160" t="str">
        <f t="shared" si="164"/>
        <v>DOCUMENTS</v>
      </c>
      <c r="V338" s="160" t="s">
        <v>2088</v>
      </c>
      <c r="W338" s="197" t="s">
        <v>168</v>
      </c>
      <c r="X338" s="360" t="s">
        <v>2020</v>
      </c>
      <c r="Y338" s="197" t="s">
        <v>303</v>
      </c>
      <c r="Z338" s="360" t="s">
        <v>2020</v>
      </c>
      <c r="AA338" s="199" t="s">
        <v>213</v>
      </c>
      <c r="AB338" s="360" t="s">
        <v>2020</v>
      </c>
      <c r="AC338" s="197" t="s">
        <v>211</v>
      </c>
      <c r="AD338" s="360" t="s">
        <v>2020</v>
      </c>
      <c r="AE338" s="197" t="s">
        <v>304</v>
      </c>
      <c r="AF338" s="360" t="s">
        <v>2020</v>
      </c>
      <c r="AG338" s="294" t="s">
        <v>287</v>
      </c>
      <c r="AH338" s="360" t="s">
        <v>2020</v>
      </c>
      <c r="AI338" s="294" t="s">
        <v>349</v>
      </c>
      <c r="AJ338" s="360" t="s">
        <v>2089</v>
      </c>
      <c r="AK338" s="160" t="str">
        <f t="shared" si="165"/>
        <v>Facture</v>
      </c>
      <c r="AL338" s="360" t="s">
        <v>2091</v>
      </c>
      <c r="AM338" s="160" t="str">
        <f t="shared" si="166"/>
        <v>FAC13-AUPIRATE-PROJ237</v>
      </c>
      <c r="AN338" s="360" t="s">
        <v>2091</v>
      </c>
      <c r="AO338" s="160" t="str">
        <f t="shared" si="167"/>
        <v>Facture accompte pour démarrer les travaux</v>
      </c>
      <c r="AP338" s="360" t="s">
        <v>2091</v>
      </c>
      <c r="AQ338" s="160" t="str">
        <f t="shared" ca="1" si="168"/>
        <v>2023/04/15</v>
      </c>
      <c r="AR338" s="360" t="s">
        <v>2091</v>
      </c>
      <c r="AS338" s="160" t="str">
        <f t="shared" si="169"/>
        <v>https:\\localhost\testPathFile74</v>
      </c>
      <c r="AT338" s="360" t="s">
        <v>2093</v>
      </c>
      <c r="AU338" s="160">
        <f t="shared" si="170"/>
        <v>7</v>
      </c>
      <c r="AV338" s="360" t="s">
        <v>2020</v>
      </c>
      <c r="AW338" s="160">
        <f t="shared" si="173"/>
        <v>19</v>
      </c>
      <c r="AX338" s="160" t="s">
        <v>2021</v>
      </c>
      <c r="AY338" s="160" t="str">
        <f t="shared" ca="1" si="171"/>
        <v>INSERT INTO DOCUMENTS(catDoc,nameDoc,descriptionDoc,dateDoc,pathDoc,idProjet,idDeGeneration) VALUES ('Facture','FAC13-AUPIRATE-PROJ237','Facture accompte pour démarrer les travaux','2023/04/15','https:\\localhost\testPathFile73',7,19);</v>
      </c>
      <c r="AZ338" s="160" t="s">
        <v>2238</v>
      </c>
    </row>
    <row r="339" spans="6:52" ht="32.6" customHeight="1" thickBot="1" x14ac:dyDescent="0.35">
      <c r="F339" s="160">
        <f t="shared" si="172"/>
        <v>75</v>
      </c>
      <c r="G339" s="160" t="s">
        <v>106</v>
      </c>
      <c r="H339" s="354">
        <f>COUNTIF(G$265:G339,G339)</f>
        <v>13</v>
      </c>
      <c r="I339" s="160" t="str">
        <f t="shared" si="163"/>
        <v>PLA13-AUPIRATE-PROJ237</v>
      </c>
      <c r="J339" s="160" t="s">
        <v>1893</v>
      </c>
      <c r="K339" s="329">
        <f>K338</f>
        <v>45031</v>
      </c>
      <c r="L339" s="160" t="s">
        <v>2211</v>
      </c>
      <c r="M339" s="160">
        <f t="shared" ref="M339:M347" si="174">M338</f>
        <v>7</v>
      </c>
      <c r="N339" s="160">
        <v>0</v>
      </c>
      <c r="S339" s="353"/>
      <c r="T339" s="160" t="s">
        <v>1922</v>
      </c>
      <c r="U339" s="160" t="str">
        <f t="shared" si="164"/>
        <v>DOCUMENTS</v>
      </c>
      <c r="V339" s="160" t="s">
        <v>2088</v>
      </c>
      <c r="W339" s="197" t="s">
        <v>168</v>
      </c>
      <c r="X339" s="360" t="s">
        <v>2020</v>
      </c>
      <c r="Y339" s="197" t="s">
        <v>303</v>
      </c>
      <c r="Z339" s="360" t="s">
        <v>2020</v>
      </c>
      <c r="AA339" s="199" t="s">
        <v>213</v>
      </c>
      <c r="AB339" s="360" t="s">
        <v>2020</v>
      </c>
      <c r="AC339" s="197" t="s">
        <v>211</v>
      </c>
      <c r="AD339" s="360" t="s">
        <v>2020</v>
      </c>
      <c r="AE339" s="197" t="s">
        <v>304</v>
      </c>
      <c r="AF339" s="360" t="s">
        <v>2020</v>
      </c>
      <c r="AG339" s="294" t="s">
        <v>287</v>
      </c>
      <c r="AH339" s="360" t="s">
        <v>2020</v>
      </c>
      <c r="AI339" s="294" t="s">
        <v>349</v>
      </c>
      <c r="AJ339" s="360" t="s">
        <v>2089</v>
      </c>
      <c r="AK339" s="160" t="str">
        <f t="shared" si="165"/>
        <v>Plan</v>
      </c>
      <c r="AL339" s="360" t="s">
        <v>2091</v>
      </c>
      <c r="AM339" s="160" t="str">
        <f t="shared" si="166"/>
        <v>PLA13-AUPIRATE-PROJ237</v>
      </c>
      <c r="AN339" s="360" t="s">
        <v>2091</v>
      </c>
      <c r="AO339" s="160" t="str">
        <f t="shared" si="167"/>
        <v>Plan de face - etc</v>
      </c>
      <c r="AP339" s="360" t="s">
        <v>2091</v>
      </c>
      <c r="AQ339" s="160" t="str">
        <f t="shared" ca="1" si="168"/>
        <v>2023/04/15</v>
      </c>
      <c r="AR339" s="360" t="s">
        <v>2091</v>
      </c>
      <c r="AS339" s="160" t="str">
        <f t="shared" si="169"/>
        <v>https:\\localhost\testPathFile75</v>
      </c>
      <c r="AT339" s="360" t="s">
        <v>2093</v>
      </c>
      <c r="AU339" s="160">
        <f t="shared" si="170"/>
        <v>7</v>
      </c>
      <c r="AV339" s="360" t="s">
        <v>2020</v>
      </c>
      <c r="AW339" s="360" t="s">
        <v>1959</v>
      </c>
      <c r="AX339" s="160" t="s">
        <v>2021</v>
      </c>
      <c r="AY339" s="160" t="str">
        <f t="shared" ca="1" si="171"/>
        <v>INSERT INTO DOCUMENTS(catDoc,nameDoc,descriptionDoc,dateDoc,pathDoc,idProjet,idDeGeneration) VALUES ('Plan','PLA13-AUPIRATE-PROJ237','Plan de face - etc','2023/04/15','https:\\localhost\testPathFile74',7,NULL);</v>
      </c>
      <c r="AZ339" s="160" t="s">
        <v>2279</v>
      </c>
    </row>
    <row r="340" spans="6:52" ht="25.85" customHeight="1" thickBot="1" x14ac:dyDescent="0.35">
      <c r="F340" s="160">
        <f t="shared" si="172"/>
        <v>76</v>
      </c>
      <c r="G340" s="160" t="s">
        <v>106</v>
      </c>
      <c r="H340" s="354">
        <f>COUNTIF(G$265:G340,G340)</f>
        <v>14</v>
      </c>
      <c r="I340" s="160" t="str">
        <f t="shared" si="163"/>
        <v>PLA14-AUPIRATE-PROJ237</v>
      </c>
      <c r="J340" s="160" t="s">
        <v>1894</v>
      </c>
      <c r="K340" s="329">
        <f>K339</f>
        <v>45031</v>
      </c>
      <c r="L340" s="160" t="s">
        <v>2212</v>
      </c>
      <c r="M340" s="160">
        <f t="shared" si="174"/>
        <v>7</v>
      </c>
      <c r="N340" s="160">
        <v>0</v>
      </c>
      <c r="S340" s="353"/>
      <c r="T340" s="160" t="s">
        <v>1922</v>
      </c>
      <c r="U340" s="160" t="str">
        <f t="shared" si="164"/>
        <v>DOCUMENTS</v>
      </c>
      <c r="V340" s="160" t="s">
        <v>2088</v>
      </c>
      <c r="W340" s="197" t="s">
        <v>168</v>
      </c>
      <c r="X340" s="360" t="s">
        <v>2020</v>
      </c>
      <c r="Y340" s="197" t="s">
        <v>303</v>
      </c>
      <c r="Z340" s="360" t="s">
        <v>2020</v>
      </c>
      <c r="AA340" s="199" t="s">
        <v>213</v>
      </c>
      <c r="AB340" s="360" t="s">
        <v>2020</v>
      </c>
      <c r="AC340" s="197" t="s">
        <v>211</v>
      </c>
      <c r="AD340" s="360" t="s">
        <v>2020</v>
      </c>
      <c r="AE340" s="197" t="s">
        <v>304</v>
      </c>
      <c r="AF340" s="360" t="s">
        <v>2020</v>
      </c>
      <c r="AG340" s="294" t="s">
        <v>287</v>
      </c>
      <c r="AH340" s="360" t="s">
        <v>2020</v>
      </c>
      <c r="AI340" s="294" t="s">
        <v>349</v>
      </c>
      <c r="AJ340" s="360" t="s">
        <v>2089</v>
      </c>
      <c r="AK340" s="160" t="str">
        <f t="shared" si="165"/>
        <v>Plan</v>
      </c>
      <c r="AL340" s="360" t="s">
        <v>2091</v>
      </c>
      <c r="AM340" s="160" t="str">
        <f t="shared" si="166"/>
        <v>PLA14-AUPIRATE-PROJ237</v>
      </c>
      <c r="AN340" s="360" t="s">
        <v>2091</v>
      </c>
      <c r="AO340" s="160" t="str">
        <f t="shared" si="167"/>
        <v>Plan de coté Est - etc</v>
      </c>
      <c r="AP340" s="360" t="s">
        <v>2091</v>
      </c>
      <c r="AQ340" s="160" t="str">
        <f t="shared" ca="1" si="168"/>
        <v>2023/04/15</v>
      </c>
      <c r="AR340" s="360" t="s">
        <v>2091</v>
      </c>
      <c r="AS340" s="160" t="str">
        <f t="shared" si="169"/>
        <v>https:\\localhost\testPathFile76</v>
      </c>
      <c r="AT340" s="360" t="s">
        <v>2093</v>
      </c>
      <c r="AU340" s="160">
        <f t="shared" si="170"/>
        <v>7</v>
      </c>
      <c r="AV340" s="360" t="s">
        <v>2020</v>
      </c>
      <c r="AW340" s="360" t="s">
        <v>1959</v>
      </c>
      <c r="AX340" s="160" t="s">
        <v>2021</v>
      </c>
      <c r="AY340" s="160" t="str">
        <f t="shared" ca="1" si="171"/>
        <v>INSERT INTO DOCUMENTS(catDoc,nameDoc,descriptionDoc,dateDoc,pathDoc,idProjet,idDeGeneration) VALUES ('Plan','PLA14-AUPIRATE-PROJ237','Plan de coté Est - etc','2023/04/15','https:\\localhost\testPathFile75',7,NULL);</v>
      </c>
      <c r="AZ340" s="160" t="s">
        <v>2280</v>
      </c>
    </row>
    <row r="341" spans="6:52" ht="15.65" thickBot="1" x14ac:dyDescent="0.35">
      <c r="F341" s="160">
        <f t="shared" si="172"/>
        <v>77</v>
      </c>
      <c r="G341" s="160" t="s">
        <v>1885</v>
      </c>
      <c r="H341" s="354">
        <f>COUNTIF(G$265:G341,G341)</f>
        <v>19</v>
      </c>
      <c r="I341" s="160" t="str">
        <f t="shared" si="163"/>
        <v>IMG19-AUPIRATE-PROJ237</v>
      </c>
      <c r="J341" s="160" t="s">
        <v>1895</v>
      </c>
      <c r="K341" s="329">
        <f>K340+1</f>
        <v>45032</v>
      </c>
      <c r="L341" s="160" t="s">
        <v>2213</v>
      </c>
      <c r="M341" s="160">
        <f t="shared" si="174"/>
        <v>7</v>
      </c>
      <c r="N341" s="160">
        <v>0</v>
      </c>
      <c r="S341" s="353"/>
      <c r="T341" s="160" t="s">
        <v>1922</v>
      </c>
      <c r="U341" s="160" t="str">
        <f t="shared" si="164"/>
        <v>DOCUMENTS</v>
      </c>
      <c r="V341" s="160" t="s">
        <v>2088</v>
      </c>
      <c r="W341" s="197" t="s">
        <v>168</v>
      </c>
      <c r="X341" s="360" t="s">
        <v>2020</v>
      </c>
      <c r="Y341" s="197" t="s">
        <v>303</v>
      </c>
      <c r="Z341" s="360" t="s">
        <v>2020</v>
      </c>
      <c r="AA341" s="199" t="s">
        <v>213</v>
      </c>
      <c r="AB341" s="360" t="s">
        <v>2020</v>
      </c>
      <c r="AC341" s="197" t="s">
        <v>211</v>
      </c>
      <c r="AD341" s="360" t="s">
        <v>2020</v>
      </c>
      <c r="AE341" s="197" t="s">
        <v>304</v>
      </c>
      <c r="AF341" s="360" t="s">
        <v>2020</v>
      </c>
      <c r="AG341" s="294" t="s">
        <v>287</v>
      </c>
      <c r="AH341" s="360" t="s">
        <v>2020</v>
      </c>
      <c r="AI341" s="294" t="s">
        <v>349</v>
      </c>
      <c r="AJ341" s="360" t="s">
        <v>2089</v>
      </c>
      <c r="AK341" s="160" t="str">
        <f t="shared" si="165"/>
        <v>ImgPhoto</v>
      </c>
      <c r="AL341" s="360" t="s">
        <v>2091</v>
      </c>
      <c r="AM341" s="160" t="str">
        <f t="shared" si="166"/>
        <v>IMG19-AUPIRATE-PROJ237</v>
      </c>
      <c r="AN341" s="360" t="s">
        <v>2091</v>
      </c>
      <c r="AO341" s="160" t="str">
        <f t="shared" si="167"/>
        <v>Photo de projection de face</v>
      </c>
      <c r="AP341" s="360" t="s">
        <v>2091</v>
      </c>
      <c r="AQ341" s="160" t="str">
        <f t="shared" ca="1" si="168"/>
        <v>2023/04/16</v>
      </c>
      <c r="AR341" s="360" t="s">
        <v>2091</v>
      </c>
      <c r="AS341" s="160" t="str">
        <f t="shared" si="169"/>
        <v>https:\\localhost\testPathFile77</v>
      </c>
      <c r="AT341" s="360" t="s">
        <v>2093</v>
      </c>
      <c r="AU341" s="160">
        <f t="shared" si="170"/>
        <v>7</v>
      </c>
      <c r="AV341" s="360" t="s">
        <v>2020</v>
      </c>
      <c r="AW341" s="360" t="s">
        <v>1959</v>
      </c>
      <c r="AX341" s="160" t="s">
        <v>2021</v>
      </c>
      <c r="AY341" s="160" t="str">
        <f t="shared" ca="1" si="171"/>
        <v>INSERT INTO DOCUMENTS(catDoc,nameDoc,descriptionDoc,dateDoc,pathDoc,idProjet,idDeGeneration) VALUES ('ImgPhoto','IMG19-AUPIRATE-PROJ237','Photo de projection de face','2023/04/16','https:\\localhost\testPathFile76',7,NULL);</v>
      </c>
      <c r="AZ341" s="160" t="s">
        <v>2281</v>
      </c>
    </row>
    <row r="342" spans="6:52" ht="28.05" customHeight="1" thickBot="1" x14ac:dyDescent="0.35">
      <c r="F342" s="160">
        <f t="shared" si="172"/>
        <v>78</v>
      </c>
      <c r="G342" s="160" t="s">
        <v>1885</v>
      </c>
      <c r="H342" s="354">
        <f>COUNTIF(G$265:G342,G342)</f>
        <v>20</v>
      </c>
      <c r="I342" s="160" t="str">
        <f t="shared" si="163"/>
        <v>IMG20-AUPIRATE-PROJ237</v>
      </c>
      <c r="J342" s="160" t="s">
        <v>1896</v>
      </c>
      <c r="K342" s="329">
        <f>K341</f>
        <v>45032</v>
      </c>
      <c r="L342" s="160" t="s">
        <v>2214</v>
      </c>
      <c r="M342" s="160">
        <f t="shared" si="174"/>
        <v>7</v>
      </c>
      <c r="N342" s="160">
        <v>0</v>
      </c>
      <c r="S342" s="353"/>
      <c r="T342" s="160" t="s">
        <v>1922</v>
      </c>
      <c r="U342" s="160" t="str">
        <f t="shared" si="164"/>
        <v>DOCUMENTS</v>
      </c>
      <c r="V342" s="160" t="s">
        <v>2088</v>
      </c>
      <c r="W342" s="197" t="s">
        <v>168</v>
      </c>
      <c r="X342" s="360" t="s">
        <v>2020</v>
      </c>
      <c r="Y342" s="197" t="s">
        <v>303</v>
      </c>
      <c r="Z342" s="360" t="s">
        <v>2020</v>
      </c>
      <c r="AA342" s="199" t="s">
        <v>213</v>
      </c>
      <c r="AB342" s="360" t="s">
        <v>2020</v>
      </c>
      <c r="AC342" s="197" t="s">
        <v>211</v>
      </c>
      <c r="AD342" s="360" t="s">
        <v>2020</v>
      </c>
      <c r="AE342" s="197" t="s">
        <v>304</v>
      </c>
      <c r="AF342" s="360" t="s">
        <v>2020</v>
      </c>
      <c r="AG342" s="294" t="s">
        <v>287</v>
      </c>
      <c r="AH342" s="360" t="s">
        <v>2020</v>
      </c>
      <c r="AI342" s="294" t="s">
        <v>349</v>
      </c>
      <c r="AJ342" s="360" t="s">
        <v>2089</v>
      </c>
      <c r="AK342" s="160" t="str">
        <f t="shared" si="165"/>
        <v>ImgPhoto</v>
      </c>
      <c r="AL342" s="360" t="s">
        <v>2091</v>
      </c>
      <c r="AM342" s="160" t="str">
        <f t="shared" si="166"/>
        <v>IMG20-AUPIRATE-PROJ237</v>
      </c>
      <c r="AN342" s="360" t="s">
        <v>2091</v>
      </c>
      <c r="AO342" s="160" t="str">
        <f t="shared" si="167"/>
        <v>Photo de projection de coté Est</v>
      </c>
      <c r="AP342" s="360" t="s">
        <v>2091</v>
      </c>
      <c r="AQ342" s="160" t="str">
        <f t="shared" ca="1" si="168"/>
        <v>2023/04/16</v>
      </c>
      <c r="AR342" s="360" t="s">
        <v>2091</v>
      </c>
      <c r="AS342" s="160" t="str">
        <f t="shared" si="169"/>
        <v>https:\\localhost\testPathFile78</v>
      </c>
      <c r="AT342" s="360" t="s">
        <v>2093</v>
      </c>
      <c r="AU342" s="160">
        <f t="shared" si="170"/>
        <v>7</v>
      </c>
      <c r="AV342" s="360" t="s">
        <v>2020</v>
      </c>
      <c r="AW342" s="360" t="s">
        <v>1959</v>
      </c>
      <c r="AX342" s="160" t="s">
        <v>2021</v>
      </c>
      <c r="AY342" s="160" t="str">
        <f t="shared" ca="1" si="171"/>
        <v>INSERT INTO DOCUMENTS(catDoc,nameDoc,descriptionDoc,dateDoc,pathDoc,idProjet,idDeGeneration) VALUES ('ImgPhoto','IMG20-AUPIRATE-PROJ237','Photo de projection de coté Est','2023/04/16','https:\\localhost\testPathFile77',7,NULL);</v>
      </c>
      <c r="AZ342" s="160" t="s">
        <v>2282</v>
      </c>
    </row>
    <row r="343" spans="6:52" ht="30.05" customHeight="1" thickBot="1" x14ac:dyDescent="0.35">
      <c r="F343" s="160">
        <f t="shared" si="172"/>
        <v>79</v>
      </c>
      <c r="G343" s="160" t="s">
        <v>1885</v>
      </c>
      <c r="H343" s="354">
        <f>COUNTIF(G$265:G343,G343)</f>
        <v>21</v>
      </c>
      <c r="I343" s="160" t="str">
        <f t="shared" si="163"/>
        <v>IMG21-AUPIRATE-PROJ237</v>
      </c>
      <c r="J343" s="160" t="s">
        <v>1897</v>
      </c>
      <c r="K343" s="329">
        <f>K342+1</f>
        <v>45033</v>
      </c>
      <c r="L343" s="160" t="s">
        <v>2215</v>
      </c>
      <c r="M343" s="160">
        <f t="shared" si="174"/>
        <v>7</v>
      </c>
      <c r="N343" s="160">
        <v>0</v>
      </c>
      <c r="S343" s="353"/>
      <c r="T343" s="160" t="s">
        <v>1922</v>
      </c>
      <c r="U343" s="160" t="str">
        <f t="shared" si="164"/>
        <v>DOCUMENTS</v>
      </c>
      <c r="V343" s="160" t="s">
        <v>2088</v>
      </c>
      <c r="W343" s="197" t="s">
        <v>168</v>
      </c>
      <c r="X343" s="360" t="s">
        <v>2020</v>
      </c>
      <c r="Y343" s="197" t="s">
        <v>303</v>
      </c>
      <c r="Z343" s="360" t="s">
        <v>2020</v>
      </c>
      <c r="AA343" s="199" t="s">
        <v>213</v>
      </c>
      <c r="AB343" s="360" t="s">
        <v>2020</v>
      </c>
      <c r="AC343" s="197" t="s">
        <v>211</v>
      </c>
      <c r="AD343" s="360" t="s">
        <v>2020</v>
      </c>
      <c r="AE343" s="197" t="s">
        <v>304</v>
      </c>
      <c r="AF343" s="360" t="s">
        <v>2020</v>
      </c>
      <c r="AG343" s="294" t="s">
        <v>287</v>
      </c>
      <c r="AH343" s="360" t="s">
        <v>2020</v>
      </c>
      <c r="AI343" s="294" t="s">
        <v>349</v>
      </c>
      <c r="AJ343" s="360" t="s">
        <v>2089</v>
      </c>
      <c r="AK343" s="160" t="str">
        <f t="shared" si="165"/>
        <v>ImgPhoto</v>
      </c>
      <c r="AL343" s="360" t="s">
        <v>2091</v>
      </c>
      <c r="AM343" s="160" t="str">
        <f t="shared" si="166"/>
        <v>IMG21-AUPIRATE-PROJ237</v>
      </c>
      <c r="AN343" s="360" t="s">
        <v>2091</v>
      </c>
      <c r="AO343" s="160" t="str">
        <f t="shared" si="167"/>
        <v>Photo de projection dcoté Ouest et Sud</v>
      </c>
      <c r="AP343" s="360" t="s">
        <v>2091</v>
      </c>
      <c r="AQ343" s="160" t="str">
        <f t="shared" ca="1" si="168"/>
        <v>2023/04/17</v>
      </c>
      <c r="AR343" s="360" t="s">
        <v>2091</v>
      </c>
      <c r="AS343" s="160" t="str">
        <f t="shared" si="169"/>
        <v>https:\\localhost\testPathFile79</v>
      </c>
      <c r="AT343" s="360" t="s">
        <v>2093</v>
      </c>
      <c r="AU343" s="160">
        <f t="shared" si="170"/>
        <v>7</v>
      </c>
      <c r="AV343" s="360" t="s">
        <v>2020</v>
      </c>
      <c r="AW343" s="360" t="s">
        <v>1959</v>
      </c>
      <c r="AX343" s="160" t="s">
        <v>2021</v>
      </c>
      <c r="AY343" s="160" t="str">
        <f t="shared" ca="1" si="171"/>
        <v>INSERT INTO DOCUMENTS(catDoc,nameDoc,descriptionDoc,dateDoc,pathDoc,idProjet,idDeGeneration) VALUES ('ImgPhoto','IMG21-AUPIRATE-PROJ237','Photo de projection dcoté Ouest et Sud','2023/04/17','https:\\localhost\testPathFile78',7,NULL);</v>
      </c>
      <c r="AZ343" s="160" t="s">
        <v>2283</v>
      </c>
    </row>
    <row r="344" spans="6:52" ht="20.05" customHeight="1" thickBot="1" x14ac:dyDescent="0.35">
      <c r="F344" s="160">
        <f t="shared" si="172"/>
        <v>80</v>
      </c>
      <c r="G344" s="160" t="s">
        <v>109</v>
      </c>
      <c r="H344" s="354">
        <f>COUNTIF(G$265:G344,G344)</f>
        <v>6</v>
      </c>
      <c r="I344" s="160" t="str">
        <f t="shared" si="163"/>
        <v>SCH6-AUPIRATE-PROJ237</v>
      </c>
      <c r="J344" s="160" t="s">
        <v>1898</v>
      </c>
      <c r="K344" s="329">
        <f>K343</f>
        <v>45033</v>
      </c>
      <c r="L344" s="160" t="s">
        <v>2216</v>
      </c>
      <c r="M344" s="160">
        <f t="shared" si="174"/>
        <v>7</v>
      </c>
      <c r="N344" s="160">
        <v>0</v>
      </c>
      <c r="S344" s="353"/>
      <c r="T344" s="160" t="s">
        <v>1922</v>
      </c>
      <c r="U344" s="160" t="str">
        <f t="shared" si="164"/>
        <v>DOCUMENTS</v>
      </c>
      <c r="V344" s="160" t="s">
        <v>2088</v>
      </c>
      <c r="W344" s="197" t="s">
        <v>168</v>
      </c>
      <c r="X344" s="360" t="s">
        <v>2020</v>
      </c>
      <c r="Y344" s="197" t="s">
        <v>303</v>
      </c>
      <c r="Z344" s="360" t="s">
        <v>2020</v>
      </c>
      <c r="AA344" s="199" t="s">
        <v>213</v>
      </c>
      <c r="AB344" s="360" t="s">
        <v>2020</v>
      </c>
      <c r="AC344" s="197" t="s">
        <v>211</v>
      </c>
      <c r="AD344" s="360" t="s">
        <v>2020</v>
      </c>
      <c r="AE344" s="197" t="s">
        <v>304</v>
      </c>
      <c r="AF344" s="360" t="s">
        <v>2020</v>
      </c>
      <c r="AG344" s="294" t="s">
        <v>287</v>
      </c>
      <c r="AH344" s="360" t="s">
        <v>2020</v>
      </c>
      <c r="AI344" s="294" t="s">
        <v>349</v>
      </c>
      <c r="AJ344" s="360" t="s">
        <v>2089</v>
      </c>
      <c r="AK344" s="160" t="str">
        <f t="shared" si="165"/>
        <v>Schema</v>
      </c>
      <c r="AL344" s="360" t="s">
        <v>2091</v>
      </c>
      <c r="AM344" s="160" t="str">
        <f t="shared" si="166"/>
        <v>SCH6-AUPIRATE-PROJ237</v>
      </c>
      <c r="AN344" s="360" t="s">
        <v>2091</v>
      </c>
      <c r="AO344" s="160" t="str">
        <f t="shared" si="167"/>
        <v>Schema de principe de circulation</v>
      </c>
      <c r="AP344" s="360" t="s">
        <v>2091</v>
      </c>
      <c r="AQ344" s="160" t="str">
        <f t="shared" ca="1" si="168"/>
        <v>2023/04/17</v>
      </c>
      <c r="AR344" s="360" t="s">
        <v>2091</v>
      </c>
      <c r="AS344" s="160" t="str">
        <f t="shared" si="169"/>
        <v>https:\\localhost\testPathFile80</v>
      </c>
      <c r="AT344" s="360" t="s">
        <v>2093</v>
      </c>
      <c r="AU344" s="160">
        <f t="shared" si="170"/>
        <v>7</v>
      </c>
      <c r="AV344" s="360" t="s">
        <v>2020</v>
      </c>
      <c r="AW344" s="360" t="s">
        <v>1959</v>
      </c>
      <c r="AX344" s="160" t="s">
        <v>2021</v>
      </c>
      <c r="AY344" s="160" t="str">
        <f t="shared" ca="1" si="171"/>
        <v>INSERT INTO DOCUMENTS(catDoc,nameDoc,descriptionDoc,dateDoc,pathDoc,idProjet,idDeGeneration) VALUES ('Schema','SCH6-AUPIRATE-PROJ237','Schema de principe de circulation','2023/04/17','https:\\localhost\testPathFile79',7,NULL);</v>
      </c>
      <c r="AZ344" s="160" t="s">
        <v>2306</v>
      </c>
    </row>
    <row r="345" spans="6:52" ht="20.05" customHeight="1" thickBot="1" x14ac:dyDescent="0.35">
      <c r="F345" s="160">
        <f t="shared" si="172"/>
        <v>81</v>
      </c>
      <c r="G345" s="160" t="s">
        <v>1887</v>
      </c>
      <c r="H345" s="354">
        <f>COUNTIF(G$265:G345,G345)</f>
        <v>20</v>
      </c>
      <c r="I345" s="160" t="str">
        <f t="shared" si="163"/>
        <v>DIV20-AUPIRATE-PROJ237</v>
      </c>
      <c r="J345" s="160" t="s">
        <v>2231</v>
      </c>
      <c r="K345" s="329">
        <f>K344+4</f>
        <v>45037</v>
      </c>
      <c r="L345" s="160" t="s">
        <v>2217</v>
      </c>
      <c r="M345" s="160">
        <f t="shared" si="174"/>
        <v>7</v>
      </c>
      <c r="N345" s="160">
        <v>0</v>
      </c>
      <c r="S345" s="353"/>
      <c r="T345" s="160" t="s">
        <v>1922</v>
      </c>
      <c r="U345" s="160" t="str">
        <f t="shared" si="164"/>
        <v>DOCUMENTS</v>
      </c>
      <c r="V345" s="160" t="s">
        <v>2088</v>
      </c>
      <c r="W345" s="197" t="s">
        <v>168</v>
      </c>
      <c r="X345" s="360" t="s">
        <v>2020</v>
      </c>
      <c r="Y345" s="197" t="s">
        <v>303</v>
      </c>
      <c r="Z345" s="360" t="s">
        <v>2020</v>
      </c>
      <c r="AA345" s="199" t="s">
        <v>213</v>
      </c>
      <c r="AB345" s="360" t="s">
        <v>2020</v>
      </c>
      <c r="AC345" s="197" t="s">
        <v>211</v>
      </c>
      <c r="AD345" s="360" t="s">
        <v>2020</v>
      </c>
      <c r="AE345" s="197" t="s">
        <v>304</v>
      </c>
      <c r="AF345" s="360" t="s">
        <v>2020</v>
      </c>
      <c r="AG345" s="294" t="s">
        <v>287</v>
      </c>
      <c r="AH345" s="360" t="s">
        <v>2020</v>
      </c>
      <c r="AI345" s="294" t="s">
        <v>349</v>
      </c>
      <c r="AJ345" s="360" t="s">
        <v>2089</v>
      </c>
      <c r="AK345" s="160" t="str">
        <f t="shared" si="165"/>
        <v>Divers</v>
      </c>
      <c r="AL345" s="360" t="s">
        <v>2091</v>
      </c>
      <c r="AM345" s="160" t="str">
        <f t="shared" si="166"/>
        <v>DIV20-AUPIRATE-PROJ237</v>
      </c>
      <c r="AN345" s="360" t="s">
        <v>2091</v>
      </c>
      <c r="AO345" s="160" t="str">
        <f t="shared" si="167"/>
        <v>Relevé de Coût pour ameublement</v>
      </c>
      <c r="AP345" s="360" t="s">
        <v>2091</v>
      </c>
      <c r="AQ345" s="160" t="str">
        <f t="shared" ca="1" si="168"/>
        <v>2023/04/21</v>
      </c>
      <c r="AR345" s="360" t="s">
        <v>2091</v>
      </c>
      <c r="AS345" s="160" t="str">
        <f t="shared" si="169"/>
        <v>https:\\localhost\testPathFile81</v>
      </c>
      <c r="AT345" s="360" t="s">
        <v>2093</v>
      </c>
      <c r="AU345" s="160">
        <f t="shared" si="170"/>
        <v>7</v>
      </c>
      <c r="AV345" s="360" t="s">
        <v>2020</v>
      </c>
      <c r="AW345" s="360" t="s">
        <v>1959</v>
      </c>
      <c r="AX345" s="160" t="s">
        <v>2021</v>
      </c>
      <c r="AY345" s="160" t="str">
        <f t="shared" ca="1" si="171"/>
        <v>INSERT INTO DOCUMENTS(catDoc,nameDoc,descriptionDoc,dateDoc,pathDoc,idProjet,idDeGeneration) VALUES ('Divers','DIV20-AUPIRATE-PROJ237','Relevé de Coût pour ameublement','2023/04/21','https:\\localhost\testPathFile80',7,NULL);</v>
      </c>
      <c r="AZ345" s="160" t="s">
        <v>2307</v>
      </c>
    </row>
    <row r="346" spans="6:52" ht="20.05" customHeight="1" thickBot="1" x14ac:dyDescent="0.35">
      <c r="F346" s="160">
        <f t="shared" si="172"/>
        <v>82</v>
      </c>
      <c r="G346" s="160" t="s">
        <v>1887</v>
      </c>
      <c r="H346" s="354">
        <f>COUNTIF(G$265:G346,G346)</f>
        <v>21</v>
      </c>
      <c r="I346" s="160" t="str">
        <f t="shared" si="163"/>
        <v>DIV21-AUPIRATE-PROJ237</v>
      </c>
      <c r="J346" s="160" t="s">
        <v>1900</v>
      </c>
      <c r="K346" s="329">
        <f>K345+1</f>
        <v>45038</v>
      </c>
      <c r="L346" s="160" t="s">
        <v>2218</v>
      </c>
      <c r="M346" s="160">
        <f t="shared" si="174"/>
        <v>7</v>
      </c>
      <c r="N346" s="160">
        <v>0</v>
      </c>
      <c r="S346" s="353"/>
      <c r="T346" s="160" t="s">
        <v>1922</v>
      </c>
      <c r="U346" s="160" t="str">
        <f t="shared" si="164"/>
        <v>DOCUMENTS</v>
      </c>
      <c r="V346" s="160" t="s">
        <v>2088</v>
      </c>
      <c r="W346" s="197" t="s">
        <v>168</v>
      </c>
      <c r="X346" s="360" t="s">
        <v>2020</v>
      </c>
      <c r="Y346" s="197" t="s">
        <v>303</v>
      </c>
      <c r="Z346" s="360" t="s">
        <v>2020</v>
      </c>
      <c r="AA346" s="199" t="s">
        <v>213</v>
      </c>
      <c r="AB346" s="360" t="s">
        <v>2020</v>
      </c>
      <c r="AC346" s="197" t="s">
        <v>211</v>
      </c>
      <c r="AD346" s="360" t="s">
        <v>2020</v>
      </c>
      <c r="AE346" s="197" t="s">
        <v>304</v>
      </c>
      <c r="AF346" s="360" t="s">
        <v>2020</v>
      </c>
      <c r="AG346" s="294" t="s">
        <v>287</v>
      </c>
      <c r="AH346" s="360" t="s">
        <v>2020</v>
      </c>
      <c r="AI346" s="294" t="s">
        <v>349</v>
      </c>
      <c r="AJ346" s="360" t="s">
        <v>2089</v>
      </c>
      <c r="AK346" s="160" t="str">
        <f t="shared" si="165"/>
        <v>Divers</v>
      </c>
      <c r="AL346" s="360" t="s">
        <v>2091</v>
      </c>
      <c r="AM346" s="160" t="str">
        <f t="shared" si="166"/>
        <v>DIV21-AUPIRATE-PROJ237</v>
      </c>
      <c r="AN346" s="360" t="s">
        <v>2091</v>
      </c>
      <c r="AO346" s="160" t="str">
        <f t="shared" si="167"/>
        <v>Prise des cotes et des piges</v>
      </c>
      <c r="AP346" s="360" t="s">
        <v>2091</v>
      </c>
      <c r="AQ346" s="160" t="str">
        <f t="shared" ca="1" si="168"/>
        <v>2023/04/22</v>
      </c>
      <c r="AR346" s="360" t="s">
        <v>2091</v>
      </c>
      <c r="AS346" s="160" t="str">
        <f t="shared" si="169"/>
        <v>https:\\localhost\testPathFile82</v>
      </c>
      <c r="AT346" s="360" t="s">
        <v>2093</v>
      </c>
      <c r="AU346" s="160">
        <f t="shared" si="170"/>
        <v>7</v>
      </c>
      <c r="AV346" s="360" t="s">
        <v>2020</v>
      </c>
      <c r="AW346" s="360" t="s">
        <v>1959</v>
      </c>
      <c r="AX346" s="160" t="s">
        <v>2021</v>
      </c>
      <c r="AY346" s="160" t="str">
        <f t="shared" ca="1" si="171"/>
        <v>INSERT INTO DOCUMENTS(catDoc,nameDoc,descriptionDoc,dateDoc,pathDoc,idProjet,idDeGeneration) VALUES ('Divers','DIV21-AUPIRATE-PROJ237','Prise des cotes et des piges','2023/04/22','https:\\localhost\testPathFile81',7,NULL);</v>
      </c>
      <c r="AZ346" s="160" t="s">
        <v>2308</v>
      </c>
    </row>
    <row r="347" spans="6:52" ht="20.05" customHeight="1" thickBot="1" x14ac:dyDescent="0.35">
      <c r="F347" s="160">
        <f t="shared" si="172"/>
        <v>83</v>
      </c>
      <c r="G347" s="160" t="s">
        <v>1887</v>
      </c>
      <c r="H347" s="354">
        <f>COUNTIF(G$265:G347,G347)</f>
        <v>22</v>
      </c>
      <c r="I347" s="160" t="str">
        <f t="shared" si="163"/>
        <v>DIV22-AUPIRATE-PROJ237</v>
      </c>
      <c r="J347" s="160" t="s">
        <v>1901</v>
      </c>
      <c r="K347" s="329">
        <f>K346</f>
        <v>45038</v>
      </c>
      <c r="L347" s="160" t="s">
        <v>2219</v>
      </c>
      <c r="M347" s="160">
        <f t="shared" si="174"/>
        <v>7</v>
      </c>
      <c r="N347" s="160">
        <v>0</v>
      </c>
      <c r="S347" s="353"/>
      <c r="T347" s="160" t="s">
        <v>1922</v>
      </c>
      <c r="U347" s="160" t="str">
        <f t="shared" si="164"/>
        <v>DOCUMENTS</v>
      </c>
      <c r="V347" s="160" t="s">
        <v>2088</v>
      </c>
      <c r="W347" s="197" t="s">
        <v>168</v>
      </c>
      <c r="X347" s="360" t="s">
        <v>2020</v>
      </c>
      <c r="Y347" s="197" t="s">
        <v>303</v>
      </c>
      <c r="Z347" s="360" t="s">
        <v>2020</v>
      </c>
      <c r="AA347" s="199" t="s">
        <v>213</v>
      </c>
      <c r="AB347" s="360" t="s">
        <v>2020</v>
      </c>
      <c r="AC347" s="197" t="s">
        <v>211</v>
      </c>
      <c r="AD347" s="360" t="s">
        <v>2020</v>
      </c>
      <c r="AE347" s="197" t="s">
        <v>304</v>
      </c>
      <c r="AF347" s="360" t="s">
        <v>2020</v>
      </c>
      <c r="AG347" s="294" t="s">
        <v>287</v>
      </c>
      <c r="AH347" s="360" t="s">
        <v>2020</v>
      </c>
      <c r="AI347" s="294" t="s">
        <v>349</v>
      </c>
      <c r="AJ347" s="360" t="s">
        <v>2089</v>
      </c>
      <c r="AK347" s="160" t="str">
        <f t="shared" si="165"/>
        <v>Divers</v>
      </c>
      <c r="AL347" s="360" t="s">
        <v>2091</v>
      </c>
      <c r="AM347" s="160" t="str">
        <f t="shared" si="166"/>
        <v>DIV22-AUPIRATE-PROJ237</v>
      </c>
      <c r="AN347" s="360" t="s">
        <v>2091</v>
      </c>
      <c r="AO347" s="160" t="str">
        <f t="shared" si="167"/>
        <v>Document de Chiffrage du projet</v>
      </c>
      <c r="AP347" s="360" t="s">
        <v>2091</v>
      </c>
      <c r="AQ347" s="160" t="str">
        <f t="shared" ca="1" si="168"/>
        <v>2023/04/22</v>
      </c>
      <c r="AR347" s="360" t="s">
        <v>2091</v>
      </c>
      <c r="AS347" s="160" t="str">
        <f t="shared" si="169"/>
        <v>https:\\localhost\testPathFile83</v>
      </c>
      <c r="AT347" s="360" t="s">
        <v>2093</v>
      </c>
      <c r="AU347" s="160">
        <f t="shared" si="170"/>
        <v>7</v>
      </c>
      <c r="AV347" s="360" t="s">
        <v>2020</v>
      </c>
      <c r="AW347" s="360" t="s">
        <v>1959</v>
      </c>
      <c r="AX347" s="160" t="s">
        <v>2021</v>
      </c>
      <c r="AY347" s="160" t="str">
        <f t="shared" ca="1" si="171"/>
        <v>INSERT INTO DOCUMENTS(catDoc,nameDoc,descriptionDoc,dateDoc,pathDoc,idProjet,idDeGeneration) VALUES ('Divers','DIV22-AUPIRATE-PROJ237','Document de Chiffrage du projet','2023/04/22','https:\\localhost\testPathFile82',7,NULL);</v>
      </c>
      <c r="AZ347" s="160" t="s">
        <v>2309</v>
      </c>
    </row>
    <row r="348" spans="6:52" ht="20.05" customHeight="1" thickBot="1" x14ac:dyDescent="0.35">
      <c r="F348" s="160">
        <f t="shared" si="172"/>
        <v>84</v>
      </c>
      <c r="G348" s="160" t="s">
        <v>104</v>
      </c>
      <c r="H348" s="354">
        <f>COUNTIF(G348,G348)</f>
        <v>1</v>
      </c>
      <c r="I348" s="160" t="str">
        <f t="shared" si="163"/>
        <v>DEV1-BOISDELUX-PROJ238</v>
      </c>
      <c r="J348" s="160" t="s">
        <v>1891</v>
      </c>
      <c r="K348" s="329">
        <f>IF(N348=0,"",_xlfn.XLOOKUP(N348,F$32:F$54,G$32:G$54))</f>
        <v>45061</v>
      </c>
      <c r="L348" s="160" t="s">
        <v>2220</v>
      </c>
      <c r="M348" s="160">
        <v>8</v>
      </c>
      <c r="N348" s="160">
        <v>21</v>
      </c>
      <c r="S348" s="353"/>
      <c r="T348" s="160" t="s">
        <v>1922</v>
      </c>
      <c r="U348" s="160" t="str">
        <f t="shared" si="164"/>
        <v>DOCUMENTS</v>
      </c>
      <c r="V348" s="160" t="s">
        <v>2088</v>
      </c>
      <c r="W348" s="197" t="s">
        <v>168</v>
      </c>
      <c r="X348" s="360" t="s">
        <v>2020</v>
      </c>
      <c r="Y348" s="197" t="s">
        <v>303</v>
      </c>
      <c r="Z348" s="360" t="s">
        <v>2020</v>
      </c>
      <c r="AA348" s="199" t="s">
        <v>213</v>
      </c>
      <c r="AB348" s="360" t="s">
        <v>2020</v>
      </c>
      <c r="AC348" s="197" t="s">
        <v>211</v>
      </c>
      <c r="AD348" s="360" t="s">
        <v>2020</v>
      </c>
      <c r="AE348" s="197" t="s">
        <v>304</v>
      </c>
      <c r="AF348" s="360" t="s">
        <v>2020</v>
      </c>
      <c r="AG348" s="294" t="s">
        <v>287</v>
      </c>
      <c r="AH348" s="360" t="s">
        <v>2020</v>
      </c>
      <c r="AI348" s="294" t="s">
        <v>349</v>
      </c>
      <c r="AJ348" s="360" t="s">
        <v>2089</v>
      </c>
      <c r="AK348" s="160" t="str">
        <f t="shared" si="165"/>
        <v>Devis</v>
      </c>
      <c r="AL348" s="360" t="s">
        <v>2091</v>
      </c>
      <c r="AM348" s="160" t="str">
        <f t="shared" si="166"/>
        <v>DEV1-BOISDELUX-PROJ238</v>
      </c>
      <c r="AN348" s="360" t="s">
        <v>2091</v>
      </c>
      <c r="AO348" s="160" t="str">
        <f t="shared" si="167"/>
        <v>Proposition commerciale du projet</v>
      </c>
      <c r="AP348" s="360" t="s">
        <v>2091</v>
      </c>
      <c r="AQ348" s="160" t="str">
        <f t="shared" ca="1" si="168"/>
        <v>2023/05/15</v>
      </c>
      <c r="AR348" s="360" t="s">
        <v>2091</v>
      </c>
      <c r="AS348" s="160" t="str">
        <f t="shared" si="169"/>
        <v>https:\\localhost\testPathFile84</v>
      </c>
      <c r="AT348" s="360" t="s">
        <v>2093</v>
      </c>
      <c r="AU348" s="160">
        <f t="shared" si="170"/>
        <v>8</v>
      </c>
      <c r="AV348" s="360" t="s">
        <v>2020</v>
      </c>
      <c r="AW348" s="160">
        <f t="shared" si="173"/>
        <v>21</v>
      </c>
      <c r="AX348" s="160" t="s">
        <v>2021</v>
      </c>
      <c r="AY348" s="160" t="str">
        <f t="shared" ca="1" si="171"/>
        <v>INSERT INTO DOCUMENTS(catDoc,nameDoc,descriptionDoc,dateDoc,pathDoc,idProjet,idDeGeneration) VALUES ('Devis','DEV1-BOISDELUX-PROJ238','Proposition commerciale du projet','2023/05/15','https:\\localhost\testPathFile83',8,21);</v>
      </c>
      <c r="AZ348" s="160" t="s">
        <v>2229</v>
      </c>
    </row>
    <row r="349" spans="6:52" ht="20.05" customHeight="1" thickBot="1" x14ac:dyDescent="0.35">
      <c r="F349" s="160">
        <f t="shared" si="172"/>
        <v>85</v>
      </c>
      <c r="G349" s="160" t="s">
        <v>105</v>
      </c>
      <c r="H349" s="354">
        <f>COUNTIF(G$265:G349,G349)</f>
        <v>14</v>
      </c>
      <c r="I349" s="160" t="str">
        <f t="shared" si="163"/>
        <v>FAC14-BOISDELUX-PROJ238</v>
      </c>
      <c r="J349" s="160" t="s">
        <v>2230</v>
      </c>
      <c r="K349" s="329">
        <v>45062</v>
      </c>
      <c r="L349" s="160" t="s">
        <v>2221</v>
      </c>
      <c r="M349" s="160">
        <f>M348</f>
        <v>8</v>
      </c>
      <c r="N349" s="160">
        <v>22</v>
      </c>
      <c r="S349" s="353" t="str">
        <f t="shared" ref="S349" si="175">"INSERT INTO "&amp;$E$264&amp;"("&amp;$F$264&amp;", "&amp;$G$264&amp;", "&amp;$H$264&amp;", "&amp;$I$264&amp;", "&amp;$J$264&amp;", "&amp;$K$264&amp;", "&amp;$L$264&amp;", "&amp;$M$264&amp;", "&amp;$N$264&amp;") VALUES ("&amp;F349&amp;", "&amp;G349&amp;", "&amp;H349&amp;", "&amp;I349&amp;", "&amp;J349&amp;", "&amp;K349&amp;", "&amp;L349&amp;", "&amp;M349&amp;", "&amp;N349&amp;");"</f>
        <v>INSERT INTO DOCUMENTS(idDocument, catDoc, numCatDoc, nameDoc, descriptionDoc, dateDoc, pathDoc, idProjet, idDeGeneration) VALUES (85, Facture, 14, FAC14-BOISDELUX-PROJ238, Facture accompte pour démarrer les travaux, 45062, https:\\localhost\testPathFile85, 8, 22);</v>
      </c>
      <c r="T349" s="160" t="s">
        <v>1922</v>
      </c>
      <c r="U349" s="160" t="str">
        <f t="shared" si="164"/>
        <v>DOCUMENTS</v>
      </c>
      <c r="V349" s="160" t="s">
        <v>2088</v>
      </c>
      <c r="W349" s="197" t="s">
        <v>168</v>
      </c>
      <c r="X349" s="360" t="s">
        <v>2020</v>
      </c>
      <c r="Y349" s="197" t="s">
        <v>303</v>
      </c>
      <c r="Z349" s="360" t="s">
        <v>2020</v>
      </c>
      <c r="AA349" s="199" t="s">
        <v>213</v>
      </c>
      <c r="AB349" s="360" t="s">
        <v>2020</v>
      </c>
      <c r="AC349" s="197" t="s">
        <v>211</v>
      </c>
      <c r="AD349" s="360" t="s">
        <v>2020</v>
      </c>
      <c r="AE349" s="197" t="s">
        <v>304</v>
      </c>
      <c r="AF349" s="360" t="s">
        <v>2020</v>
      </c>
      <c r="AG349" s="294" t="s">
        <v>287</v>
      </c>
      <c r="AH349" s="360" t="s">
        <v>2020</v>
      </c>
      <c r="AI349" s="294" t="s">
        <v>349</v>
      </c>
      <c r="AJ349" s="360" t="s">
        <v>2089</v>
      </c>
      <c r="AK349" s="160" t="str">
        <f t="shared" si="165"/>
        <v>Facture</v>
      </c>
      <c r="AL349" s="360" t="s">
        <v>2091</v>
      </c>
      <c r="AM349" s="160" t="str">
        <f t="shared" si="166"/>
        <v>FAC14-BOISDELUX-PROJ238</v>
      </c>
      <c r="AN349" s="360" t="s">
        <v>2091</v>
      </c>
      <c r="AO349" s="160" t="str">
        <f t="shared" si="167"/>
        <v>Facture accompte pour démarrer les travaux</v>
      </c>
      <c r="AP349" s="360" t="s">
        <v>2091</v>
      </c>
      <c r="AQ349" s="160" t="str">
        <f ca="1">IF(AND(K349&lt;=TODAY(),K349&lt;&gt;""),TEXT(K349,"aaaa/mm/jj"),"")</f>
        <v>2023/05/16</v>
      </c>
      <c r="AR349" s="360" t="s">
        <v>2091</v>
      </c>
      <c r="AS349" s="160" t="str">
        <f t="shared" si="169"/>
        <v>https:\\localhost\testPathFile85</v>
      </c>
      <c r="AT349" s="360" t="s">
        <v>2093</v>
      </c>
      <c r="AU349" s="160">
        <f t="shared" si="170"/>
        <v>8</v>
      </c>
      <c r="AV349" s="360" t="s">
        <v>2020</v>
      </c>
      <c r="AW349" s="160">
        <f t="shared" si="173"/>
        <v>22</v>
      </c>
      <c r="AX349" s="160" t="s">
        <v>2021</v>
      </c>
      <c r="AY349" s="160" t="str">
        <f t="shared" ca="1" si="171"/>
        <v>INSERT INTO DOCUMENTS(catDoc,nameDoc,descriptionDoc,dateDoc,pathDoc,idProjet,idDeGeneration) VALUES ('Facture','FAC14-BOISDELUX-PROJ238','Facture accompte pour démarrer les travaux','2023/05/16','https:\\localhost\testPathFile84',8,22);</v>
      </c>
      <c r="AZ349" s="160" t="s">
        <v>2239</v>
      </c>
    </row>
    <row r="350" spans="6:52" ht="32.6" customHeight="1" x14ac:dyDescent="0.3">
      <c r="H350" s="354"/>
      <c r="K350" s="329"/>
      <c r="S350" s="353"/>
    </row>
    <row r="351" spans="6:52" ht="25.85" customHeight="1" x14ac:dyDescent="0.3">
      <c r="H351" s="354"/>
      <c r="K351" s="329"/>
      <c r="S351" s="353"/>
    </row>
    <row r="353" spans="5:60" s="323" customFormat="1" ht="28.05" customHeight="1" thickBot="1" x14ac:dyDescent="0.35"/>
    <row r="354" spans="5:60" s="322" customFormat="1" ht="30.05" customHeight="1" thickBot="1" x14ac:dyDescent="0.35">
      <c r="E354" s="323" t="s">
        <v>379</v>
      </c>
      <c r="F354" s="278" t="s">
        <v>358</v>
      </c>
      <c r="G354" s="221" t="s">
        <v>192</v>
      </c>
      <c r="H354" s="221" t="s">
        <v>317</v>
      </c>
      <c r="I354" s="221" t="s">
        <v>319</v>
      </c>
      <c r="J354" s="359" t="s">
        <v>1888</v>
      </c>
      <c r="K354" s="221" t="s">
        <v>225</v>
      </c>
      <c r="L354" s="269" t="s">
        <v>2577</v>
      </c>
      <c r="M354" s="295" t="s">
        <v>287</v>
      </c>
      <c r="N354" s="295" t="s">
        <v>2553</v>
      </c>
      <c r="O354" s="295" t="s">
        <v>349</v>
      </c>
      <c r="T354" s="160" t="s">
        <v>1922</v>
      </c>
      <c r="U354" s="160" t="str">
        <f>E354</f>
        <v>FACTURES</v>
      </c>
      <c r="V354" s="160" t="s">
        <v>2088</v>
      </c>
      <c r="W354" s="221" t="s">
        <v>192</v>
      </c>
      <c r="X354" s="360" t="s">
        <v>2020</v>
      </c>
      <c r="Y354" s="221" t="s">
        <v>317</v>
      </c>
      <c r="Z354" s="360" t="s">
        <v>2020</v>
      </c>
      <c r="AA354" s="221" t="s">
        <v>319</v>
      </c>
      <c r="AB354" s="360" t="s">
        <v>2020</v>
      </c>
      <c r="AC354" s="359" t="s">
        <v>1888</v>
      </c>
      <c r="AD354" s="360" t="s">
        <v>2020</v>
      </c>
      <c r="AE354" s="221" t="s">
        <v>225</v>
      </c>
      <c r="AF354" s="360" t="s">
        <v>2020</v>
      </c>
      <c r="AG354" s="269" t="s">
        <v>2577</v>
      </c>
      <c r="AH354" s="360" t="s">
        <v>2020</v>
      </c>
      <c r="AI354" s="295" t="s">
        <v>287</v>
      </c>
      <c r="AJ354" s="360" t="s">
        <v>2020</v>
      </c>
      <c r="AK354" s="295" t="s">
        <v>2553</v>
      </c>
      <c r="AL354" s="360" t="s">
        <v>2020</v>
      </c>
      <c r="AM354" s="295" t="s">
        <v>349</v>
      </c>
      <c r="AN354" s="360" t="s">
        <v>2089</v>
      </c>
      <c r="AO354" s="221" t="s">
        <v>192</v>
      </c>
      <c r="AP354" s="360" t="s">
        <v>2091</v>
      </c>
      <c r="AQ354" s="221" t="s">
        <v>317</v>
      </c>
      <c r="AR354" s="360" t="s">
        <v>2091</v>
      </c>
      <c r="AS354" s="221" t="s">
        <v>319</v>
      </c>
      <c r="AT354" s="360" t="s">
        <v>2093</v>
      </c>
      <c r="AU354" s="359" t="s">
        <v>1888</v>
      </c>
      <c r="AV354" s="360" t="s">
        <v>2090</v>
      </c>
      <c r="AW354" s="221" t="s">
        <v>225</v>
      </c>
      <c r="AX354" s="360" t="s">
        <v>2093</v>
      </c>
      <c r="AY354" s="269" t="s">
        <v>359</v>
      </c>
      <c r="AZ354" s="360" t="s">
        <v>2020</v>
      </c>
      <c r="BA354" s="295" t="s">
        <v>287</v>
      </c>
      <c r="BB354" s="360" t="s">
        <v>2020</v>
      </c>
      <c r="BC354" s="295" t="s">
        <v>11</v>
      </c>
      <c r="BD354" s="360" t="s">
        <v>2020</v>
      </c>
      <c r="BE354" s="295" t="s">
        <v>349</v>
      </c>
      <c r="BF354" s="160" t="s">
        <v>2021</v>
      </c>
    </row>
    <row r="355" spans="5:60" ht="20.05" customHeight="1" thickBot="1" x14ac:dyDescent="0.35">
      <c r="F355" s="160">
        <v>1</v>
      </c>
      <c r="G355" s="160" t="str">
        <f t="shared" ref="G355:G368" si="176">IF((DAY(_xlfn.XLOOKUP(O355,F$32:F$54,G$32:G$54)))&lt;10,IF((MONTH(_xlfn.XLOOKUP(O355,F$32:F$54,G$32:G$54)))&lt;10,"0"&amp;DAY(_xlfn.XLOOKUP(O355,F$32:F$54,G$32:G$54))&amp;"0"&amp;MONTH(_xlfn.XLOOKUP(O355,F$32:F$54,G$32:G$54))&amp;MID(YEAR(_xlfn.XLOOKUP(O355,F$32:F$54,G$32:G$54)),3,2),"0"&amp;DAY(_xlfn.XLOOKUP(O355,F$32:F$54,G$32:G$54))&amp;MONTH(_xlfn.XLOOKUP(O355,F$32:F$54,G$32:G$54))&amp;MID(YEAR(_xlfn.XLOOKUP(O355,F$32:F$54,G$32:G$54)),3,2)),IF((MONTH(_xlfn.XLOOKUP(O355,F$32:F$54,G$32:G$54)))&lt;10,DAY(_xlfn.XLOOKUP(O355,F$32:F$54,G$32:G$54))&amp;"0"&amp;MONTH(_xlfn.XLOOKUP(O355,F$32:F$54,G$32:G$54))&amp;MID(YEAR(_xlfn.XLOOKUP(O355,F$32:F$54,G$32:G$54)),3,2),DAY(_xlfn.XLOOKUP(O355,F$32:F$54,G$32:G$54))&amp;MONTH(_xlfn.XLOOKUP(O355,F$32:F$54,G$32:G$54))&amp;MID(YEAR(_xlfn.XLOOKUP(O355,F$32:F$54,G$32:G$54)),3,2)))&amp;"-Fact-"&amp;UPPER(SUBSTITUTE(_xlfn.XLOOKUP(M355,F$117:F$124,G$117:G$124)," ",""))&amp;"-"&amp;F355</f>
        <v>101222-Fact-MUNICIPALITÉDEPARIS11E-PROJ231-1</v>
      </c>
      <c r="H355" s="160" t="str">
        <f>G355</f>
        <v>101222-Fact-MUNICIPALITÉDEPARIS11E-PROJ231-1</v>
      </c>
      <c r="I355" s="329">
        <f t="shared" ref="I355:I368" si="177">_xlfn.XLOOKUP(O355,F$32:F$54,G$32:G$54)</f>
        <v>44905</v>
      </c>
      <c r="J355" s="160">
        <v>1</v>
      </c>
      <c r="K355" s="160" t="s">
        <v>1808</v>
      </c>
      <c r="L355" s="160">
        <f t="shared" ref="L355:L368" si="178">IF(J355=1,(_xlfn.XLOOKUP(_xlfn.XLOOKUP(M355,F$117:F$124,P$117:P$124),F$66:F$74,L$66:L$74))*30%,(_xlfn.XLOOKUP(_xlfn.XLOOKUP(M355,F$117:F$124,P$117:P$124),F$66:F$74,L$66:L$74))*70%)</f>
        <v>1800</v>
      </c>
      <c r="M355" s="160">
        <v>1</v>
      </c>
      <c r="N355" s="160">
        <v>1</v>
      </c>
      <c r="O355" s="160">
        <v>3</v>
      </c>
      <c r="S355" s="353"/>
      <c r="T355" s="160" t="s">
        <v>1922</v>
      </c>
      <c r="U355" s="160" t="str">
        <f>U354</f>
        <v>FACTURES</v>
      </c>
      <c r="V355" s="160" t="s">
        <v>2088</v>
      </c>
      <c r="W355" s="221" t="s">
        <v>192</v>
      </c>
      <c r="X355" s="360" t="s">
        <v>2020</v>
      </c>
      <c r="Y355" s="221" t="s">
        <v>317</v>
      </c>
      <c r="Z355" s="360" t="s">
        <v>2020</v>
      </c>
      <c r="AA355" s="221" t="s">
        <v>319</v>
      </c>
      <c r="AB355" s="360" t="s">
        <v>2020</v>
      </c>
      <c r="AC355" s="359" t="s">
        <v>1888</v>
      </c>
      <c r="AD355" s="360" t="s">
        <v>2020</v>
      </c>
      <c r="AE355" s="221" t="s">
        <v>225</v>
      </c>
      <c r="AF355" s="360" t="s">
        <v>2020</v>
      </c>
      <c r="AG355" s="269" t="s">
        <v>2577</v>
      </c>
      <c r="AH355" s="360" t="s">
        <v>2020</v>
      </c>
      <c r="AI355" s="295" t="s">
        <v>287</v>
      </c>
      <c r="AJ355" s="360" t="s">
        <v>2020</v>
      </c>
      <c r="AK355" s="295" t="s">
        <v>2553</v>
      </c>
      <c r="AL355" s="360" t="s">
        <v>2020</v>
      </c>
      <c r="AM355" s="295" t="s">
        <v>349</v>
      </c>
      <c r="AN355" s="360" t="s">
        <v>2089</v>
      </c>
      <c r="AO355" s="160" t="str">
        <f>G355</f>
        <v>101222-Fact-MUNICIPALITÉDEPARIS11E-PROJ231-1</v>
      </c>
      <c r="AP355" s="360" t="s">
        <v>2091</v>
      </c>
      <c r="AQ355" s="160" t="str">
        <f>H355</f>
        <v>101222-Fact-MUNICIPALITÉDEPARIS11E-PROJ231-1</v>
      </c>
      <c r="AR355" s="360" t="s">
        <v>2091</v>
      </c>
      <c r="AS355" s="329" t="str">
        <f ca="1">IF(AND(I355&lt;=TODAY(),I355&lt;&gt;""),TEXT(I355,"aaaa/mm/jj"),"")</f>
        <v>2022/12/10</v>
      </c>
      <c r="AT355" s="360" t="s">
        <v>2093</v>
      </c>
      <c r="AU355" s="160">
        <f>J355</f>
        <v>1</v>
      </c>
      <c r="AV355" s="360" t="s">
        <v>2090</v>
      </c>
      <c r="AW355" s="160" t="str">
        <f>K355</f>
        <v>Forfait</v>
      </c>
      <c r="AX355" s="360" t="s">
        <v>2093</v>
      </c>
      <c r="AY355" s="160">
        <f>L355</f>
        <v>1800</v>
      </c>
      <c r="AZ355" s="360" t="s">
        <v>2020</v>
      </c>
      <c r="BA355" s="160">
        <f>M355</f>
        <v>1</v>
      </c>
      <c r="BB355" s="360" t="s">
        <v>2020</v>
      </c>
      <c r="BC355" s="160">
        <f>N355</f>
        <v>1</v>
      </c>
      <c r="BD355" s="360" t="s">
        <v>2020</v>
      </c>
      <c r="BE355" s="160">
        <f>O355</f>
        <v>3</v>
      </c>
      <c r="BF355" s="160" t="s">
        <v>2021</v>
      </c>
      <c r="BG355" s="160" t="str">
        <f ca="1">T355&amp;U355&amp;V355&amp;W355&amp;X355&amp;Y355&amp;Z355&amp;AA355&amp;AB355&amp;AC355&amp;AD355&amp;AE355&amp;AF355&amp;AG355&amp;AH355&amp;AI355&amp;AJ355&amp;AK355&amp;AL355&amp;AM355&amp;AN355&amp;AO355&amp;AP355&amp;AQ355&amp;AR355&amp;AS355&amp;AT355&amp;AU355&amp;AV355&amp;AW355&amp;AX355&amp;AY355&amp;AZ355&amp;BA355&amp;BB355&amp;BC355&amp;BD355&amp;BE355&amp;BF355</f>
        <v>INSERT INTO FACTURES(numFact,nameFact,dateAcquittalFact,isAccount,typeFact,montantHtFact,idProjet,idTva,idDeGeneration) VALUES ('101222-Fact-MUNICIPALITÉDEPARIS11E-PROJ231-1','101222-Fact-MUNICIPALITÉDEPARIS11E-PROJ231-1','2022/12/10',1,'Forfait',1800,1,1,3);</v>
      </c>
      <c r="BH355" s="160" t="s">
        <v>2578</v>
      </c>
    </row>
    <row r="356" spans="5:60" ht="20.05" customHeight="1" thickBot="1" x14ac:dyDescent="0.35">
      <c r="F356" s="160">
        <f>F355+1</f>
        <v>2</v>
      </c>
      <c r="G356" s="160" t="str">
        <f t="shared" si="176"/>
        <v>170123-Fact-MUNICIPALITÉDEPARIS11E-PROJ231-2</v>
      </c>
      <c r="H356" s="160" t="str">
        <f t="shared" ref="H356:H368" si="179">G356</f>
        <v>170123-Fact-MUNICIPALITÉDEPARIS11E-PROJ231-2</v>
      </c>
      <c r="I356" s="329">
        <f t="shared" si="177"/>
        <v>44943</v>
      </c>
      <c r="J356" s="160">
        <v>0</v>
      </c>
      <c r="K356" s="160" t="s">
        <v>1808</v>
      </c>
      <c r="L356" s="160">
        <f t="shared" si="178"/>
        <v>4200</v>
      </c>
      <c r="M356" s="160">
        <v>1</v>
      </c>
      <c r="N356" s="160">
        <v>1</v>
      </c>
      <c r="O356" s="160">
        <v>6</v>
      </c>
      <c r="S356" s="353"/>
      <c r="T356" s="160" t="s">
        <v>1922</v>
      </c>
      <c r="U356" s="160" t="str">
        <f t="shared" ref="U356:U368" si="180">U355</f>
        <v>FACTURES</v>
      </c>
      <c r="V356" s="160" t="s">
        <v>2088</v>
      </c>
      <c r="W356" s="221" t="s">
        <v>192</v>
      </c>
      <c r="X356" s="360" t="s">
        <v>2020</v>
      </c>
      <c r="Y356" s="221" t="s">
        <v>317</v>
      </c>
      <c r="Z356" s="360" t="s">
        <v>2020</v>
      </c>
      <c r="AA356" s="221" t="s">
        <v>319</v>
      </c>
      <c r="AB356" s="360" t="s">
        <v>2020</v>
      </c>
      <c r="AC356" s="359" t="s">
        <v>1888</v>
      </c>
      <c r="AD356" s="360" t="s">
        <v>2020</v>
      </c>
      <c r="AE356" s="221" t="s">
        <v>225</v>
      </c>
      <c r="AF356" s="360" t="s">
        <v>2020</v>
      </c>
      <c r="AG356" s="269" t="s">
        <v>2577</v>
      </c>
      <c r="AH356" s="360" t="s">
        <v>2020</v>
      </c>
      <c r="AI356" s="295" t="s">
        <v>287</v>
      </c>
      <c r="AJ356" s="360" t="s">
        <v>2020</v>
      </c>
      <c r="AK356" s="295" t="s">
        <v>2553</v>
      </c>
      <c r="AL356" s="360" t="s">
        <v>2020</v>
      </c>
      <c r="AM356" s="295" t="s">
        <v>349</v>
      </c>
      <c r="AN356" s="360" t="s">
        <v>2089</v>
      </c>
      <c r="AO356" s="160" t="str">
        <f t="shared" ref="AO356:AO368" si="181">G356</f>
        <v>170123-Fact-MUNICIPALITÉDEPARIS11E-PROJ231-2</v>
      </c>
      <c r="AP356" s="360" t="s">
        <v>2091</v>
      </c>
      <c r="AQ356" s="160" t="str">
        <f t="shared" ref="AQ356:AQ368" si="182">H356</f>
        <v>170123-Fact-MUNICIPALITÉDEPARIS11E-PROJ231-2</v>
      </c>
      <c r="AR356" s="360" t="s">
        <v>2091</v>
      </c>
      <c r="AS356" s="329" t="str">
        <f t="shared" ref="AS356:AS366" ca="1" si="183">IF(AND(I356&lt;=TODAY(),I356&lt;&gt;""),TEXT(I356,"aaaa/mm/jj"),"")</f>
        <v>2023/01/17</v>
      </c>
      <c r="AT356" s="360" t="s">
        <v>2093</v>
      </c>
      <c r="AU356" s="160">
        <f t="shared" ref="AU356:AU368" si="184">J356</f>
        <v>0</v>
      </c>
      <c r="AV356" s="360" t="s">
        <v>2090</v>
      </c>
      <c r="AW356" s="160" t="str">
        <f t="shared" ref="AW356:AW368" si="185">K356</f>
        <v>Forfait</v>
      </c>
      <c r="AX356" s="360" t="s">
        <v>2093</v>
      </c>
      <c r="AY356" s="160">
        <f t="shared" ref="AY356:AY368" si="186">L356</f>
        <v>4200</v>
      </c>
      <c r="AZ356" s="360" t="s">
        <v>2020</v>
      </c>
      <c r="BA356" s="160">
        <f t="shared" ref="BA356:BA368" si="187">M356</f>
        <v>1</v>
      </c>
      <c r="BB356" s="360" t="s">
        <v>2020</v>
      </c>
      <c r="BC356" s="160">
        <f t="shared" ref="BC356:BC368" si="188">N356</f>
        <v>1</v>
      </c>
      <c r="BD356" s="360" t="s">
        <v>2020</v>
      </c>
      <c r="BE356" s="160">
        <f t="shared" ref="BE356:BE368" si="189">O356</f>
        <v>6</v>
      </c>
      <c r="BF356" s="160" t="s">
        <v>2021</v>
      </c>
      <c r="BG356" s="160" t="str">
        <f t="shared" ref="BG356:BG368" ca="1" si="190">T356&amp;U356&amp;V356&amp;W356&amp;X356&amp;Y356&amp;Z356&amp;AA356&amp;AB356&amp;AC356&amp;AD356&amp;AE356&amp;AF356&amp;AG356&amp;AH356&amp;AI356&amp;AJ356&amp;AK356&amp;AL356&amp;AM356&amp;AN356&amp;AO356&amp;AP356&amp;AQ356&amp;AR356&amp;AS356&amp;AT356&amp;AU356&amp;AV356&amp;AW356&amp;AX356&amp;AY356&amp;AZ356&amp;BA356&amp;BB356&amp;BC356&amp;BD356&amp;BE356&amp;BF356</f>
        <v>INSERT INTO FACTURES(numFact,nameFact,dateAcquittalFact,isAccount,typeFact,montantHtFact,idProjet,idTva,idDeGeneration) VALUES ('170123-Fact-MUNICIPALITÉDEPARIS11E-PROJ231-2','170123-Fact-MUNICIPALITÉDEPARIS11E-PROJ231-2','2023/01/17',0,'Forfait',4200,1,1,6);</v>
      </c>
      <c r="BH356" s="160" t="s">
        <v>2579</v>
      </c>
    </row>
    <row r="357" spans="5:60" ht="20.05" customHeight="1" thickBot="1" x14ac:dyDescent="0.35">
      <c r="F357" s="160">
        <f t="shared" ref="F357:F368" si="191">F356+1</f>
        <v>3</v>
      </c>
      <c r="G357" s="160" t="str">
        <f t="shared" si="176"/>
        <v>020123-Fact-BOISDELUX-PROJ232-3</v>
      </c>
      <c r="H357" s="160" t="str">
        <f t="shared" si="179"/>
        <v>020123-Fact-BOISDELUX-PROJ232-3</v>
      </c>
      <c r="I357" s="329">
        <f t="shared" si="177"/>
        <v>44928</v>
      </c>
      <c r="J357" s="160">
        <v>1</v>
      </c>
      <c r="K357" s="160" t="s">
        <v>1816</v>
      </c>
      <c r="L357" s="160">
        <f t="shared" si="178"/>
        <v>1950</v>
      </c>
      <c r="M357" s="160">
        <v>2</v>
      </c>
      <c r="N357" s="160">
        <v>1</v>
      </c>
      <c r="O357" s="160">
        <v>4</v>
      </c>
      <c r="S357" s="353"/>
      <c r="T357" s="160" t="s">
        <v>1922</v>
      </c>
      <c r="U357" s="160" t="str">
        <f t="shared" si="180"/>
        <v>FACTURES</v>
      </c>
      <c r="V357" s="160" t="s">
        <v>2088</v>
      </c>
      <c r="W357" s="221" t="s">
        <v>192</v>
      </c>
      <c r="X357" s="360" t="s">
        <v>2020</v>
      </c>
      <c r="Y357" s="221" t="s">
        <v>317</v>
      </c>
      <c r="Z357" s="360" t="s">
        <v>2020</v>
      </c>
      <c r="AA357" s="221" t="s">
        <v>319</v>
      </c>
      <c r="AB357" s="360" t="s">
        <v>2020</v>
      </c>
      <c r="AC357" s="359" t="s">
        <v>1888</v>
      </c>
      <c r="AD357" s="360" t="s">
        <v>2020</v>
      </c>
      <c r="AE357" s="221" t="s">
        <v>225</v>
      </c>
      <c r="AF357" s="360" t="s">
        <v>2020</v>
      </c>
      <c r="AG357" s="269" t="s">
        <v>2577</v>
      </c>
      <c r="AH357" s="360" t="s">
        <v>2020</v>
      </c>
      <c r="AI357" s="295" t="s">
        <v>287</v>
      </c>
      <c r="AJ357" s="360" t="s">
        <v>2020</v>
      </c>
      <c r="AK357" s="295" t="s">
        <v>2553</v>
      </c>
      <c r="AL357" s="360" t="s">
        <v>2020</v>
      </c>
      <c r="AM357" s="295" t="s">
        <v>349</v>
      </c>
      <c r="AN357" s="360" t="s">
        <v>2089</v>
      </c>
      <c r="AO357" s="160" t="str">
        <f t="shared" si="181"/>
        <v>020123-Fact-BOISDELUX-PROJ232-3</v>
      </c>
      <c r="AP357" s="360" t="s">
        <v>2091</v>
      </c>
      <c r="AQ357" s="160" t="str">
        <f t="shared" si="182"/>
        <v>020123-Fact-BOISDELUX-PROJ232-3</v>
      </c>
      <c r="AR357" s="360" t="s">
        <v>2091</v>
      </c>
      <c r="AS357" s="329" t="str">
        <f t="shared" ca="1" si="183"/>
        <v>2023/01/02</v>
      </c>
      <c r="AT357" s="360" t="s">
        <v>2093</v>
      </c>
      <c r="AU357" s="160">
        <f t="shared" si="184"/>
        <v>1</v>
      </c>
      <c r="AV357" s="360" t="s">
        <v>2090</v>
      </c>
      <c r="AW357" s="160" t="str">
        <f t="shared" si="185"/>
        <v>QPU</v>
      </c>
      <c r="AX357" s="360" t="s">
        <v>2093</v>
      </c>
      <c r="AY357" s="160">
        <f t="shared" si="186"/>
        <v>1950</v>
      </c>
      <c r="AZ357" s="360" t="s">
        <v>2020</v>
      </c>
      <c r="BA357" s="160">
        <f t="shared" si="187"/>
        <v>2</v>
      </c>
      <c r="BB357" s="360" t="s">
        <v>2020</v>
      </c>
      <c r="BC357" s="160">
        <f t="shared" si="188"/>
        <v>1</v>
      </c>
      <c r="BD357" s="360" t="s">
        <v>2020</v>
      </c>
      <c r="BE357" s="160">
        <f t="shared" si="189"/>
        <v>4</v>
      </c>
      <c r="BF357" s="160" t="s">
        <v>2021</v>
      </c>
      <c r="BG357" s="160" t="str">
        <f t="shared" ca="1" si="190"/>
        <v>INSERT INTO FACTURES(numFact,nameFact,dateAcquittalFact,isAccount,typeFact,montantHtFact,idProjet,idTva,idDeGeneration) VALUES ('020123-Fact-BOISDELUX-PROJ232-3','020123-Fact-BOISDELUX-PROJ232-3','2023/01/02',1,'QPU',1950,2,1,4);</v>
      </c>
      <c r="BH357" s="160" t="s">
        <v>2580</v>
      </c>
    </row>
    <row r="358" spans="5:60" ht="20.05" customHeight="1" thickBot="1" x14ac:dyDescent="0.35">
      <c r="F358" s="160">
        <f t="shared" si="191"/>
        <v>4</v>
      </c>
      <c r="G358" s="160" t="str">
        <f t="shared" si="176"/>
        <v>030223-Fact-BOISDELUX-PROJ232-4</v>
      </c>
      <c r="H358" s="160" t="str">
        <f t="shared" si="179"/>
        <v>030223-Fact-BOISDELUX-PROJ232-4</v>
      </c>
      <c r="I358" s="329">
        <f t="shared" si="177"/>
        <v>44960</v>
      </c>
      <c r="J358" s="160">
        <v>0</v>
      </c>
      <c r="K358" s="160" t="s">
        <v>1816</v>
      </c>
      <c r="L358" s="160">
        <f t="shared" si="178"/>
        <v>4550</v>
      </c>
      <c r="M358" s="160">
        <v>2</v>
      </c>
      <c r="N358" s="160">
        <v>1</v>
      </c>
      <c r="O358" s="160">
        <v>9</v>
      </c>
      <c r="S358" s="353"/>
      <c r="T358" s="160" t="s">
        <v>1922</v>
      </c>
      <c r="U358" s="160" t="str">
        <f t="shared" si="180"/>
        <v>FACTURES</v>
      </c>
      <c r="V358" s="160" t="s">
        <v>2088</v>
      </c>
      <c r="W358" s="221" t="s">
        <v>192</v>
      </c>
      <c r="X358" s="360" t="s">
        <v>2020</v>
      </c>
      <c r="Y358" s="221" t="s">
        <v>317</v>
      </c>
      <c r="Z358" s="360" t="s">
        <v>2020</v>
      </c>
      <c r="AA358" s="221" t="s">
        <v>319</v>
      </c>
      <c r="AB358" s="360" t="s">
        <v>2020</v>
      </c>
      <c r="AC358" s="359" t="s">
        <v>1888</v>
      </c>
      <c r="AD358" s="360" t="s">
        <v>2020</v>
      </c>
      <c r="AE358" s="221" t="s">
        <v>225</v>
      </c>
      <c r="AF358" s="360" t="s">
        <v>2020</v>
      </c>
      <c r="AG358" s="269" t="s">
        <v>2577</v>
      </c>
      <c r="AH358" s="360" t="s">
        <v>2020</v>
      </c>
      <c r="AI358" s="295" t="s">
        <v>287</v>
      </c>
      <c r="AJ358" s="360" t="s">
        <v>2020</v>
      </c>
      <c r="AK358" s="295" t="s">
        <v>2553</v>
      </c>
      <c r="AL358" s="360" t="s">
        <v>2020</v>
      </c>
      <c r="AM358" s="295" t="s">
        <v>349</v>
      </c>
      <c r="AN358" s="360" t="s">
        <v>2089</v>
      </c>
      <c r="AO358" s="160" t="str">
        <f t="shared" si="181"/>
        <v>030223-Fact-BOISDELUX-PROJ232-4</v>
      </c>
      <c r="AP358" s="360" t="s">
        <v>2091</v>
      </c>
      <c r="AQ358" s="160" t="str">
        <f t="shared" si="182"/>
        <v>030223-Fact-BOISDELUX-PROJ232-4</v>
      </c>
      <c r="AR358" s="360" t="s">
        <v>2091</v>
      </c>
      <c r="AS358" s="329" t="str">
        <f t="shared" ca="1" si="183"/>
        <v>2023/02/03</v>
      </c>
      <c r="AT358" s="360" t="s">
        <v>2093</v>
      </c>
      <c r="AU358" s="160">
        <f t="shared" si="184"/>
        <v>0</v>
      </c>
      <c r="AV358" s="360" t="s">
        <v>2090</v>
      </c>
      <c r="AW358" s="160" t="str">
        <f t="shared" si="185"/>
        <v>QPU</v>
      </c>
      <c r="AX358" s="360" t="s">
        <v>2093</v>
      </c>
      <c r="AY358" s="160">
        <f t="shared" si="186"/>
        <v>4550</v>
      </c>
      <c r="AZ358" s="360" t="s">
        <v>2020</v>
      </c>
      <c r="BA358" s="160">
        <f t="shared" si="187"/>
        <v>2</v>
      </c>
      <c r="BB358" s="360" t="s">
        <v>2020</v>
      </c>
      <c r="BC358" s="160">
        <f t="shared" si="188"/>
        <v>1</v>
      </c>
      <c r="BD358" s="360" t="s">
        <v>2020</v>
      </c>
      <c r="BE358" s="160">
        <f t="shared" si="189"/>
        <v>9</v>
      </c>
      <c r="BF358" s="160" t="s">
        <v>2021</v>
      </c>
      <c r="BG358" s="160" t="str">
        <f t="shared" ca="1" si="190"/>
        <v>INSERT INTO FACTURES(numFact,nameFact,dateAcquittalFact,isAccount,typeFact,montantHtFact,idProjet,idTva,idDeGeneration) VALUES ('030223-Fact-BOISDELUX-PROJ232-4','030223-Fact-BOISDELUX-PROJ232-4','2023/02/03',0,'QPU',4550,2,1,9);</v>
      </c>
      <c r="BH358" s="160" t="s">
        <v>2581</v>
      </c>
    </row>
    <row r="359" spans="5:60" ht="20.05" customHeight="1" thickBot="1" x14ac:dyDescent="0.35">
      <c r="F359" s="160">
        <f t="shared" si="191"/>
        <v>5</v>
      </c>
      <c r="G359" s="160" t="str">
        <f t="shared" si="176"/>
        <v>200123-Fact-RAMENETAFRAISE-PROJ233-5</v>
      </c>
      <c r="H359" s="160" t="str">
        <f t="shared" si="179"/>
        <v>200123-Fact-RAMENETAFRAISE-PROJ233-5</v>
      </c>
      <c r="I359" s="329">
        <f t="shared" si="177"/>
        <v>44946</v>
      </c>
      <c r="J359" s="160">
        <v>1</v>
      </c>
      <c r="K359" s="160" t="s">
        <v>1816</v>
      </c>
      <c r="L359" s="160">
        <f t="shared" si="178"/>
        <v>1890</v>
      </c>
      <c r="M359" s="160">
        <v>3</v>
      </c>
      <c r="N359" s="160">
        <v>1</v>
      </c>
      <c r="O359" s="160">
        <v>7</v>
      </c>
      <c r="S359" s="353"/>
      <c r="T359" s="160" t="s">
        <v>1922</v>
      </c>
      <c r="U359" s="160" t="str">
        <f t="shared" si="180"/>
        <v>FACTURES</v>
      </c>
      <c r="V359" s="160" t="s">
        <v>2088</v>
      </c>
      <c r="W359" s="221" t="s">
        <v>192</v>
      </c>
      <c r="X359" s="360" t="s">
        <v>2020</v>
      </c>
      <c r="Y359" s="221" t="s">
        <v>317</v>
      </c>
      <c r="Z359" s="360" t="s">
        <v>2020</v>
      </c>
      <c r="AA359" s="221" t="s">
        <v>319</v>
      </c>
      <c r="AB359" s="360" t="s">
        <v>2020</v>
      </c>
      <c r="AC359" s="359" t="s">
        <v>1888</v>
      </c>
      <c r="AD359" s="360" t="s">
        <v>2020</v>
      </c>
      <c r="AE359" s="221" t="s">
        <v>225</v>
      </c>
      <c r="AF359" s="360" t="s">
        <v>2020</v>
      </c>
      <c r="AG359" s="269" t="s">
        <v>2577</v>
      </c>
      <c r="AH359" s="360" t="s">
        <v>2020</v>
      </c>
      <c r="AI359" s="295" t="s">
        <v>287</v>
      </c>
      <c r="AJ359" s="360" t="s">
        <v>2020</v>
      </c>
      <c r="AK359" s="295" t="s">
        <v>2553</v>
      </c>
      <c r="AL359" s="360" t="s">
        <v>2020</v>
      </c>
      <c r="AM359" s="295" t="s">
        <v>349</v>
      </c>
      <c r="AN359" s="360" t="s">
        <v>2089</v>
      </c>
      <c r="AO359" s="160" t="str">
        <f t="shared" si="181"/>
        <v>200123-Fact-RAMENETAFRAISE-PROJ233-5</v>
      </c>
      <c r="AP359" s="360" t="s">
        <v>2091</v>
      </c>
      <c r="AQ359" s="160" t="str">
        <f t="shared" si="182"/>
        <v>200123-Fact-RAMENETAFRAISE-PROJ233-5</v>
      </c>
      <c r="AR359" s="360" t="s">
        <v>2091</v>
      </c>
      <c r="AS359" s="329" t="str">
        <f t="shared" ca="1" si="183"/>
        <v>2023/01/20</v>
      </c>
      <c r="AT359" s="360" t="s">
        <v>2093</v>
      </c>
      <c r="AU359" s="160">
        <f t="shared" si="184"/>
        <v>1</v>
      </c>
      <c r="AV359" s="360" t="s">
        <v>2090</v>
      </c>
      <c r="AW359" s="160" t="str">
        <f t="shared" si="185"/>
        <v>QPU</v>
      </c>
      <c r="AX359" s="360" t="s">
        <v>2093</v>
      </c>
      <c r="AY359" s="160">
        <f t="shared" si="186"/>
        <v>1890</v>
      </c>
      <c r="AZ359" s="360" t="s">
        <v>2020</v>
      </c>
      <c r="BA359" s="160">
        <f t="shared" si="187"/>
        <v>3</v>
      </c>
      <c r="BB359" s="360" t="s">
        <v>2020</v>
      </c>
      <c r="BC359" s="160">
        <f t="shared" si="188"/>
        <v>1</v>
      </c>
      <c r="BD359" s="360" t="s">
        <v>2020</v>
      </c>
      <c r="BE359" s="160">
        <f t="shared" si="189"/>
        <v>7</v>
      </c>
      <c r="BF359" s="160" t="s">
        <v>2021</v>
      </c>
      <c r="BG359" s="160" t="str">
        <f t="shared" ca="1" si="190"/>
        <v>INSERT INTO FACTURES(numFact,nameFact,dateAcquittalFact,isAccount,typeFact,montantHtFact,idProjet,idTva,idDeGeneration) VALUES ('200123-Fact-RAMENETAFRAISE-PROJ233-5','200123-Fact-RAMENETAFRAISE-PROJ233-5','2023/01/20',1,'QPU',1890,3,1,7);</v>
      </c>
      <c r="BH359" s="160" t="s">
        <v>2582</v>
      </c>
    </row>
    <row r="360" spans="5:60" ht="20.05" customHeight="1" thickBot="1" x14ac:dyDescent="0.35">
      <c r="F360" s="160">
        <f t="shared" si="191"/>
        <v>6</v>
      </c>
      <c r="G360" s="160" t="str">
        <f t="shared" si="176"/>
        <v>240223-Fact-RAMENETAFRAISE-PROJ233-6</v>
      </c>
      <c r="H360" s="160" t="str">
        <f t="shared" si="179"/>
        <v>240223-Fact-RAMENETAFRAISE-PROJ233-6</v>
      </c>
      <c r="I360" s="329">
        <f t="shared" si="177"/>
        <v>44981</v>
      </c>
      <c r="J360" s="160">
        <v>0</v>
      </c>
      <c r="K360" s="160" t="s">
        <v>1816</v>
      </c>
      <c r="L360" s="160">
        <f t="shared" si="178"/>
        <v>4410</v>
      </c>
      <c r="M360" s="160">
        <v>3</v>
      </c>
      <c r="N360" s="160">
        <v>1</v>
      </c>
      <c r="O360" s="160">
        <v>12</v>
      </c>
      <c r="S360" s="353"/>
      <c r="T360" s="160" t="s">
        <v>1922</v>
      </c>
      <c r="U360" s="160" t="str">
        <f t="shared" si="180"/>
        <v>FACTURES</v>
      </c>
      <c r="V360" s="160" t="s">
        <v>2088</v>
      </c>
      <c r="W360" s="221" t="s">
        <v>192</v>
      </c>
      <c r="X360" s="360" t="s">
        <v>2020</v>
      </c>
      <c r="Y360" s="221" t="s">
        <v>317</v>
      </c>
      <c r="Z360" s="360" t="s">
        <v>2020</v>
      </c>
      <c r="AA360" s="221" t="s">
        <v>319</v>
      </c>
      <c r="AB360" s="360" t="s">
        <v>2020</v>
      </c>
      <c r="AC360" s="359" t="s">
        <v>1888</v>
      </c>
      <c r="AD360" s="360" t="s">
        <v>2020</v>
      </c>
      <c r="AE360" s="221" t="s">
        <v>225</v>
      </c>
      <c r="AF360" s="360" t="s">
        <v>2020</v>
      </c>
      <c r="AG360" s="269" t="s">
        <v>2577</v>
      </c>
      <c r="AH360" s="360" t="s">
        <v>2020</v>
      </c>
      <c r="AI360" s="295" t="s">
        <v>287</v>
      </c>
      <c r="AJ360" s="360" t="s">
        <v>2020</v>
      </c>
      <c r="AK360" s="295" t="s">
        <v>2553</v>
      </c>
      <c r="AL360" s="360" t="s">
        <v>2020</v>
      </c>
      <c r="AM360" s="295" t="s">
        <v>349</v>
      </c>
      <c r="AN360" s="360" t="s">
        <v>2089</v>
      </c>
      <c r="AO360" s="160" t="str">
        <f t="shared" si="181"/>
        <v>240223-Fact-RAMENETAFRAISE-PROJ233-6</v>
      </c>
      <c r="AP360" s="360" t="s">
        <v>2091</v>
      </c>
      <c r="AQ360" s="160" t="str">
        <f t="shared" si="182"/>
        <v>240223-Fact-RAMENETAFRAISE-PROJ233-6</v>
      </c>
      <c r="AR360" s="360" t="s">
        <v>2091</v>
      </c>
      <c r="AS360" s="329" t="str">
        <f t="shared" ca="1" si="183"/>
        <v>2023/02/24</v>
      </c>
      <c r="AT360" s="360" t="s">
        <v>2093</v>
      </c>
      <c r="AU360" s="160">
        <f t="shared" si="184"/>
        <v>0</v>
      </c>
      <c r="AV360" s="360" t="s">
        <v>2090</v>
      </c>
      <c r="AW360" s="160" t="str">
        <f t="shared" si="185"/>
        <v>QPU</v>
      </c>
      <c r="AX360" s="360" t="s">
        <v>2093</v>
      </c>
      <c r="AY360" s="160">
        <f t="shared" si="186"/>
        <v>4410</v>
      </c>
      <c r="AZ360" s="360" t="s">
        <v>2020</v>
      </c>
      <c r="BA360" s="160">
        <f t="shared" si="187"/>
        <v>3</v>
      </c>
      <c r="BB360" s="360" t="s">
        <v>2020</v>
      </c>
      <c r="BC360" s="160">
        <f t="shared" si="188"/>
        <v>1</v>
      </c>
      <c r="BD360" s="360" t="s">
        <v>2020</v>
      </c>
      <c r="BE360" s="160">
        <f t="shared" si="189"/>
        <v>12</v>
      </c>
      <c r="BF360" s="160" t="s">
        <v>2021</v>
      </c>
      <c r="BG360" s="160" t="str">
        <f t="shared" ca="1" si="190"/>
        <v>INSERT INTO FACTURES(numFact,nameFact,dateAcquittalFact,isAccount,typeFact,montantHtFact,idProjet,idTva,idDeGeneration) VALUES ('240223-Fact-RAMENETAFRAISE-PROJ233-6','240223-Fact-RAMENETAFRAISE-PROJ233-6','2023/02/24',0,'QPU',4410,3,1,12);</v>
      </c>
      <c r="BH360" s="160" t="s">
        <v>2583</v>
      </c>
    </row>
    <row r="361" spans="5:60" ht="20.05" customHeight="1" thickBot="1" x14ac:dyDescent="0.35">
      <c r="F361" s="160">
        <f t="shared" si="191"/>
        <v>7</v>
      </c>
      <c r="G361" s="160" t="str">
        <f t="shared" si="176"/>
        <v>150223-Fact-TAPUDFUITE-PROJ234-7</v>
      </c>
      <c r="H361" s="160" t="str">
        <f t="shared" si="179"/>
        <v>150223-Fact-TAPUDFUITE-PROJ234-7</v>
      </c>
      <c r="I361" s="329">
        <f t="shared" si="177"/>
        <v>44972</v>
      </c>
      <c r="J361" s="160">
        <v>1</v>
      </c>
      <c r="K361" s="160" t="s">
        <v>1816</v>
      </c>
      <c r="L361" s="160">
        <f t="shared" si="178"/>
        <v>3630</v>
      </c>
      <c r="M361" s="160">
        <v>4</v>
      </c>
      <c r="N361" s="160">
        <v>1</v>
      </c>
      <c r="O361" s="160">
        <v>10</v>
      </c>
      <c r="S361" s="353"/>
      <c r="T361" s="160" t="s">
        <v>1922</v>
      </c>
      <c r="U361" s="160" t="str">
        <f t="shared" si="180"/>
        <v>FACTURES</v>
      </c>
      <c r="V361" s="160" t="s">
        <v>2088</v>
      </c>
      <c r="W361" s="221" t="s">
        <v>192</v>
      </c>
      <c r="X361" s="360" t="s">
        <v>2020</v>
      </c>
      <c r="Y361" s="221" t="s">
        <v>317</v>
      </c>
      <c r="Z361" s="360" t="s">
        <v>2020</v>
      </c>
      <c r="AA361" s="221" t="s">
        <v>319</v>
      </c>
      <c r="AB361" s="360" t="s">
        <v>2020</v>
      </c>
      <c r="AC361" s="359" t="s">
        <v>1888</v>
      </c>
      <c r="AD361" s="360" t="s">
        <v>2020</v>
      </c>
      <c r="AE361" s="221" t="s">
        <v>225</v>
      </c>
      <c r="AF361" s="360" t="s">
        <v>2020</v>
      </c>
      <c r="AG361" s="269" t="s">
        <v>2577</v>
      </c>
      <c r="AH361" s="360" t="s">
        <v>2020</v>
      </c>
      <c r="AI361" s="295" t="s">
        <v>287</v>
      </c>
      <c r="AJ361" s="360" t="s">
        <v>2020</v>
      </c>
      <c r="AK361" s="295" t="s">
        <v>2553</v>
      </c>
      <c r="AL361" s="360" t="s">
        <v>2020</v>
      </c>
      <c r="AM361" s="295" t="s">
        <v>349</v>
      </c>
      <c r="AN361" s="360" t="s">
        <v>2089</v>
      </c>
      <c r="AO361" s="160" t="str">
        <f t="shared" si="181"/>
        <v>150223-Fact-TAPUDFUITE-PROJ234-7</v>
      </c>
      <c r="AP361" s="360" t="s">
        <v>2091</v>
      </c>
      <c r="AQ361" s="160" t="str">
        <f t="shared" si="182"/>
        <v>150223-Fact-TAPUDFUITE-PROJ234-7</v>
      </c>
      <c r="AR361" s="360" t="s">
        <v>2091</v>
      </c>
      <c r="AS361" s="329" t="str">
        <f t="shared" ca="1" si="183"/>
        <v>2023/02/15</v>
      </c>
      <c r="AT361" s="360" t="s">
        <v>2093</v>
      </c>
      <c r="AU361" s="160">
        <f t="shared" si="184"/>
        <v>1</v>
      </c>
      <c r="AV361" s="360" t="s">
        <v>2090</v>
      </c>
      <c r="AW361" s="160" t="str">
        <f t="shared" si="185"/>
        <v>QPU</v>
      </c>
      <c r="AX361" s="360" t="s">
        <v>2093</v>
      </c>
      <c r="AY361" s="160">
        <f t="shared" si="186"/>
        <v>3630</v>
      </c>
      <c r="AZ361" s="360" t="s">
        <v>2020</v>
      </c>
      <c r="BA361" s="160">
        <f t="shared" si="187"/>
        <v>4</v>
      </c>
      <c r="BB361" s="360" t="s">
        <v>2020</v>
      </c>
      <c r="BC361" s="160">
        <f t="shared" si="188"/>
        <v>1</v>
      </c>
      <c r="BD361" s="360" t="s">
        <v>2020</v>
      </c>
      <c r="BE361" s="160">
        <f t="shared" si="189"/>
        <v>10</v>
      </c>
      <c r="BF361" s="160" t="s">
        <v>2021</v>
      </c>
      <c r="BG361" s="160" t="str">
        <f t="shared" ca="1" si="190"/>
        <v>INSERT INTO FACTURES(numFact,nameFact,dateAcquittalFact,isAccount,typeFact,montantHtFact,idProjet,idTva,idDeGeneration) VALUES ('150223-Fact-TAPUDFUITE-PROJ234-7','150223-Fact-TAPUDFUITE-PROJ234-7','2023/02/15',1,'QPU',3630,4,1,10);</v>
      </c>
      <c r="BH361" s="160" t="s">
        <v>2584</v>
      </c>
    </row>
    <row r="362" spans="5:60" ht="20.05" customHeight="1" thickBot="1" x14ac:dyDescent="0.35">
      <c r="F362" s="160">
        <f t="shared" si="191"/>
        <v>8</v>
      </c>
      <c r="G362" s="160" t="str">
        <f t="shared" si="176"/>
        <v>100323-Fact-TAPUDFUITE-PROJ234-8</v>
      </c>
      <c r="H362" s="160" t="str">
        <f t="shared" si="179"/>
        <v>100323-Fact-TAPUDFUITE-PROJ234-8</v>
      </c>
      <c r="I362" s="329">
        <f t="shared" si="177"/>
        <v>44995</v>
      </c>
      <c r="J362" s="160">
        <v>0</v>
      </c>
      <c r="K362" s="160" t="s">
        <v>1816</v>
      </c>
      <c r="L362" s="160">
        <f t="shared" si="178"/>
        <v>8470</v>
      </c>
      <c r="M362" s="323">
        <v>4</v>
      </c>
      <c r="N362" s="323">
        <v>1</v>
      </c>
      <c r="O362" s="323">
        <v>15</v>
      </c>
      <c r="S362" s="353"/>
      <c r="T362" s="160" t="s">
        <v>1922</v>
      </c>
      <c r="U362" s="160" t="str">
        <f t="shared" si="180"/>
        <v>FACTURES</v>
      </c>
      <c r="V362" s="160" t="s">
        <v>2088</v>
      </c>
      <c r="W362" s="221" t="s">
        <v>192</v>
      </c>
      <c r="X362" s="360" t="s">
        <v>2020</v>
      </c>
      <c r="Y362" s="221" t="s">
        <v>317</v>
      </c>
      <c r="Z362" s="360" t="s">
        <v>2020</v>
      </c>
      <c r="AA362" s="221" t="s">
        <v>319</v>
      </c>
      <c r="AB362" s="360" t="s">
        <v>2020</v>
      </c>
      <c r="AC362" s="359" t="s">
        <v>1888</v>
      </c>
      <c r="AD362" s="360" t="s">
        <v>2020</v>
      </c>
      <c r="AE362" s="221" t="s">
        <v>225</v>
      </c>
      <c r="AF362" s="360" t="s">
        <v>2020</v>
      </c>
      <c r="AG362" s="269" t="s">
        <v>2577</v>
      </c>
      <c r="AH362" s="360" t="s">
        <v>2020</v>
      </c>
      <c r="AI362" s="295" t="s">
        <v>287</v>
      </c>
      <c r="AJ362" s="360" t="s">
        <v>2020</v>
      </c>
      <c r="AK362" s="295" t="s">
        <v>2553</v>
      </c>
      <c r="AL362" s="360" t="s">
        <v>2020</v>
      </c>
      <c r="AM362" s="295" t="s">
        <v>349</v>
      </c>
      <c r="AN362" s="360" t="s">
        <v>2089</v>
      </c>
      <c r="AO362" s="160" t="str">
        <f t="shared" si="181"/>
        <v>100323-Fact-TAPUDFUITE-PROJ234-8</v>
      </c>
      <c r="AP362" s="360" t="s">
        <v>2091</v>
      </c>
      <c r="AQ362" s="160" t="str">
        <f t="shared" si="182"/>
        <v>100323-Fact-TAPUDFUITE-PROJ234-8</v>
      </c>
      <c r="AR362" s="360" t="s">
        <v>2091</v>
      </c>
      <c r="AS362" s="329" t="str">
        <f t="shared" ca="1" si="183"/>
        <v>2023/03/10</v>
      </c>
      <c r="AT362" s="360" t="s">
        <v>2093</v>
      </c>
      <c r="AU362" s="160">
        <f t="shared" si="184"/>
        <v>0</v>
      </c>
      <c r="AV362" s="360" t="s">
        <v>2090</v>
      </c>
      <c r="AW362" s="160" t="str">
        <f t="shared" si="185"/>
        <v>QPU</v>
      </c>
      <c r="AX362" s="360" t="s">
        <v>2093</v>
      </c>
      <c r="AY362" s="160">
        <f t="shared" si="186"/>
        <v>8470</v>
      </c>
      <c r="AZ362" s="360" t="s">
        <v>2020</v>
      </c>
      <c r="BA362" s="160">
        <f t="shared" si="187"/>
        <v>4</v>
      </c>
      <c r="BB362" s="360" t="s">
        <v>2020</v>
      </c>
      <c r="BC362" s="160">
        <f t="shared" si="188"/>
        <v>1</v>
      </c>
      <c r="BD362" s="360" t="s">
        <v>2020</v>
      </c>
      <c r="BE362" s="160">
        <f t="shared" si="189"/>
        <v>15</v>
      </c>
      <c r="BF362" s="160" t="s">
        <v>2021</v>
      </c>
      <c r="BG362" s="160" t="str">
        <f t="shared" ca="1" si="190"/>
        <v>INSERT INTO FACTURES(numFact,nameFact,dateAcquittalFact,isAccount,typeFact,montantHtFact,idProjet,idTva,idDeGeneration) VALUES ('100323-Fact-TAPUDFUITE-PROJ234-8','100323-Fact-TAPUDFUITE-PROJ234-8','2023/03/10',0,'QPU',8470,4,1,15);</v>
      </c>
      <c r="BH362" s="160" t="s">
        <v>2585</v>
      </c>
    </row>
    <row r="363" spans="5:60" ht="20.05" customHeight="1" thickBot="1" x14ac:dyDescent="0.35">
      <c r="F363" s="160">
        <f t="shared" si="191"/>
        <v>9</v>
      </c>
      <c r="G363" s="160" t="str">
        <f t="shared" si="176"/>
        <v>260223-Fact-LABONNEBAGUETTE-PROJ235-9</v>
      </c>
      <c r="H363" s="160" t="str">
        <f t="shared" si="179"/>
        <v>260223-Fact-LABONNEBAGUETTE-PROJ235-9</v>
      </c>
      <c r="I363" s="329">
        <f t="shared" si="177"/>
        <v>44983</v>
      </c>
      <c r="J363" s="160">
        <v>1</v>
      </c>
      <c r="K363" s="160" t="s">
        <v>1808</v>
      </c>
      <c r="L363" s="160">
        <f t="shared" si="178"/>
        <v>1890</v>
      </c>
      <c r="M363" s="322">
        <v>5</v>
      </c>
      <c r="N363" s="322">
        <v>1</v>
      </c>
      <c r="O363" s="322">
        <v>13</v>
      </c>
      <c r="S363" s="353"/>
      <c r="T363" s="160" t="s">
        <v>1922</v>
      </c>
      <c r="U363" s="160" t="str">
        <f t="shared" si="180"/>
        <v>FACTURES</v>
      </c>
      <c r="V363" s="160" t="s">
        <v>2088</v>
      </c>
      <c r="W363" s="221" t="s">
        <v>192</v>
      </c>
      <c r="X363" s="360" t="s">
        <v>2020</v>
      </c>
      <c r="Y363" s="221" t="s">
        <v>317</v>
      </c>
      <c r="Z363" s="360" t="s">
        <v>2020</v>
      </c>
      <c r="AA363" s="221" t="s">
        <v>319</v>
      </c>
      <c r="AB363" s="360" t="s">
        <v>2020</v>
      </c>
      <c r="AC363" s="359" t="s">
        <v>1888</v>
      </c>
      <c r="AD363" s="360" t="s">
        <v>2020</v>
      </c>
      <c r="AE363" s="221" t="s">
        <v>225</v>
      </c>
      <c r="AF363" s="360" t="s">
        <v>2020</v>
      </c>
      <c r="AG363" s="269" t="s">
        <v>2577</v>
      </c>
      <c r="AH363" s="360" t="s">
        <v>2020</v>
      </c>
      <c r="AI363" s="295" t="s">
        <v>287</v>
      </c>
      <c r="AJ363" s="360" t="s">
        <v>2020</v>
      </c>
      <c r="AK363" s="295" t="s">
        <v>2553</v>
      </c>
      <c r="AL363" s="360" t="s">
        <v>2020</v>
      </c>
      <c r="AM363" s="295" t="s">
        <v>349</v>
      </c>
      <c r="AN363" s="360" t="s">
        <v>2089</v>
      </c>
      <c r="AO363" s="160" t="str">
        <f t="shared" si="181"/>
        <v>260223-Fact-LABONNEBAGUETTE-PROJ235-9</v>
      </c>
      <c r="AP363" s="360" t="s">
        <v>2091</v>
      </c>
      <c r="AQ363" s="160" t="str">
        <f t="shared" si="182"/>
        <v>260223-Fact-LABONNEBAGUETTE-PROJ235-9</v>
      </c>
      <c r="AR363" s="360" t="s">
        <v>2091</v>
      </c>
      <c r="AS363" s="329" t="str">
        <f t="shared" ca="1" si="183"/>
        <v>2023/02/26</v>
      </c>
      <c r="AT363" s="360" t="s">
        <v>2093</v>
      </c>
      <c r="AU363" s="160">
        <f t="shared" si="184"/>
        <v>1</v>
      </c>
      <c r="AV363" s="360" t="s">
        <v>2090</v>
      </c>
      <c r="AW363" s="160" t="str">
        <f t="shared" si="185"/>
        <v>Forfait</v>
      </c>
      <c r="AX363" s="360" t="s">
        <v>2093</v>
      </c>
      <c r="AY363" s="160">
        <f t="shared" si="186"/>
        <v>1890</v>
      </c>
      <c r="AZ363" s="360" t="s">
        <v>2020</v>
      </c>
      <c r="BA363" s="160">
        <f t="shared" si="187"/>
        <v>5</v>
      </c>
      <c r="BB363" s="360" t="s">
        <v>2020</v>
      </c>
      <c r="BC363" s="160">
        <f t="shared" si="188"/>
        <v>1</v>
      </c>
      <c r="BD363" s="360" t="s">
        <v>2020</v>
      </c>
      <c r="BE363" s="160">
        <f t="shared" si="189"/>
        <v>13</v>
      </c>
      <c r="BF363" s="160" t="s">
        <v>2021</v>
      </c>
      <c r="BG363" s="160" t="str">
        <f t="shared" ca="1" si="190"/>
        <v>INSERT INTO FACTURES(numFact,nameFact,dateAcquittalFact,isAccount,typeFact,montantHtFact,idProjet,idTva,idDeGeneration) VALUES ('260223-Fact-LABONNEBAGUETTE-PROJ235-9','260223-Fact-LABONNEBAGUETTE-PROJ235-9','2023/02/26',1,'Forfait',1890,5,1,13);</v>
      </c>
      <c r="BH363" s="160" t="s">
        <v>2586</v>
      </c>
    </row>
    <row r="364" spans="5:60" ht="20.05" customHeight="1" thickBot="1" x14ac:dyDescent="0.35">
      <c r="F364" s="160">
        <f t="shared" si="191"/>
        <v>10</v>
      </c>
      <c r="G364" s="160" t="str">
        <f t="shared" si="176"/>
        <v>040423-Fact-LABONNEBAGUETTE-PROJ235-10</v>
      </c>
      <c r="H364" s="160" t="str">
        <f t="shared" si="179"/>
        <v>040423-Fact-LABONNEBAGUETTE-PROJ235-10</v>
      </c>
      <c r="I364" s="329">
        <f t="shared" si="177"/>
        <v>45020</v>
      </c>
      <c r="J364" s="160">
        <v>0</v>
      </c>
      <c r="K364" s="160" t="s">
        <v>1808</v>
      </c>
      <c r="L364" s="160">
        <f t="shared" si="178"/>
        <v>4410</v>
      </c>
      <c r="M364" s="160">
        <v>5</v>
      </c>
      <c r="N364" s="160">
        <v>1</v>
      </c>
      <c r="O364" s="160">
        <v>17</v>
      </c>
      <c r="S364" s="353"/>
      <c r="T364" s="160" t="s">
        <v>1922</v>
      </c>
      <c r="U364" s="160" t="str">
        <f t="shared" si="180"/>
        <v>FACTURES</v>
      </c>
      <c r="V364" s="160" t="s">
        <v>2088</v>
      </c>
      <c r="W364" s="221" t="s">
        <v>192</v>
      </c>
      <c r="X364" s="360" t="s">
        <v>2020</v>
      </c>
      <c r="Y364" s="221" t="s">
        <v>317</v>
      </c>
      <c r="Z364" s="360" t="s">
        <v>2020</v>
      </c>
      <c r="AA364" s="221" t="s">
        <v>319</v>
      </c>
      <c r="AB364" s="360" t="s">
        <v>2020</v>
      </c>
      <c r="AC364" s="359" t="s">
        <v>1888</v>
      </c>
      <c r="AD364" s="360" t="s">
        <v>2020</v>
      </c>
      <c r="AE364" s="221" t="s">
        <v>225</v>
      </c>
      <c r="AF364" s="360" t="s">
        <v>2020</v>
      </c>
      <c r="AG364" s="269" t="s">
        <v>2577</v>
      </c>
      <c r="AH364" s="360" t="s">
        <v>2020</v>
      </c>
      <c r="AI364" s="295" t="s">
        <v>287</v>
      </c>
      <c r="AJ364" s="360" t="s">
        <v>2020</v>
      </c>
      <c r="AK364" s="295" t="s">
        <v>2553</v>
      </c>
      <c r="AL364" s="360" t="s">
        <v>2020</v>
      </c>
      <c r="AM364" s="295" t="s">
        <v>349</v>
      </c>
      <c r="AN364" s="360" t="s">
        <v>2089</v>
      </c>
      <c r="AO364" s="160" t="str">
        <f t="shared" si="181"/>
        <v>040423-Fact-LABONNEBAGUETTE-PROJ235-10</v>
      </c>
      <c r="AP364" s="360" t="s">
        <v>2091</v>
      </c>
      <c r="AQ364" s="160" t="str">
        <f t="shared" si="182"/>
        <v>040423-Fact-LABONNEBAGUETTE-PROJ235-10</v>
      </c>
      <c r="AR364" s="360" t="s">
        <v>2091</v>
      </c>
      <c r="AS364" s="329" t="str">
        <f t="shared" ca="1" si="183"/>
        <v>2023/04/04</v>
      </c>
      <c r="AT364" s="360" t="s">
        <v>2093</v>
      </c>
      <c r="AU364" s="160">
        <f t="shared" si="184"/>
        <v>0</v>
      </c>
      <c r="AV364" s="360" t="s">
        <v>2090</v>
      </c>
      <c r="AW364" s="160" t="str">
        <f t="shared" si="185"/>
        <v>Forfait</v>
      </c>
      <c r="AX364" s="360" t="s">
        <v>2093</v>
      </c>
      <c r="AY364" s="160">
        <f t="shared" si="186"/>
        <v>4410</v>
      </c>
      <c r="AZ364" s="360" t="s">
        <v>2020</v>
      </c>
      <c r="BA364" s="160">
        <f t="shared" si="187"/>
        <v>5</v>
      </c>
      <c r="BB364" s="360" t="s">
        <v>2020</v>
      </c>
      <c r="BC364" s="160">
        <f t="shared" si="188"/>
        <v>1</v>
      </c>
      <c r="BD364" s="360" t="s">
        <v>2020</v>
      </c>
      <c r="BE364" s="160">
        <f t="shared" si="189"/>
        <v>17</v>
      </c>
      <c r="BF364" s="160" t="s">
        <v>2021</v>
      </c>
      <c r="BG364" s="160" t="str">
        <f t="shared" ca="1" si="190"/>
        <v>INSERT INTO FACTURES(numFact,nameFact,dateAcquittalFact,isAccount,typeFact,montantHtFact,idProjet,idTva,idDeGeneration) VALUES ('040423-Fact-LABONNEBAGUETTE-PROJ235-10','040423-Fact-LABONNEBAGUETTE-PROJ235-10','2023/04/04',0,'Forfait',4410,5,1,17);</v>
      </c>
      <c r="BH364" s="160" t="s">
        <v>2587</v>
      </c>
    </row>
    <row r="365" spans="5:60" ht="20.05" customHeight="1" thickBot="1" x14ac:dyDescent="0.35">
      <c r="F365" s="160">
        <f t="shared" si="191"/>
        <v>11</v>
      </c>
      <c r="G365" s="160" t="str">
        <f t="shared" si="176"/>
        <v>120323-Fact-GLESBOULES-PROJ236-11</v>
      </c>
      <c r="H365" s="160" t="str">
        <f t="shared" si="179"/>
        <v>120323-Fact-GLESBOULES-PROJ236-11</v>
      </c>
      <c r="I365" s="329">
        <f t="shared" si="177"/>
        <v>44997</v>
      </c>
      <c r="J365" s="160">
        <v>1</v>
      </c>
      <c r="K365" s="160" t="s">
        <v>1808</v>
      </c>
      <c r="L365" s="160">
        <f t="shared" si="178"/>
        <v>1800</v>
      </c>
      <c r="M365" s="160">
        <v>6</v>
      </c>
      <c r="N365" s="160">
        <v>1</v>
      </c>
      <c r="O365" s="160">
        <v>16</v>
      </c>
      <c r="S365" s="353"/>
      <c r="T365" s="160" t="s">
        <v>1922</v>
      </c>
      <c r="U365" s="160" t="str">
        <f t="shared" si="180"/>
        <v>FACTURES</v>
      </c>
      <c r="V365" s="160" t="s">
        <v>2088</v>
      </c>
      <c r="W365" s="221" t="s">
        <v>192</v>
      </c>
      <c r="X365" s="360" t="s">
        <v>2020</v>
      </c>
      <c r="Y365" s="221" t="s">
        <v>317</v>
      </c>
      <c r="Z365" s="360" t="s">
        <v>2020</v>
      </c>
      <c r="AA365" s="221" t="s">
        <v>319</v>
      </c>
      <c r="AB365" s="360" t="s">
        <v>2020</v>
      </c>
      <c r="AC365" s="359" t="s">
        <v>1888</v>
      </c>
      <c r="AD365" s="360" t="s">
        <v>2020</v>
      </c>
      <c r="AE365" s="221" t="s">
        <v>225</v>
      </c>
      <c r="AF365" s="360" t="s">
        <v>2020</v>
      </c>
      <c r="AG365" s="269" t="s">
        <v>2577</v>
      </c>
      <c r="AH365" s="360" t="s">
        <v>2020</v>
      </c>
      <c r="AI365" s="295" t="s">
        <v>287</v>
      </c>
      <c r="AJ365" s="360" t="s">
        <v>2020</v>
      </c>
      <c r="AK365" s="295" t="s">
        <v>2553</v>
      </c>
      <c r="AL365" s="360" t="s">
        <v>2020</v>
      </c>
      <c r="AM365" s="295" t="s">
        <v>349</v>
      </c>
      <c r="AN365" s="360" t="s">
        <v>2089</v>
      </c>
      <c r="AO365" s="160" t="str">
        <f t="shared" si="181"/>
        <v>120323-Fact-GLESBOULES-PROJ236-11</v>
      </c>
      <c r="AP365" s="360" t="s">
        <v>2091</v>
      </c>
      <c r="AQ365" s="160" t="str">
        <f t="shared" si="182"/>
        <v>120323-Fact-GLESBOULES-PROJ236-11</v>
      </c>
      <c r="AR365" s="360" t="s">
        <v>2091</v>
      </c>
      <c r="AS365" s="329" t="str">
        <f t="shared" ca="1" si="183"/>
        <v>2023/03/12</v>
      </c>
      <c r="AT365" s="360" t="s">
        <v>2093</v>
      </c>
      <c r="AU365" s="160">
        <f t="shared" si="184"/>
        <v>1</v>
      </c>
      <c r="AV365" s="360" t="s">
        <v>2090</v>
      </c>
      <c r="AW365" s="160" t="str">
        <f t="shared" si="185"/>
        <v>Forfait</v>
      </c>
      <c r="AX365" s="360" t="s">
        <v>2093</v>
      </c>
      <c r="AY365" s="160">
        <f t="shared" si="186"/>
        <v>1800</v>
      </c>
      <c r="AZ365" s="360" t="s">
        <v>2020</v>
      </c>
      <c r="BA365" s="160">
        <f t="shared" si="187"/>
        <v>6</v>
      </c>
      <c r="BB365" s="360" t="s">
        <v>2020</v>
      </c>
      <c r="BC365" s="160">
        <f t="shared" si="188"/>
        <v>1</v>
      </c>
      <c r="BD365" s="360" t="s">
        <v>2020</v>
      </c>
      <c r="BE365" s="160">
        <f t="shared" si="189"/>
        <v>16</v>
      </c>
      <c r="BF365" s="160" t="s">
        <v>2021</v>
      </c>
      <c r="BG365" s="160" t="str">
        <f t="shared" ca="1" si="190"/>
        <v>INSERT INTO FACTURES(numFact,nameFact,dateAcquittalFact,isAccount,typeFact,montantHtFact,idProjet,idTva,idDeGeneration) VALUES ('120323-Fact-GLESBOULES-PROJ236-11','120323-Fact-GLESBOULES-PROJ236-11','2023/03/12',1,'Forfait',1800,6,1,16);</v>
      </c>
      <c r="BH365" s="160" t="s">
        <v>2588</v>
      </c>
    </row>
    <row r="366" spans="5:60" ht="20.05" customHeight="1" thickBot="1" x14ac:dyDescent="0.35">
      <c r="F366" s="160">
        <f>F365+1</f>
        <v>12</v>
      </c>
      <c r="G366" s="160" t="str">
        <f t="shared" si="176"/>
        <v>280423-Fact-GLESBOULES-PROJ236-12</v>
      </c>
      <c r="H366" s="160" t="str">
        <f t="shared" si="179"/>
        <v>280423-Fact-GLESBOULES-PROJ236-12</v>
      </c>
      <c r="I366" s="329">
        <f t="shared" si="177"/>
        <v>45044</v>
      </c>
      <c r="J366" s="160">
        <v>0</v>
      </c>
      <c r="K366" s="160" t="s">
        <v>1808</v>
      </c>
      <c r="L366" s="160">
        <f t="shared" si="178"/>
        <v>4200</v>
      </c>
      <c r="M366" s="160">
        <v>6</v>
      </c>
      <c r="N366" s="160">
        <v>1</v>
      </c>
      <c r="O366" s="160">
        <v>20</v>
      </c>
      <c r="S366" s="353"/>
      <c r="T366" s="160" t="s">
        <v>1922</v>
      </c>
      <c r="U366" s="160" t="str">
        <f t="shared" si="180"/>
        <v>FACTURES</v>
      </c>
      <c r="V366" s="160" t="s">
        <v>2088</v>
      </c>
      <c r="W366" s="221" t="s">
        <v>192</v>
      </c>
      <c r="X366" s="360" t="s">
        <v>2020</v>
      </c>
      <c r="Y366" s="221" t="s">
        <v>317</v>
      </c>
      <c r="Z366" s="360" t="s">
        <v>2020</v>
      </c>
      <c r="AA366" s="221" t="s">
        <v>319</v>
      </c>
      <c r="AB366" s="360" t="s">
        <v>2020</v>
      </c>
      <c r="AC366" s="359" t="s">
        <v>1888</v>
      </c>
      <c r="AD366" s="360" t="s">
        <v>2020</v>
      </c>
      <c r="AE366" s="221" t="s">
        <v>225</v>
      </c>
      <c r="AF366" s="360" t="s">
        <v>2020</v>
      </c>
      <c r="AG366" s="269" t="s">
        <v>2577</v>
      </c>
      <c r="AH366" s="360" t="s">
        <v>2020</v>
      </c>
      <c r="AI366" s="295" t="s">
        <v>287</v>
      </c>
      <c r="AJ366" s="360" t="s">
        <v>2020</v>
      </c>
      <c r="AK366" s="295" t="s">
        <v>2553</v>
      </c>
      <c r="AL366" s="360" t="s">
        <v>2020</v>
      </c>
      <c r="AM366" s="295" t="s">
        <v>349</v>
      </c>
      <c r="AN366" s="360" t="s">
        <v>2089</v>
      </c>
      <c r="AO366" s="160" t="str">
        <f t="shared" si="181"/>
        <v>280423-Fact-GLESBOULES-PROJ236-12</v>
      </c>
      <c r="AP366" s="360" t="s">
        <v>2091</v>
      </c>
      <c r="AQ366" s="160" t="str">
        <f t="shared" si="182"/>
        <v>280423-Fact-GLESBOULES-PROJ236-12</v>
      </c>
      <c r="AR366" s="360" t="s">
        <v>2091</v>
      </c>
      <c r="AS366" s="329" t="str">
        <f t="shared" ca="1" si="183"/>
        <v>2023/04/28</v>
      </c>
      <c r="AT366" s="360" t="s">
        <v>2093</v>
      </c>
      <c r="AU366" s="160">
        <f t="shared" si="184"/>
        <v>0</v>
      </c>
      <c r="AV366" s="360" t="s">
        <v>2090</v>
      </c>
      <c r="AW366" s="160" t="str">
        <f t="shared" si="185"/>
        <v>Forfait</v>
      </c>
      <c r="AX366" s="360" t="s">
        <v>2093</v>
      </c>
      <c r="AY366" s="160">
        <f t="shared" si="186"/>
        <v>4200</v>
      </c>
      <c r="AZ366" s="360" t="s">
        <v>2020</v>
      </c>
      <c r="BA366" s="160">
        <f t="shared" si="187"/>
        <v>6</v>
      </c>
      <c r="BB366" s="360" t="s">
        <v>2020</v>
      </c>
      <c r="BC366" s="160">
        <f t="shared" si="188"/>
        <v>1</v>
      </c>
      <c r="BD366" s="360" t="s">
        <v>2020</v>
      </c>
      <c r="BE366" s="160">
        <f t="shared" si="189"/>
        <v>20</v>
      </c>
      <c r="BF366" s="160" t="s">
        <v>2021</v>
      </c>
      <c r="BG366" s="160" t="str">
        <f t="shared" ca="1" si="190"/>
        <v>INSERT INTO FACTURES(numFact,nameFact,dateAcquittalFact,isAccount,typeFact,montantHtFact,idProjet,idTva,idDeGeneration) VALUES ('280423-Fact-GLESBOULES-PROJ236-12','280423-Fact-GLESBOULES-PROJ236-12','2023/04/28',0,'Forfait',4200,6,1,20);</v>
      </c>
      <c r="BH366" s="160" t="s">
        <v>2589</v>
      </c>
    </row>
    <row r="367" spans="5:60" ht="20.05" customHeight="1" thickBot="1" x14ac:dyDescent="0.35">
      <c r="F367" s="160">
        <f t="shared" si="191"/>
        <v>13</v>
      </c>
      <c r="G367" s="160" t="str">
        <f t="shared" si="176"/>
        <v>150423-Fact-AUPIRATE-PROJ237-13</v>
      </c>
      <c r="H367" s="160" t="str">
        <f t="shared" si="179"/>
        <v>150423-Fact-AUPIRATE-PROJ237-13</v>
      </c>
      <c r="I367" s="329">
        <f t="shared" si="177"/>
        <v>45031</v>
      </c>
      <c r="J367" s="160">
        <v>1</v>
      </c>
      <c r="K367" s="160" t="s">
        <v>1808</v>
      </c>
      <c r="L367" s="160">
        <f t="shared" si="178"/>
        <v>2130</v>
      </c>
      <c r="M367" s="160">
        <v>7</v>
      </c>
      <c r="N367" s="160">
        <v>1</v>
      </c>
      <c r="O367" s="160">
        <v>19</v>
      </c>
      <c r="S367" s="353"/>
      <c r="T367" s="160" t="s">
        <v>1922</v>
      </c>
      <c r="U367" s="160" t="str">
        <f t="shared" si="180"/>
        <v>FACTURES</v>
      </c>
      <c r="V367" s="160" t="s">
        <v>2088</v>
      </c>
      <c r="W367" s="221" t="s">
        <v>192</v>
      </c>
      <c r="X367" s="360" t="s">
        <v>2020</v>
      </c>
      <c r="Y367" s="221" t="s">
        <v>317</v>
      </c>
      <c r="Z367" s="360" t="s">
        <v>2020</v>
      </c>
      <c r="AA367" s="221" t="s">
        <v>319</v>
      </c>
      <c r="AB367" s="360" t="s">
        <v>2020</v>
      </c>
      <c r="AC367" s="359" t="s">
        <v>1888</v>
      </c>
      <c r="AD367" s="360" t="s">
        <v>2020</v>
      </c>
      <c r="AE367" s="221" t="s">
        <v>225</v>
      </c>
      <c r="AF367" s="360" t="s">
        <v>2020</v>
      </c>
      <c r="AG367" s="269" t="s">
        <v>2577</v>
      </c>
      <c r="AH367" s="360" t="s">
        <v>2020</v>
      </c>
      <c r="AI367" s="295" t="s">
        <v>287</v>
      </c>
      <c r="AJ367" s="360" t="s">
        <v>2020</v>
      </c>
      <c r="AK367" s="295" t="s">
        <v>2553</v>
      </c>
      <c r="AL367" s="360" t="s">
        <v>2020</v>
      </c>
      <c r="AM367" s="295" t="s">
        <v>349</v>
      </c>
      <c r="AN367" s="360" t="s">
        <v>2089</v>
      </c>
      <c r="AO367" s="160" t="str">
        <f t="shared" si="181"/>
        <v>150423-Fact-AUPIRATE-PROJ237-13</v>
      </c>
      <c r="AP367" s="360" t="s">
        <v>2091</v>
      </c>
      <c r="AQ367" s="160" t="str">
        <f t="shared" si="182"/>
        <v>150423-Fact-AUPIRATE-PROJ237-13</v>
      </c>
      <c r="AR367" s="360" t="s">
        <v>2091</v>
      </c>
      <c r="AS367" s="329" t="str">
        <f ca="1">IF(AND(I367&lt;=TODAY(),I367&lt;&gt;""),TEXT(I367,"aaaa/mm/jj"),"")</f>
        <v>2023/04/15</v>
      </c>
      <c r="AT367" s="360" t="s">
        <v>2093</v>
      </c>
      <c r="AU367" s="160">
        <f t="shared" si="184"/>
        <v>1</v>
      </c>
      <c r="AV367" s="360" t="s">
        <v>2090</v>
      </c>
      <c r="AW367" s="160" t="str">
        <f t="shared" si="185"/>
        <v>Forfait</v>
      </c>
      <c r="AX367" s="360" t="s">
        <v>2093</v>
      </c>
      <c r="AY367" s="160">
        <f t="shared" si="186"/>
        <v>2130</v>
      </c>
      <c r="AZ367" s="360" t="s">
        <v>2020</v>
      </c>
      <c r="BA367" s="160">
        <f t="shared" si="187"/>
        <v>7</v>
      </c>
      <c r="BB367" s="360" t="s">
        <v>2020</v>
      </c>
      <c r="BC367" s="160">
        <f t="shared" si="188"/>
        <v>1</v>
      </c>
      <c r="BD367" s="360" t="s">
        <v>2020</v>
      </c>
      <c r="BE367" s="160">
        <f t="shared" si="189"/>
        <v>19</v>
      </c>
      <c r="BF367" s="160" t="s">
        <v>2021</v>
      </c>
      <c r="BG367" s="160" t="str">
        <f t="shared" ca="1" si="190"/>
        <v>INSERT INTO FACTURES(numFact,nameFact,dateAcquittalFact,isAccount,typeFact,montantHtFact,idProjet,idTva,idDeGeneration) VALUES ('150423-Fact-AUPIRATE-PROJ237-13','150423-Fact-AUPIRATE-PROJ237-13','2023/04/15',1,'Forfait',2130,7,1,19);</v>
      </c>
      <c r="BH367" s="160" t="s">
        <v>2590</v>
      </c>
    </row>
    <row r="368" spans="5:60" ht="20.05" customHeight="1" thickBot="1" x14ac:dyDescent="0.35">
      <c r="F368" s="160">
        <f t="shared" si="191"/>
        <v>14</v>
      </c>
      <c r="G368" s="160" t="str">
        <f t="shared" si="176"/>
        <v>250523-Fact-BOISDELUX-PROJ238-14</v>
      </c>
      <c r="H368" s="160" t="str">
        <f t="shared" si="179"/>
        <v>250523-Fact-BOISDELUX-PROJ238-14</v>
      </c>
      <c r="I368" s="329">
        <f t="shared" si="177"/>
        <v>45071</v>
      </c>
      <c r="J368" s="160">
        <v>0</v>
      </c>
      <c r="K368" s="160" t="s">
        <v>1808</v>
      </c>
      <c r="L368" s="160">
        <f t="shared" si="178"/>
        <v>5250</v>
      </c>
      <c r="M368" s="160">
        <v>8</v>
      </c>
      <c r="N368" s="160">
        <v>1</v>
      </c>
      <c r="O368" s="160">
        <v>22</v>
      </c>
      <c r="S368" s="353"/>
      <c r="T368" s="160" t="s">
        <v>1922</v>
      </c>
      <c r="U368" s="160" t="str">
        <f t="shared" si="180"/>
        <v>FACTURES</v>
      </c>
      <c r="V368" s="160" t="s">
        <v>2088</v>
      </c>
      <c r="W368" s="221" t="s">
        <v>192</v>
      </c>
      <c r="X368" s="360" t="s">
        <v>2020</v>
      </c>
      <c r="Y368" s="221" t="s">
        <v>317</v>
      </c>
      <c r="Z368" s="360" t="s">
        <v>2020</v>
      </c>
      <c r="AA368" s="221" t="s">
        <v>319</v>
      </c>
      <c r="AB368" s="360" t="s">
        <v>2020</v>
      </c>
      <c r="AC368" s="359" t="s">
        <v>1888</v>
      </c>
      <c r="AD368" s="360" t="s">
        <v>2020</v>
      </c>
      <c r="AE368" s="221" t="s">
        <v>225</v>
      </c>
      <c r="AF368" s="360" t="s">
        <v>2020</v>
      </c>
      <c r="AG368" s="269" t="s">
        <v>2577</v>
      </c>
      <c r="AH368" s="360" t="s">
        <v>2020</v>
      </c>
      <c r="AI368" s="295" t="s">
        <v>287</v>
      </c>
      <c r="AJ368" s="360" t="s">
        <v>2020</v>
      </c>
      <c r="AK368" s="295" t="s">
        <v>2553</v>
      </c>
      <c r="AL368" s="360" t="s">
        <v>2020</v>
      </c>
      <c r="AM368" s="295" t="s">
        <v>349</v>
      </c>
      <c r="AN368" s="360" t="s">
        <v>2089</v>
      </c>
      <c r="AO368" s="160" t="str">
        <f t="shared" si="181"/>
        <v>250523-Fact-BOISDELUX-PROJ238-14</v>
      </c>
      <c r="AP368" s="360" t="s">
        <v>2091</v>
      </c>
      <c r="AQ368" s="160" t="str">
        <f t="shared" si="182"/>
        <v>250523-Fact-BOISDELUX-PROJ238-14</v>
      </c>
      <c r="AR368" s="360" t="s">
        <v>2091</v>
      </c>
      <c r="AS368" s="329" t="str">
        <f ca="1">IF(AND(I368&lt;=TODAY(),I368&lt;&gt;""),TEXT(I368,"aaaa/mm/jj"),"")</f>
        <v>2023/05/25</v>
      </c>
      <c r="AT368" s="360" t="s">
        <v>2093</v>
      </c>
      <c r="AU368" s="160">
        <f t="shared" si="184"/>
        <v>0</v>
      </c>
      <c r="AV368" s="360" t="s">
        <v>2090</v>
      </c>
      <c r="AW368" s="160" t="str">
        <f t="shared" si="185"/>
        <v>Forfait</v>
      </c>
      <c r="AX368" s="360" t="s">
        <v>2093</v>
      </c>
      <c r="AY368" s="160">
        <f t="shared" si="186"/>
        <v>5250</v>
      </c>
      <c r="AZ368" s="360" t="s">
        <v>2020</v>
      </c>
      <c r="BA368" s="160">
        <f t="shared" si="187"/>
        <v>8</v>
      </c>
      <c r="BB368" s="360" t="s">
        <v>2020</v>
      </c>
      <c r="BC368" s="160">
        <f t="shared" si="188"/>
        <v>1</v>
      </c>
      <c r="BD368" s="360" t="s">
        <v>2020</v>
      </c>
      <c r="BE368" s="160">
        <f t="shared" si="189"/>
        <v>22</v>
      </c>
      <c r="BF368" s="160" t="s">
        <v>2021</v>
      </c>
      <c r="BG368" s="160" t="str">
        <f t="shared" ca="1" si="190"/>
        <v>INSERT INTO FACTURES(numFact,nameFact,dateAcquittalFact,isAccount,typeFact,montantHtFact,idProjet,idTva,idDeGeneration) VALUES ('250523-Fact-BOISDELUX-PROJ238-14','250523-Fact-BOISDELUX-PROJ238-14','2023/05/25',0,'Forfait',5250,8,1,22);</v>
      </c>
      <c r="BH368" s="160" t="s">
        <v>2591</v>
      </c>
    </row>
    <row r="369" spans="5:44" ht="20.05" customHeight="1" x14ac:dyDescent="0.3"/>
    <row r="370" spans="5:44" s="323" customFormat="1" ht="28.05" customHeight="1" x14ac:dyDescent="0.3"/>
    <row r="371" spans="5:44" s="322" customFormat="1" ht="30.05" customHeight="1" x14ac:dyDescent="0.3">
      <c r="E371" s="323" t="s">
        <v>380</v>
      </c>
      <c r="F371" s="279" t="s">
        <v>323</v>
      </c>
      <c r="G371" s="224" t="s">
        <v>345</v>
      </c>
      <c r="H371" s="224" t="s">
        <v>325</v>
      </c>
      <c r="I371" s="224" t="s">
        <v>326</v>
      </c>
      <c r="J371" s="224" t="s">
        <v>327</v>
      </c>
      <c r="K371" s="295" t="s">
        <v>358</v>
      </c>
      <c r="T371" s="160" t="s">
        <v>1922</v>
      </c>
      <c r="U371" s="160" t="str">
        <f>E371</f>
        <v>LIGFACTFORFAIT</v>
      </c>
      <c r="V371" s="160" t="s">
        <v>2088</v>
      </c>
      <c r="W371" s="224" t="s">
        <v>345</v>
      </c>
      <c r="X371" s="360" t="s">
        <v>2020</v>
      </c>
      <c r="Y371" s="224" t="s">
        <v>325</v>
      </c>
      <c r="Z371" s="360" t="s">
        <v>2020</v>
      </c>
      <c r="AA371" s="224" t="s">
        <v>326</v>
      </c>
      <c r="AB371" s="360" t="s">
        <v>2020</v>
      </c>
      <c r="AC371" s="224" t="s">
        <v>327</v>
      </c>
      <c r="AD371" s="360" t="s">
        <v>2020</v>
      </c>
      <c r="AE371" s="295" t="s">
        <v>358</v>
      </c>
      <c r="AF371" s="360" t="s">
        <v>2089</v>
      </c>
      <c r="AG371" s="224" t="s">
        <v>345</v>
      </c>
      <c r="AH371" s="360" t="s">
        <v>2093</v>
      </c>
      <c r="AI371" s="224" t="s">
        <v>325</v>
      </c>
      <c r="AJ371" s="360" t="s">
        <v>2090</v>
      </c>
      <c r="AK371" s="224" t="s">
        <v>326</v>
      </c>
      <c r="AL371" s="360" t="s">
        <v>2093</v>
      </c>
      <c r="AM371" s="224" t="s">
        <v>327</v>
      </c>
      <c r="AN371" s="360" t="s">
        <v>2020</v>
      </c>
      <c r="AO371" s="295" t="s">
        <v>358</v>
      </c>
      <c r="AP371" s="160" t="s">
        <v>2021</v>
      </c>
    </row>
    <row r="372" spans="5:44" ht="20.05" customHeight="1" x14ac:dyDescent="0.3">
      <c r="F372" s="160">
        <v>1</v>
      </c>
      <c r="G372" s="329">
        <v>44905</v>
      </c>
      <c r="H372" s="160">
        <v>1</v>
      </c>
      <c r="I372" s="160" t="str">
        <f>"Facture Acompte de 30% - du devis "&amp;_xlfn.XLOOKUP(K372,F$355:F$368,G$355:G$368)&amp;" Montant "</f>
        <v xml:space="preserve">Facture Acompte de 30% - du devis 101222-Fact-MUNICIPALITÉDEPARIS11E-PROJ231-1 Montant </v>
      </c>
      <c r="J372" s="160">
        <f>6000*0.3</f>
        <v>1800</v>
      </c>
      <c r="K372" s="160">
        <v>1</v>
      </c>
      <c r="L372" s="160">
        <v>1</v>
      </c>
      <c r="S372" s="353" t="str">
        <f>"INSERT INTO "&amp;$E$371&amp;"("&amp;$F$371&amp;", "&amp;$G$371&amp;", "&amp;$H$371&amp;", "&amp;$I$371&amp;", "&amp;$J$371&amp;", "&amp;$K$371&amp;") VALUES ("&amp;F372&amp;", "&amp;G372&amp;", "&amp;H372&amp;", "&amp;I372&amp;", "&amp;J372&amp;", "&amp;K372&amp;");"</f>
        <v>INSERT INTO LIGFACTFORFAIT(idLigFactForfait, dateInterventionLigFactForfait, numLigFactForfait, designationLigFactForfait, montantLigFactForfait, idFacture) VALUES (1, 44905, 1, Facture Acompte de 30% - du devis 101222-Fact-MUNICIPALITÉDEPARIS11E-PROJ231-1 Montant , 1800, 1);</v>
      </c>
      <c r="T372" s="160" t="s">
        <v>1922</v>
      </c>
      <c r="U372" s="160" t="str">
        <f>U371</f>
        <v>LIGFACTFORFAIT</v>
      </c>
      <c r="V372" s="160" t="s">
        <v>2088</v>
      </c>
      <c r="W372" s="224" t="s">
        <v>345</v>
      </c>
      <c r="X372" s="360" t="s">
        <v>2020</v>
      </c>
      <c r="Y372" s="224" t="s">
        <v>325</v>
      </c>
      <c r="Z372" s="360" t="s">
        <v>2020</v>
      </c>
      <c r="AA372" s="224" t="s">
        <v>326</v>
      </c>
      <c r="AB372" s="360" t="s">
        <v>2020</v>
      </c>
      <c r="AC372" s="224" t="s">
        <v>327</v>
      </c>
      <c r="AD372" s="360" t="s">
        <v>2020</v>
      </c>
      <c r="AE372" s="295" t="s">
        <v>358</v>
      </c>
      <c r="AF372" s="360" t="s">
        <v>2089</v>
      </c>
      <c r="AG372" s="329" t="str">
        <f ca="1">IF(AND(G372&lt;=TODAY(),G372&lt;&gt;""),TEXT(G372,"aaaa/mm/jj"),"")</f>
        <v>2022/12/10</v>
      </c>
      <c r="AH372" s="360" t="s">
        <v>2093</v>
      </c>
      <c r="AI372" s="160">
        <f>H372</f>
        <v>1</v>
      </c>
      <c r="AJ372" s="360" t="s">
        <v>2090</v>
      </c>
      <c r="AK372" s="160" t="str">
        <f>I372</f>
        <v xml:space="preserve">Facture Acompte de 30% - du devis 101222-Fact-MUNICIPALITÉDEPARIS11E-PROJ231-1 Montant </v>
      </c>
      <c r="AL372" s="360" t="s">
        <v>2093</v>
      </c>
      <c r="AM372" s="160">
        <f>J372</f>
        <v>1800</v>
      </c>
      <c r="AN372" s="360" t="s">
        <v>2020</v>
      </c>
      <c r="AO372" s="160">
        <f>K372</f>
        <v>1</v>
      </c>
      <c r="AP372" s="160" t="s">
        <v>2021</v>
      </c>
      <c r="AQ372" s="160" t="str">
        <f ca="1">T372&amp;U372&amp;V372&amp;W372&amp;X372&amp;Y372&amp;Z372&amp;AA372&amp;AB372&amp;AC372&amp;AD372&amp;AE372&amp;AF372&amp;AG372&amp;AH372&amp;AI372&amp;AJ372&amp;AK372&amp;AL372&amp;AM372&amp;AN372&amp;AO372&amp;AP372</f>
        <v>INSERT INTO LIGFACTFORFAIT(dateInterventionLigFactForfait,numLigFactForfait,designationLigFactForfait,montantLigFactForfait,idFacture) VALUES ('2022/12/10',1,'Facture Acompte de 30% - du devis 101222-Fact-MUNICIPALITÉDEPARIS11E-PROJ231-1 Montant ',1800,1);</v>
      </c>
      <c r="AR372" s="160" t="s">
        <v>2319</v>
      </c>
    </row>
    <row r="373" spans="5:44" ht="47.45" customHeight="1" x14ac:dyDescent="0.3">
      <c r="F373" s="160">
        <f>F372+1</f>
        <v>2</v>
      </c>
      <c r="G373" s="329">
        <v>44928</v>
      </c>
      <c r="H373" s="160">
        <v>1</v>
      </c>
      <c r="I373" s="304" t="s">
        <v>2316</v>
      </c>
      <c r="J373" s="160">
        <f>300*0.7</f>
        <v>210</v>
      </c>
      <c r="K373" s="160">
        <v>2</v>
      </c>
      <c r="L373" s="160">
        <v>1</v>
      </c>
      <c r="S373" s="353" t="str">
        <f t="shared" ref="S373:S385" si="192">"INSERT INTO "&amp;$E$371&amp;"("&amp;$F$371&amp;", "&amp;$G$371&amp;", "&amp;$H$371&amp;", "&amp;$I$371&amp;", "&amp;$J$371&amp;", "&amp;$K$371&amp;") VALUES ("&amp;F373&amp;", "&amp;G373&amp;", "&amp;H373&amp;", "&amp;I373&amp;", "&amp;J373&amp;", "&amp;K373&amp;");"</f>
        <v>INSERT INTO LIGFACTFORFAIT(idLigFactForfait, dateInterventionLigFactForfait, numLigFactForfait, designationLigFactForfait, montantLigFactForfait, idFacture) VALUES (2, 44928, 1, Echanges Rdv,prise de cotes,reportage photos, 210, 2);</v>
      </c>
      <c r="T373" s="160" t="s">
        <v>1922</v>
      </c>
      <c r="U373" s="160" t="str">
        <f t="shared" ref="U373:U385" si="193">U372</f>
        <v>LIGFACTFORFAIT</v>
      </c>
      <c r="V373" s="160" t="s">
        <v>2088</v>
      </c>
      <c r="W373" s="224" t="s">
        <v>345</v>
      </c>
      <c r="X373" s="360" t="s">
        <v>2020</v>
      </c>
      <c r="Y373" s="224" t="s">
        <v>325</v>
      </c>
      <c r="Z373" s="360" t="s">
        <v>2020</v>
      </c>
      <c r="AA373" s="224" t="s">
        <v>326</v>
      </c>
      <c r="AB373" s="360" t="s">
        <v>2020</v>
      </c>
      <c r="AC373" s="224" t="s">
        <v>327</v>
      </c>
      <c r="AD373" s="360" t="s">
        <v>2020</v>
      </c>
      <c r="AE373" s="295" t="s">
        <v>358</v>
      </c>
      <c r="AF373" s="360" t="s">
        <v>2089</v>
      </c>
      <c r="AG373" s="329" t="str">
        <f t="shared" ref="AG373:AG385" ca="1" si="194">IF(AND(G373&lt;=TODAY(),G373&lt;&gt;""),TEXT(G373,"aaaa/mm/jj"),"")</f>
        <v>2023/01/02</v>
      </c>
      <c r="AH373" s="360" t="s">
        <v>2093</v>
      </c>
      <c r="AI373" s="160">
        <f t="shared" ref="AI373:AI385" si="195">H373</f>
        <v>1</v>
      </c>
      <c r="AJ373" s="360" t="s">
        <v>2090</v>
      </c>
      <c r="AK373" s="160" t="str">
        <f t="shared" ref="AK373:AK385" si="196">I373</f>
        <v>Echanges Rdv,prise de cotes,reportage photos</v>
      </c>
      <c r="AL373" s="360" t="s">
        <v>2093</v>
      </c>
      <c r="AM373" s="160">
        <f t="shared" ref="AM373:AM385" si="197">J373</f>
        <v>210</v>
      </c>
      <c r="AN373" s="360" t="s">
        <v>2020</v>
      </c>
      <c r="AO373" s="160">
        <f t="shared" ref="AO373:AO385" si="198">K373</f>
        <v>2</v>
      </c>
      <c r="AP373" s="160" t="s">
        <v>2021</v>
      </c>
      <c r="AQ373" s="160" t="str">
        <f t="shared" ref="AQ373:AQ385" ca="1" si="199">T373&amp;U373&amp;V373&amp;W373&amp;X373&amp;Y373&amp;Z373&amp;AA373&amp;AB373&amp;AC373&amp;AD373&amp;AE373&amp;AF373&amp;AG373&amp;AH373&amp;AI373&amp;AJ373&amp;AK373&amp;AL373&amp;AM373&amp;AN373&amp;AO373&amp;AP373</f>
        <v>INSERT INTO LIGFACTFORFAIT(dateInterventionLigFactForfait,numLigFactForfait,designationLigFactForfait,montantLigFactForfait,idFacture) VALUES ('2023/01/02',1,'Echanges Rdv,prise de cotes,reportage photos',210,2);</v>
      </c>
      <c r="AR373" s="160" t="s">
        <v>2320</v>
      </c>
    </row>
    <row r="374" spans="5:44" ht="47.45" customHeight="1" x14ac:dyDescent="0.3">
      <c r="F374" s="160">
        <f t="shared" ref="F374:F385" si="200">F373+1</f>
        <v>3</v>
      </c>
      <c r="G374" s="329">
        <v>44928</v>
      </c>
      <c r="H374" s="160">
        <v>2</v>
      </c>
      <c r="I374" s="304" t="s">
        <v>2317</v>
      </c>
      <c r="J374" s="160">
        <f>2200*0.7</f>
        <v>1540</v>
      </c>
      <c r="K374" s="160">
        <v>2</v>
      </c>
      <c r="L374" s="160">
        <v>1</v>
      </c>
      <c r="S374" s="353" t="str">
        <f t="shared" si="192"/>
        <v>INSERT INTO LIGFACTFORFAIT(idLigFactForfait, dateInterventionLigFactForfait, numLigFactForfait, designationLigFactForfait, montantLigFactForfait, idFacture) VALUES (3, 44928, 2, Etude et propositions,Description de la partie a réaliser,Enumération des fournitures, 1540, 2);</v>
      </c>
      <c r="T374" s="160" t="s">
        <v>1922</v>
      </c>
      <c r="U374" s="160" t="str">
        <f t="shared" si="193"/>
        <v>LIGFACTFORFAIT</v>
      </c>
      <c r="V374" s="160" t="s">
        <v>2088</v>
      </c>
      <c r="W374" s="224" t="s">
        <v>345</v>
      </c>
      <c r="X374" s="360" t="s">
        <v>2020</v>
      </c>
      <c r="Y374" s="224" t="s">
        <v>325</v>
      </c>
      <c r="Z374" s="360" t="s">
        <v>2020</v>
      </c>
      <c r="AA374" s="224" t="s">
        <v>326</v>
      </c>
      <c r="AB374" s="360" t="s">
        <v>2020</v>
      </c>
      <c r="AC374" s="224" t="s">
        <v>327</v>
      </c>
      <c r="AD374" s="360" t="s">
        <v>2020</v>
      </c>
      <c r="AE374" s="295" t="s">
        <v>358</v>
      </c>
      <c r="AF374" s="360" t="s">
        <v>2089</v>
      </c>
      <c r="AG374" s="329" t="str">
        <f t="shared" ca="1" si="194"/>
        <v>2023/01/02</v>
      </c>
      <c r="AH374" s="360" t="s">
        <v>2093</v>
      </c>
      <c r="AI374" s="160">
        <f t="shared" si="195"/>
        <v>2</v>
      </c>
      <c r="AJ374" s="360" t="s">
        <v>2090</v>
      </c>
      <c r="AK374" s="160" t="str">
        <f t="shared" si="196"/>
        <v>Etude et propositions,Description de la partie a réaliser,Enumération des fournitures</v>
      </c>
      <c r="AL374" s="360" t="s">
        <v>2093</v>
      </c>
      <c r="AM374" s="160">
        <f t="shared" si="197"/>
        <v>1540</v>
      </c>
      <c r="AN374" s="360" t="s">
        <v>2020</v>
      </c>
      <c r="AO374" s="160">
        <f t="shared" si="198"/>
        <v>2</v>
      </c>
      <c r="AP374" s="160" t="s">
        <v>2021</v>
      </c>
      <c r="AQ374" s="160" t="str">
        <f t="shared" ca="1" si="199"/>
        <v>INSERT INTO LIGFACTFORFAIT(dateInterventionLigFactForfait,numLigFactForfait,designationLigFactForfait,montantLigFactForfait,idFacture) VALUES ('2023/01/02',2,'Etude et propositions,Description de la partie a réaliser,Enumération des fournitures',1540,2);</v>
      </c>
      <c r="AR374" s="160" t="s">
        <v>2321</v>
      </c>
    </row>
    <row r="375" spans="5:44" ht="47.45" customHeight="1" x14ac:dyDescent="0.3">
      <c r="F375" s="160">
        <f t="shared" si="200"/>
        <v>4</v>
      </c>
      <c r="G375" s="329">
        <v>44943</v>
      </c>
      <c r="H375" s="160">
        <v>3</v>
      </c>
      <c r="I375" s="304" t="s">
        <v>2318</v>
      </c>
      <c r="J375" s="160">
        <f>3500*0.7</f>
        <v>2450</v>
      </c>
      <c r="K375" s="160">
        <v>2</v>
      </c>
      <c r="L375" s="160">
        <v>1</v>
      </c>
      <c r="S375" s="353" t="str">
        <f t="shared" si="192"/>
        <v>INSERT INTO LIGFACTFORFAIT(idLigFactForfait, dateInterventionLigFactForfait, numLigFactForfait, designationLigFactForfait, montantLigFactForfait, idFacture) VALUES (4, 44943, 3, Réalisation,Fabrication et pose des elements validés à la phase 2 ,indication éventuelle date de livraison, 2450, 2);</v>
      </c>
      <c r="T375" s="160" t="s">
        <v>1922</v>
      </c>
      <c r="U375" s="160" t="str">
        <f t="shared" si="193"/>
        <v>LIGFACTFORFAIT</v>
      </c>
      <c r="V375" s="160" t="s">
        <v>2088</v>
      </c>
      <c r="W375" s="224" t="s">
        <v>345</v>
      </c>
      <c r="X375" s="360" t="s">
        <v>2020</v>
      </c>
      <c r="Y375" s="224" t="s">
        <v>325</v>
      </c>
      <c r="Z375" s="360" t="s">
        <v>2020</v>
      </c>
      <c r="AA375" s="224" t="s">
        <v>326</v>
      </c>
      <c r="AB375" s="360" t="s">
        <v>2020</v>
      </c>
      <c r="AC375" s="224" t="s">
        <v>327</v>
      </c>
      <c r="AD375" s="360" t="s">
        <v>2020</v>
      </c>
      <c r="AE375" s="295" t="s">
        <v>358</v>
      </c>
      <c r="AF375" s="360" t="s">
        <v>2089</v>
      </c>
      <c r="AG375" s="329" t="str">
        <f t="shared" ca="1" si="194"/>
        <v>2023/01/17</v>
      </c>
      <c r="AH375" s="360" t="s">
        <v>2093</v>
      </c>
      <c r="AI375" s="160">
        <f t="shared" si="195"/>
        <v>3</v>
      </c>
      <c r="AJ375" s="360" t="s">
        <v>2090</v>
      </c>
      <c r="AK375" s="160" t="str">
        <f t="shared" si="196"/>
        <v>Réalisation,Fabrication et pose des elements validés à la phase 2 ,indication éventuelle date de livraison</v>
      </c>
      <c r="AL375" s="360" t="s">
        <v>2093</v>
      </c>
      <c r="AM375" s="160">
        <f t="shared" si="197"/>
        <v>2450</v>
      </c>
      <c r="AN375" s="360" t="s">
        <v>2020</v>
      </c>
      <c r="AO375" s="160">
        <f t="shared" si="198"/>
        <v>2</v>
      </c>
      <c r="AP375" s="160" t="s">
        <v>2021</v>
      </c>
      <c r="AQ375" s="160" t="str">
        <f t="shared" ca="1" si="199"/>
        <v>INSERT INTO LIGFACTFORFAIT(dateInterventionLigFactForfait,numLigFactForfait,designationLigFactForfait,montantLigFactForfait,idFacture) VALUES ('2023/01/17',3,'Réalisation,Fabrication et pose des elements validés à la phase 2 ,indication éventuelle date de livraison',2450,2);</v>
      </c>
      <c r="AR375" s="160" t="s">
        <v>2322</v>
      </c>
    </row>
    <row r="376" spans="5:44" ht="25.05" customHeight="1" x14ac:dyDescent="0.3">
      <c r="F376" s="160">
        <f t="shared" si="200"/>
        <v>5</v>
      </c>
      <c r="G376" s="329">
        <v>44998</v>
      </c>
      <c r="H376" s="160">
        <v>1</v>
      </c>
      <c r="I376" s="160" t="str">
        <f>"Facture Acompte de 30% - du devis "&amp;_xlfn.XLOOKUP(K376,F$355:F$368,G$355:G$368)&amp;" Montant "</f>
        <v xml:space="preserve">Facture Acompte de 30% - du devis 260223-Fact-LABONNEBAGUETTE-PROJ235-9 Montant </v>
      </c>
      <c r="J376" s="160">
        <f>6300*0.3</f>
        <v>1890</v>
      </c>
      <c r="K376" s="160">
        <v>9</v>
      </c>
      <c r="L376" s="160">
        <v>5</v>
      </c>
      <c r="S376" s="353" t="str">
        <f t="shared" si="192"/>
        <v>INSERT INTO LIGFACTFORFAIT(idLigFactForfait, dateInterventionLigFactForfait, numLigFactForfait, designationLigFactForfait, montantLigFactForfait, idFacture) VALUES (5, 44998, 1, Facture Acompte de 30% - du devis 260223-Fact-LABONNEBAGUETTE-PROJ235-9 Montant , 1890, 9);</v>
      </c>
      <c r="T376" s="160" t="s">
        <v>1922</v>
      </c>
      <c r="U376" s="160" t="str">
        <f t="shared" si="193"/>
        <v>LIGFACTFORFAIT</v>
      </c>
      <c r="V376" s="160" t="s">
        <v>2088</v>
      </c>
      <c r="W376" s="224" t="s">
        <v>345</v>
      </c>
      <c r="X376" s="360" t="s">
        <v>2020</v>
      </c>
      <c r="Y376" s="224" t="s">
        <v>325</v>
      </c>
      <c r="Z376" s="360" t="s">
        <v>2020</v>
      </c>
      <c r="AA376" s="224" t="s">
        <v>326</v>
      </c>
      <c r="AB376" s="360" t="s">
        <v>2020</v>
      </c>
      <c r="AC376" s="224" t="s">
        <v>327</v>
      </c>
      <c r="AD376" s="360" t="s">
        <v>2020</v>
      </c>
      <c r="AE376" s="295" t="s">
        <v>358</v>
      </c>
      <c r="AF376" s="360" t="s">
        <v>2089</v>
      </c>
      <c r="AG376" s="329" t="str">
        <f t="shared" ca="1" si="194"/>
        <v>2023/03/13</v>
      </c>
      <c r="AH376" s="360" t="s">
        <v>2093</v>
      </c>
      <c r="AI376" s="160">
        <f t="shared" si="195"/>
        <v>1</v>
      </c>
      <c r="AJ376" s="360" t="s">
        <v>2090</v>
      </c>
      <c r="AK376" s="160" t="str">
        <f t="shared" si="196"/>
        <v xml:space="preserve">Facture Acompte de 30% - du devis 260223-Fact-LABONNEBAGUETTE-PROJ235-9 Montant </v>
      </c>
      <c r="AL376" s="360" t="s">
        <v>2093</v>
      </c>
      <c r="AM376" s="160">
        <f t="shared" si="197"/>
        <v>1890</v>
      </c>
      <c r="AN376" s="360" t="s">
        <v>2020</v>
      </c>
      <c r="AO376" s="160">
        <f t="shared" si="198"/>
        <v>9</v>
      </c>
      <c r="AP376" s="160" t="s">
        <v>2021</v>
      </c>
      <c r="AQ376" s="160" t="str">
        <f t="shared" ca="1" si="199"/>
        <v>INSERT INTO LIGFACTFORFAIT(dateInterventionLigFactForfait,numLigFactForfait,designationLigFactForfait,montantLigFactForfait,idFacture) VALUES ('2023/03/13',1,'Facture Acompte de 30% - du devis 260223-Fact-LABONNEBAGUETTE-PROJ235-9 Montant ',1890,9);</v>
      </c>
      <c r="AR376" s="160" t="s">
        <v>2323</v>
      </c>
    </row>
    <row r="377" spans="5:44" ht="25.05" customHeight="1" x14ac:dyDescent="0.3">
      <c r="F377" s="160">
        <f t="shared" si="200"/>
        <v>6</v>
      </c>
      <c r="G377" s="329">
        <v>44998</v>
      </c>
      <c r="H377" s="160">
        <v>1</v>
      </c>
      <c r="I377" s="304" t="s">
        <v>1817</v>
      </c>
      <c r="J377" s="160">
        <f>400*0.7</f>
        <v>280</v>
      </c>
      <c r="K377" s="160">
        <v>10</v>
      </c>
      <c r="L377" s="160">
        <v>5</v>
      </c>
      <c r="S377" s="353" t="str">
        <f t="shared" si="192"/>
        <v>INSERT INTO LIGFACTFORFAIT(idLigFactForfait, dateInterventionLigFactForfait, numLigFactForfait, designationLigFactForfait, montantLigFactForfait, idFacture) VALUES (6, 44998, 1, Ligne prise des exigences test Forfait 1, 280, 10);</v>
      </c>
      <c r="T377" s="160" t="s">
        <v>1922</v>
      </c>
      <c r="U377" s="160" t="str">
        <f t="shared" si="193"/>
        <v>LIGFACTFORFAIT</v>
      </c>
      <c r="V377" s="160" t="s">
        <v>2088</v>
      </c>
      <c r="W377" s="224" t="s">
        <v>345</v>
      </c>
      <c r="X377" s="360" t="s">
        <v>2020</v>
      </c>
      <c r="Y377" s="224" t="s">
        <v>325</v>
      </c>
      <c r="Z377" s="360" t="s">
        <v>2020</v>
      </c>
      <c r="AA377" s="224" t="s">
        <v>326</v>
      </c>
      <c r="AB377" s="360" t="s">
        <v>2020</v>
      </c>
      <c r="AC377" s="224" t="s">
        <v>327</v>
      </c>
      <c r="AD377" s="360" t="s">
        <v>2020</v>
      </c>
      <c r="AE377" s="295" t="s">
        <v>358</v>
      </c>
      <c r="AF377" s="360" t="s">
        <v>2089</v>
      </c>
      <c r="AG377" s="329" t="str">
        <f t="shared" ca="1" si="194"/>
        <v>2023/03/13</v>
      </c>
      <c r="AH377" s="360" t="s">
        <v>2093</v>
      </c>
      <c r="AI377" s="160">
        <f t="shared" si="195"/>
        <v>1</v>
      </c>
      <c r="AJ377" s="360" t="s">
        <v>2090</v>
      </c>
      <c r="AK377" s="160" t="str">
        <f t="shared" si="196"/>
        <v>Ligne prise des exigences test Forfait 1</v>
      </c>
      <c r="AL377" s="360" t="s">
        <v>2093</v>
      </c>
      <c r="AM377" s="160">
        <f t="shared" si="197"/>
        <v>280</v>
      </c>
      <c r="AN377" s="360" t="s">
        <v>2020</v>
      </c>
      <c r="AO377" s="160">
        <f t="shared" si="198"/>
        <v>10</v>
      </c>
      <c r="AP377" s="160" t="s">
        <v>2021</v>
      </c>
      <c r="AQ377" s="160" t="str">
        <f t="shared" ca="1" si="199"/>
        <v>INSERT INTO LIGFACTFORFAIT(dateInterventionLigFactForfait,numLigFactForfait,designationLigFactForfait,montantLigFactForfait,idFacture) VALUES ('2023/03/13',1,'Ligne prise des exigences test Forfait 1',280,10);</v>
      </c>
      <c r="AR377" s="160" t="s">
        <v>2310</v>
      </c>
    </row>
    <row r="378" spans="5:44" ht="25.05" customHeight="1" x14ac:dyDescent="0.3">
      <c r="F378" s="160">
        <f t="shared" si="200"/>
        <v>7</v>
      </c>
      <c r="G378" s="329">
        <v>44998</v>
      </c>
      <c r="H378" s="160">
        <v>2</v>
      </c>
      <c r="I378" s="304" t="s">
        <v>1818</v>
      </c>
      <c r="J378" s="160">
        <f>2300*0.7</f>
        <v>1610</v>
      </c>
      <c r="K378" s="160">
        <v>10</v>
      </c>
      <c r="L378" s="160">
        <v>5</v>
      </c>
      <c r="S378" s="353" t="str">
        <f t="shared" si="192"/>
        <v>INSERT INTO LIGFACTFORFAIT(idLigFactForfait, dateInterventionLigFactForfait, numLigFactForfait, designationLigFactForfait, montantLigFactForfait, idFacture) VALUES (7, 44998, 2, Ligne de la conception test Forfait1, 1610, 10);</v>
      </c>
      <c r="T378" s="160" t="s">
        <v>1922</v>
      </c>
      <c r="U378" s="160" t="str">
        <f t="shared" si="193"/>
        <v>LIGFACTFORFAIT</v>
      </c>
      <c r="V378" s="160" t="s">
        <v>2088</v>
      </c>
      <c r="W378" s="224" t="s">
        <v>345</v>
      </c>
      <c r="X378" s="360" t="s">
        <v>2020</v>
      </c>
      <c r="Y378" s="224" t="s">
        <v>325</v>
      </c>
      <c r="Z378" s="360" t="s">
        <v>2020</v>
      </c>
      <c r="AA378" s="224" t="s">
        <v>326</v>
      </c>
      <c r="AB378" s="360" t="s">
        <v>2020</v>
      </c>
      <c r="AC378" s="224" t="s">
        <v>327</v>
      </c>
      <c r="AD378" s="360" t="s">
        <v>2020</v>
      </c>
      <c r="AE378" s="295" t="s">
        <v>358</v>
      </c>
      <c r="AF378" s="360" t="s">
        <v>2089</v>
      </c>
      <c r="AG378" s="329" t="str">
        <f t="shared" ca="1" si="194"/>
        <v>2023/03/13</v>
      </c>
      <c r="AH378" s="360" t="s">
        <v>2093</v>
      </c>
      <c r="AI378" s="160">
        <f t="shared" si="195"/>
        <v>2</v>
      </c>
      <c r="AJ378" s="360" t="s">
        <v>2090</v>
      </c>
      <c r="AK378" s="160" t="str">
        <f t="shared" si="196"/>
        <v>Ligne de la conception test Forfait1</v>
      </c>
      <c r="AL378" s="360" t="s">
        <v>2093</v>
      </c>
      <c r="AM378" s="160">
        <f t="shared" si="197"/>
        <v>1610</v>
      </c>
      <c r="AN378" s="360" t="s">
        <v>2020</v>
      </c>
      <c r="AO378" s="160">
        <f t="shared" si="198"/>
        <v>10</v>
      </c>
      <c r="AP378" s="160" t="s">
        <v>2021</v>
      </c>
      <c r="AQ378" s="160" t="str">
        <f t="shared" ca="1" si="199"/>
        <v>INSERT INTO LIGFACTFORFAIT(dateInterventionLigFactForfait,numLigFactForfait,designationLigFactForfait,montantLigFactForfait,idFacture) VALUES ('2023/03/13',2,'Ligne de la conception test Forfait1',1610,10);</v>
      </c>
      <c r="AR378" s="160" t="s">
        <v>2311</v>
      </c>
    </row>
    <row r="379" spans="5:44" ht="25.05" customHeight="1" x14ac:dyDescent="0.3">
      <c r="F379" s="160">
        <f t="shared" si="200"/>
        <v>8</v>
      </c>
      <c r="G379" s="329">
        <v>45020</v>
      </c>
      <c r="H379" s="160">
        <v>3</v>
      </c>
      <c r="I379" s="304" t="s">
        <v>1819</v>
      </c>
      <c r="J379" s="160">
        <f>3600*0.7</f>
        <v>2520</v>
      </c>
      <c r="K379" s="160">
        <v>10</v>
      </c>
      <c r="L379" s="160">
        <v>5</v>
      </c>
      <c r="S379" s="353" t="str">
        <f t="shared" si="192"/>
        <v>INSERT INTO LIGFACTFORFAIT(idLigFactForfait, dateInterventionLigFactForfait, numLigFactForfait, designationLigFactForfait, montantLigFactForfait, idFacture) VALUES (8, 45020, 3, Ligne réalisation et indication date butoir projet test Forfait 1, 2520, 10);</v>
      </c>
      <c r="T379" s="160" t="s">
        <v>1922</v>
      </c>
      <c r="U379" s="160" t="str">
        <f t="shared" si="193"/>
        <v>LIGFACTFORFAIT</v>
      </c>
      <c r="V379" s="160" t="s">
        <v>2088</v>
      </c>
      <c r="W379" s="224" t="s">
        <v>345</v>
      </c>
      <c r="X379" s="360" t="s">
        <v>2020</v>
      </c>
      <c r="Y379" s="224" t="s">
        <v>325</v>
      </c>
      <c r="Z379" s="360" t="s">
        <v>2020</v>
      </c>
      <c r="AA379" s="224" t="s">
        <v>326</v>
      </c>
      <c r="AB379" s="360" t="s">
        <v>2020</v>
      </c>
      <c r="AC379" s="224" t="s">
        <v>327</v>
      </c>
      <c r="AD379" s="360" t="s">
        <v>2020</v>
      </c>
      <c r="AE379" s="295" t="s">
        <v>358</v>
      </c>
      <c r="AF379" s="360" t="s">
        <v>2089</v>
      </c>
      <c r="AG379" s="329" t="str">
        <f t="shared" ca="1" si="194"/>
        <v>2023/04/04</v>
      </c>
      <c r="AH379" s="360" t="s">
        <v>2093</v>
      </c>
      <c r="AI379" s="160">
        <f t="shared" si="195"/>
        <v>3</v>
      </c>
      <c r="AJ379" s="360" t="s">
        <v>2090</v>
      </c>
      <c r="AK379" s="160" t="str">
        <f t="shared" si="196"/>
        <v>Ligne réalisation et indication date butoir projet test Forfait 1</v>
      </c>
      <c r="AL379" s="360" t="s">
        <v>2093</v>
      </c>
      <c r="AM379" s="160">
        <f t="shared" si="197"/>
        <v>2520</v>
      </c>
      <c r="AN379" s="360" t="s">
        <v>2020</v>
      </c>
      <c r="AO379" s="160">
        <f t="shared" si="198"/>
        <v>10</v>
      </c>
      <c r="AP379" s="160" t="s">
        <v>2021</v>
      </c>
      <c r="AQ379" s="160" t="str">
        <f t="shared" ca="1" si="199"/>
        <v>INSERT INTO LIGFACTFORFAIT(dateInterventionLigFactForfait,numLigFactForfait,designationLigFactForfait,montantLigFactForfait,idFacture) VALUES ('2023/04/04',3,'Ligne réalisation et indication date butoir projet test Forfait 1',2520,10);</v>
      </c>
      <c r="AR379" s="160" t="s">
        <v>2312</v>
      </c>
    </row>
    <row r="380" spans="5:44" ht="25.05" customHeight="1" x14ac:dyDescent="0.3">
      <c r="F380" s="160">
        <f t="shared" si="200"/>
        <v>9</v>
      </c>
      <c r="G380" s="329">
        <v>45019</v>
      </c>
      <c r="H380" s="160">
        <v>1</v>
      </c>
      <c r="I380" s="160" t="str">
        <f>"Facture Acompte de 30% - du devis "&amp;_xlfn.XLOOKUP(K380,F$355:F$368,G$355:G$368)&amp;" Montant "</f>
        <v xml:space="preserve">Facture Acompte de 30% - du devis 120323-Fact-GLESBOULES-PROJ236-11 Montant </v>
      </c>
      <c r="J380" s="160">
        <f>6000*0.3</f>
        <v>1800</v>
      </c>
      <c r="K380" s="160">
        <v>11</v>
      </c>
      <c r="L380" s="160">
        <v>6</v>
      </c>
      <c r="S380" s="353" t="str">
        <f t="shared" si="192"/>
        <v>INSERT INTO LIGFACTFORFAIT(idLigFactForfait, dateInterventionLigFactForfait, numLigFactForfait, designationLigFactForfait, montantLigFactForfait, idFacture) VALUES (9, 45019, 1, Facture Acompte de 30% - du devis 120323-Fact-GLESBOULES-PROJ236-11 Montant , 1800, 11);</v>
      </c>
      <c r="T380" s="160" t="s">
        <v>1922</v>
      </c>
      <c r="U380" s="160" t="str">
        <f t="shared" si="193"/>
        <v>LIGFACTFORFAIT</v>
      </c>
      <c r="V380" s="160" t="s">
        <v>2088</v>
      </c>
      <c r="W380" s="224" t="s">
        <v>345</v>
      </c>
      <c r="X380" s="360" t="s">
        <v>2020</v>
      </c>
      <c r="Y380" s="224" t="s">
        <v>325</v>
      </c>
      <c r="Z380" s="360" t="s">
        <v>2020</v>
      </c>
      <c r="AA380" s="224" t="s">
        <v>326</v>
      </c>
      <c r="AB380" s="360" t="s">
        <v>2020</v>
      </c>
      <c r="AC380" s="224" t="s">
        <v>327</v>
      </c>
      <c r="AD380" s="360" t="s">
        <v>2020</v>
      </c>
      <c r="AE380" s="295" t="s">
        <v>358</v>
      </c>
      <c r="AF380" s="360" t="s">
        <v>2089</v>
      </c>
      <c r="AG380" s="329" t="str">
        <f t="shared" ca="1" si="194"/>
        <v>2023/04/03</v>
      </c>
      <c r="AH380" s="360" t="s">
        <v>2093</v>
      </c>
      <c r="AI380" s="160">
        <f t="shared" si="195"/>
        <v>1</v>
      </c>
      <c r="AJ380" s="360" t="s">
        <v>2090</v>
      </c>
      <c r="AK380" s="160" t="str">
        <f t="shared" si="196"/>
        <v xml:space="preserve">Facture Acompte de 30% - du devis 120323-Fact-GLESBOULES-PROJ236-11 Montant </v>
      </c>
      <c r="AL380" s="360" t="s">
        <v>2093</v>
      </c>
      <c r="AM380" s="160">
        <f t="shared" si="197"/>
        <v>1800</v>
      </c>
      <c r="AN380" s="360" t="s">
        <v>2020</v>
      </c>
      <c r="AO380" s="160">
        <f t="shared" si="198"/>
        <v>11</v>
      </c>
      <c r="AP380" s="160" t="s">
        <v>2021</v>
      </c>
      <c r="AQ380" s="160" t="str">
        <f t="shared" ca="1" si="199"/>
        <v>INSERT INTO LIGFACTFORFAIT(dateInterventionLigFactForfait,numLigFactForfait,designationLigFactForfait,montantLigFactForfait,idFacture) VALUES ('2023/04/03',1,'Facture Acompte de 30% - du devis 120323-Fact-GLESBOULES-PROJ236-11 Montant ',1800,11);</v>
      </c>
      <c r="AR380" s="160" t="s">
        <v>2324</v>
      </c>
    </row>
    <row r="381" spans="5:44" ht="25.05" customHeight="1" x14ac:dyDescent="0.3">
      <c r="F381" s="160">
        <f t="shared" si="200"/>
        <v>10</v>
      </c>
      <c r="G381" s="329">
        <v>45019</v>
      </c>
      <c r="H381" s="160">
        <v>1</v>
      </c>
      <c r="I381" s="304" t="s">
        <v>1826</v>
      </c>
      <c r="J381" s="160">
        <f>500*0.7</f>
        <v>350</v>
      </c>
      <c r="K381" s="160">
        <v>12</v>
      </c>
      <c r="L381" s="160">
        <v>6</v>
      </c>
      <c r="M381" s="351"/>
      <c r="N381" s="352"/>
      <c r="O381" s="352"/>
      <c r="Q381" s="322"/>
      <c r="S381" s="353" t="str">
        <f t="shared" si="192"/>
        <v>INSERT INTO LIGFACTFORFAIT(idLigFactForfait, dateInterventionLigFactForfait, numLigFactForfait, designationLigFactForfait, montantLigFactForfait, idFacture) VALUES (10, 45019, 1, Ligne prise des exigences test Forfait 2, 350, 12);</v>
      </c>
      <c r="T381" s="160" t="s">
        <v>1922</v>
      </c>
      <c r="U381" s="160" t="str">
        <f t="shared" si="193"/>
        <v>LIGFACTFORFAIT</v>
      </c>
      <c r="V381" s="160" t="s">
        <v>2088</v>
      </c>
      <c r="W381" s="224" t="s">
        <v>345</v>
      </c>
      <c r="X381" s="360" t="s">
        <v>2020</v>
      </c>
      <c r="Y381" s="224" t="s">
        <v>325</v>
      </c>
      <c r="Z381" s="360" t="s">
        <v>2020</v>
      </c>
      <c r="AA381" s="224" t="s">
        <v>326</v>
      </c>
      <c r="AB381" s="360" t="s">
        <v>2020</v>
      </c>
      <c r="AC381" s="224" t="s">
        <v>327</v>
      </c>
      <c r="AD381" s="360" t="s">
        <v>2020</v>
      </c>
      <c r="AE381" s="295" t="s">
        <v>358</v>
      </c>
      <c r="AF381" s="360" t="s">
        <v>2089</v>
      </c>
      <c r="AG381" s="329" t="str">
        <f t="shared" ca="1" si="194"/>
        <v>2023/04/03</v>
      </c>
      <c r="AH381" s="360" t="s">
        <v>2093</v>
      </c>
      <c r="AI381" s="160">
        <f t="shared" si="195"/>
        <v>1</v>
      </c>
      <c r="AJ381" s="360" t="s">
        <v>2090</v>
      </c>
      <c r="AK381" s="160" t="str">
        <f t="shared" si="196"/>
        <v>Ligne prise des exigences test Forfait 2</v>
      </c>
      <c r="AL381" s="360" t="s">
        <v>2093</v>
      </c>
      <c r="AM381" s="160">
        <f t="shared" si="197"/>
        <v>350</v>
      </c>
      <c r="AN381" s="360" t="s">
        <v>2020</v>
      </c>
      <c r="AO381" s="160">
        <f t="shared" si="198"/>
        <v>12</v>
      </c>
      <c r="AP381" s="160" t="s">
        <v>2021</v>
      </c>
      <c r="AQ381" s="160" t="str">
        <f t="shared" ca="1" si="199"/>
        <v>INSERT INTO LIGFACTFORFAIT(dateInterventionLigFactForfait,numLigFactForfait,designationLigFactForfait,montantLigFactForfait,idFacture) VALUES ('2023/04/03',1,'Ligne prise des exigences test Forfait 2',350,12);</v>
      </c>
      <c r="AR381" s="160" t="s">
        <v>2313</v>
      </c>
    </row>
    <row r="382" spans="5:44" ht="25.05" customHeight="1" x14ac:dyDescent="0.3">
      <c r="F382" s="160">
        <f t="shared" si="200"/>
        <v>11</v>
      </c>
      <c r="G382" s="329">
        <v>45019</v>
      </c>
      <c r="H382" s="160">
        <v>2</v>
      </c>
      <c r="I382" s="304" t="s">
        <v>1827</v>
      </c>
      <c r="J382" s="160">
        <f>2500*0.7</f>
        <v>1750</v>
      </c>
      <c r="K382" s="160">
        <v>12</v>
      </c>
      <c r="L382" s="160">
        <v>6</v>
      </c>
      <c r="N382" s="329"/>
      <c r="S382" s="353" t="str">
        <f t="shared" si="192"/>
        <v>INSERT INTO LIGFACTFORFAIT(idLigFactForfait, dateInterventionLigFactForfait, numLigFactForfait, designationLigFactForfait, montantLigFactForfait, idFacture) VALUES (11, 45019, 2, Ligne de la conception test Forfait2, 1750, 12);</v>
      </c>
      <c r="T382" s="160" t="s">
        <v>1922</v>
      </c>
      <c r="U382" s="160" t="str">
        <f t="shared" si="193"/>
        <v>LIGFACTFORFAIT</v>
      </c>
      <c r="V382" s="160" t="s">
        <v>2088</v>
      </c>
      <c r="W382" s="224" t="s">
        <v>345</v>
      </c>
      <c r="X382" s="360" t="s">
        <v>2020</v>
      </c>
      <c r="Y382" s="224" t="s">
        <v>325</v>
      </c>
      <c r="Z382" s="360" t="s">
        <v>2020</v>
      </c>
      <c r="AA382" s="224" t="s">
        <v>326</v>
      </c>
      <c r="AB382" s="360" t="s">
        <v>2020</v>
      </c>
      <c r="AC382" s="224" t="s">
        <v>327</v>
      </c>
      <c r="AD382" s="360" t="s">
        <v>2020</v>
      </c>
      <c r="AE382" s="295" t="s">
        <v>358</v>
      </c>
      <c r="AF382" s="360" t="s">
        <v>2089</v>
      </c>
      <c r="AG382" s="329" t="str">
        <f t="shared" ca="1" si="194"/>
        <v>2023/04/03</v>
      </c>
      <c r="AH382" s="360" t="s">
        <v>2093</v>
      </c>
      <c r="AI382" s="160">
        <f t="shared" si="195"/>
        <v>2</v>
      </c>
      <c r="AJ382" s="360" t="s">
        <v>2090</v>
      </c>
      <c r="AK382" s="160" t="str">
        <f t="shared" si="196"/>
        <v>Ligne de la conception test Forfait2</v>
      </c>
      <c r="AL382" s="360" t="s">
        <v>2093</v>
      </c>
      <c r="AM382" s="160">
        <f t="shared" si="197"/>
        <v>1750</v>
      </c>
      <c r="AN382" s="360" t="s">
        <v>2020</v>
      </c>
      <c r="AO382" s="160">
        <f t="shared" si="198"/>
        <v>12</v>
      </c>
      <c r="AP382" s="160" t="s">
        <v>2021</v>
      </c>
      <c r="AQ382" s="160" t="str">
        <f t="shared" ca="1" si="199"/>
        <v>INSERT INTO LIGFACTFORFAIT(dateInterventionLigFactForfait,numLigFactForfait,designationLigFactForfait,montantLigFactForfait,idFacture) VALUES ('2023/04/03',2,'Ligne de la conception test Forfait2',1750,12);</v>
      </c>
      <c r="AR382" s="160" t="s">
        <v>2314</v>
      </c>
    </row>
    <row r="383" spans="5:44" ht="25.05" customHeight="1" x14ac:dyDescent="0.3">
      <c r="F383" s="160">
        <f t="shared" si="200"/>
        <v>12</v>
      </c>
      <c r="G383" s="329">
        <v>45044</v>
      </c>
      <c r="H383" s="160">
        <v>3</v>
      </c>
      <c r="I383" s="304" t="s">
        <v>1828</v>
      </c>
      <c r="J383" s="160">
        <f>3000*0.7</f>
        <v>2100</v>
      </c>
      <c r="K383" s="160">
        <v>12</v>
      </c>
      <c r="L383" s="160">
        <v>6</v>
      </c>
      <c r="N383" s="329"/>
      <c r="S383" s="353" t="str">
        <f t="shared" si="192"/>
        <v>INSERT INTO LIGFACTFORFAIT(idLigFactForfait, dateInterventionLigFactForfait, numLigFactForfait, designationLigFactForfait, montantLigFactForfait, idFacture) VALUES (12, 45044, 3, Ligne réalisation et indication date butoir projet test Forfait 2, 2100, 12);</v>
      </c>
      <c r="T383" s="160" t="s">
        <v>1922</v>
      </c>
      <c r="U383" s="160" t="str">
        <f t="shared" si="193"/>
        <v>LIGFACTFORFAIT</v>
      </c>
      <c r="V383" s="160" t="s">
        <v>2088</v>
      </c>
      <c r="W383" s="224" t="s">
        <v>345</v>
      </c>
      <c r="X383" s="360" t="s">
        <v>2020</v>
      </c>
      <c r="Y383" s="224" t="s">
        <v>325</v>
      </c>
      <c r="Z383" s="360" t="s">
        <v>2020</v>
      </c>
      <c r="AA383" s="224" t="s">
        <v>326</v>
      </c>
      <c r="AB383" s="360" t="s">
        <v>2020</v>
      </c>
      <c r="AC383" s="224" t="s">
        <v>327</v>
      </c>
      <c r="AD383" s="360" t="s">
        <v>2020</v>
      </c>
      <c r="AE383" s="295" t="s">
        <v>358</v>
      </c>
      <c r="AF383" s="360" t="s">
        <v>2089</v>
      </c>
      <c r="AG383" s="329" t="str">
        <f t="shared" ca="1" si="194"/>
        <v>2023/04/28</v>
      </c>
      <c r="AH383" s="360" t="s">
        <v>2093</v>
      </c>
      <c r="AI383" s="160">
        <f t="shared" si="195"/>
        <v>3</v>
      </c>
      <c r="AJ383" s="360" t="s">
        <v>2090</v>
      </c>
      <c r="AK383" s="160" t="str">
        <f t="shared" si="196"/>
        <v>Ligne réalisation et indication date butoir projet test Forfait 2</v>
      </c>
      <c r="AL383" s="360" t="s">
        <v>2093</v>
      </c>
      <c r="AM383" s="160">
        <f t="shared" si="197"/>
        <v>2100</v>
      </c>
      <c r="AN383" s="360" t="s">
        <v>2020</v>
      </c>
      <c r="AO383" s="160">
        <f t="shared" si="198"/>
        <v>12</v>
      </c>
      <c r="AP383" s="160" t="s">
        <v>2021</v>
      </c>
      <c r="AQ383" s="160" t="str">
        <f t="shared" ca="1" si="199"/>
        <v>INSERT INTO LIGFACTFORFAIT(dateInterventionLigFactForfait,numLigFactForfait,designationLigFactForfait,montantLigFactForfait,idFacture) VALUES ('2023/04/28',3,'Ligne réalisation et indication date butoir projet test Forfait 2',2100,12);</v>
      </c>
      <c r="AR383" s="160" t="s">
        <v>2315</v>
      </c>
    </row>
    <row r="384" spans="5:44" ht="25.05" customHeight="1" x14ac:dyDescent="0.3">
      <c r="F384" s="160">
        <f t="shared" si="200"/>
        <v>13</v>
      </c>
      <c r="G384" s="329">
        <v>45048</v>
      </c>
      <c r="H384" s="160">
        <v>1</v>
      </c>
      <c r="I384" s="160" t="str">
        <f>"Facture Acompte de 30% - du devis "&amp;_xlfn.XLOOKUP(K384,F$355:F$368,G$355:G$368)&amp;" Montant "</f>
        <v xml:space="preserve">Facture Acompte de 30% - du devis 150423-Fact-AUPIRATE-PROJ237-13 Montant </v>
      </c>
      <c r="J384" s="160">
        <f>7100*0.3</f>
        <v>2130</v>
      </c>
      <c r="K384" s="160">
        <v>13</v>
      </c>
      <c r="L384" s="160">
        <v>7</v>
      </c>
      <c r="N384" s="335"/>
      <c r="S384" s="353" t="str">
        <f t="shared" si="192"/>
        <v>INSERT INTO LIGFACTFORFAIT(idLigFactForfait, dateInterventionLigFactForfait, numLigFactForfait, designationLigFactForfait, montantLigFactForfait, idFacture) VALUES (13, 45048, 1, Facture Acompte de 30% - du devis 150423-Fact-AUPIRATE-PROJ237-13 Montant , 2130, 13);</v>
      </c>
      <c r="T384" s="160" t="s">
        <v>1922</v>
      </c>
      <c r="U384" s="160" t="str">
        <f t="shared" si="193"/>
        <v>LIGFACTFORFAIT</v>
      </c>
      <c r="V384" s="160" t="s">
        <v>2088</v>
      </c>
      <c r="W384" s="224" t="s">
        <v>345</v>
      </c>
      <c r="X384" s="360" t="s">
        <v>2020</v>
      </c>
      <c r="Y384" s="224" t="s">
        <v>325</v>
      </c>
      <c r="Z384" s="360" t="s">
        <v>2020</v>
      </c>
      <c r="AA384" s="224" t="s">
        <v>326</v>
      </c>
      <c r="AB384" s="360" t="s">
        <v>2020</v>
      </c>
      <c r="AC384" s="224" t="s">
        <v>327</v>
      </c>
      <c r="AD384" s="360" t="s">
        <v>2020</v>
      </c>
      <c r="AE384" s="295" t="s">
        <v>358</v>
      </c>
      <c r="AF384" s="360" t="s">
        <v>2089</v>
      </c>
      <c r="AG384" s="329" t="str">
        <f ca="1">IF(AND(G384&lt;=TODAY(),G384&lt;&gt;""),TEXT(G384,"aaaa/mm/jj"),"")</f>
        <v>2023/05/02</v>
      </c>
      <c r="AH384" s="360" t="s">
        <v>2093</v>
      </c>
      <c r="AI384" s="160">
        <f t="shared" si="195"/>
        <v>1</v>
      </c>
      <c r="AJ384" s="360" t="s">
        <v>2090</v>
      </c>
      <c r="AK384" s="160" t="str">
        <f t="shared" si="196"/>
        <v xml:space="preserve">Facture Acompte de 30% - du devis 150423-Fact-AUPIRATE-PROJ237-13 Montant </v>
      </c>
      <c r="AL384" s="360" t="s">
        <v>2093</v>
      </c>
      <c r="AM384" s="160">
        <f t="shared" si="197"/>
        <v>2130</v>
      </c>
      <c r="AN384" s="360" t="s">
        <v>2020</v>
      </c>
      <c r="AO384" s="160">
        <f t="shared" si="198"/>
        <v>13</v>
      </c>
      <c r="AP384" s="160" t="s">
        <v>2021</v>
      </c>
      <c r="AQ384" s="160" t="str">
        <f t="shared" ca="1" si="199"/>
        <v>INSERT INTO LIGFACTFORFAIT(dateInterventionLigFactForfait,numLigFactForfait,designationLigFactForfait,montantLigFactForfait,idFacture) VALUES ('2023/05/02',1,'Facture Acompte de 30% - du devis 150423-Fact-AUPIRATE-PROJ237-13 Montant ',2130,13);</v>
      </c>
      <c r="AR384" s="160" t="s">
        <v>2325</v>
      </c>
    </row>
    <row r="385" spans="5:48" ht="25.05" customHeight="1" x14ac:dyDescent="0.3">
      <c r="F385" s="160">
        <f t="shared" si="200"/>
        <v>14</v>
      </c>
      <c r="G385" s="329">
        <v>45079</v>
      </c>
      <c r="H385" s="160">
        <v>1</v>
      </c>
      <c r="I385" s="160" t="str">
        <f>"Facture Acompte de 30% - du devis "&amp;_xlfn.XLOOKUP(K385,F$355:F$368,G$355:G$368)&amp;" Montant "</f>
        <v xml:space="preserve">Facture Acompte de 30% - du devis 250523-Fact-BOISDELUX-PROJ238-14 Montant </v>
      </c>
      <c r="J385" s="160">
        <f>7500*0.3</f>
        <v>2250</v>
      </c>
      <c r="K385" s="160">
        <v>14</v>
      </c>
      <c r="L385" s="160">
        <v>8</v>
      </c>
      <c r="N385" s="335"/>
      <c r="S385" s="353" t="str">
        <f t="shared" si="192"/>
        <v>INSERT INTO LIGFACTFORFAIT(idLigFactForfait, dateInterventionLigFactForfait, numLigFactForfait, designationLigFactForfait, montantLigFactForfait, idFacture) VALUES (14, 45079, 1, Facture Acompte de 30% - du devis 250523-Fact-BOISDELUX-PROJ238-14 Montant , 2250, 14);</v>
      </c>
      <c r="T385" s="160" t="s">
        <v>1922</v>
      </c>
      <c r="U385" s="160" t="str">
        <f t="shared" si="193"/>
        <v>LIGFACTFORFAIT</v>
      </c>
      <c r="V385" s="160" t="s">
        <v>2088</v>
      </c>
      <c r="W385" s="224" t="s">
        <v>345</v>
      </c>
      <c r="X385" s="360" t="s">
        <v>2020</v>
      </c>
      <c r="Y385" s="224" t="s">
        <v>325</v>
      </c>
      <c r="Z385" s="360" t="s">
        <v>2020</v>
      </c>
      <c r="AA385" s="224" t="s">
        <v>326</v>
      </c>
      <c r="AB385" s="360" t="s">
        <v>2020</v>
      </c>
      <c r="AC385" s="224" t="s">
        <v>327</v>
      </c>
      <c r="AD385" s="360" t="s">
        <v>2020</v>
      </c>
      <c r="AE385" s="295" t="s">
        <v>358</v>
      </c>
      <c r="AF385" s="360" t="s">
        <v>2089</v>
      </c>
      <c r="AG385" s="329" t="str">
        <f t="shared" ca="1" si="194"/>
        <v>2023/06/02</v>
      </c>
      <c r="AH385" s="360" t="s">
        <v>2093</v>
      </c>
      <c r="AI385" s="160">
        <f t="shared" si="195"/>
        <v>1</v>
      </c>
      <c r="AJ385" s="360" t="s">
        <v>2090</v>
      </c>
      <c r="AK385" s="160" t="str">
        <f t="shared" si="196"/>
        <v xml:space="preserve">Facture Acompte de 30% - du devis 250523-Fact-BOISDELUX-PROJ238-14 Montant </v>
      </c>
      <c r="AL385" s="360" t="s">
        <v>2093</v>
      </c>
      <c r="AM385" s="160">
        <f t="shared" si="197"/>
        <v>2250</v>
      </c>
      <c r="AN385" s="360" t="s">
        <v>2020</v>
      </c>
      <c r="AO385" s="160">
        <f t="shared" si="198"/>
        <v>14</v>
      </c>
      <c r="AP385" s="160" t="s">
        <v>2021</v>
      </c>
      <c r="AQ385" s="160" t="str">
        <f t="shared" ca="1" si="199"/>
        <v>INSERT INTO LIGFACTFORFAIT(dateInterventionLigFactForfait,numLigFactForfait,designationLigFactForfait,montantLigFactForfait,idFacture) VALUES ('2023/06/02',1,'Facture Acompte de 30% - du devis 250523-Fact-BOISDELUX-PROJ238-14 Montant ',2250,14);</v>
      </c>
      <c r="AR385" s="160" t="s">
        <v>2326</v>
      </c>
    </row>
    <row r="386" spans="5:48" ht="25.05" customHeight="1" x14ac:dyDescent="0.3">
      <c r="I386" s="304"/>
      <c r="N386" s="329"/>
    </row>
    <row r="387" spans="5:48" s="322" customFormat="1" ht="30.05" customHeight="1" x14ac:dyDescent="0.3">
      <c r="E387" s="323" t="s">
        <v>381</v>
      </c>
      <c r="F387" s="280" t="s">
        <v>2592</v>
      </c>
      <c r="G387" s="226" t="s">
        <v>2593</v>
      </c>
      <c r="H387" s="226" t="s">
        <v>2594</v>
      </c>
      <c r="I387" s="226" t="s">
        <v>2595</v>
      </c>
      <c r="J387" s="226" t="s">
        <v>2596</v>
      </c>
      <c r="K387" s="226" t="s">
        <v>2597</v>
      </c>
      <c r="L387" s="295" t="s">
        <v>358</v>
      </c>
      <c r="M387" s="160"/>
      <c r="N387" s="329"/>
      <c r="O387" s="160"/>
      <c r="P387" s="160"/>
      <c r="Q387" s="160"/>
      <c r="T387" s="160" t="s">
        <v>1922</v>
      </c>
      <c r="U387" s="160" t="str">
        <f>E387</f>
        <v>LIGFACTQPU</v>
      </c>
      <c r="V387" s="160" t="s">
        <v>2088</v>
      </c>
      <c r="W387" s="226" t="s">
        <v>2593</v>
      </c>
      <c r="X387" s="360" t="s">
        <v>2020</v>
      </c>
      <c r="Y387" s="226" t="s">
        <v>2594</v>
      </c>
      <c r="Z387" s="360" t="s">
        <v>2020</v>
      </c>
      <c r="AA387" s="226" t="s">
        <v>2595</v>
      </c>
      <c r="AB387" s="360" t="s">
        <v>2020</v>
      </c>
      <c r="AC387" s="226" t="s">
        <v>2596</v>
      </c>
      <c r="AD387" s="360" t="s">
        <v>2020</v>
      </c>
      <c r="AE387" s="226" t="s">
        <v>2597</v>
      </c>
      <c r="AF387" s="360" t="s">
        <v>2020</v>
      </c>
      <c r="AG387" s="295" t="s">
        <v>358</v>
      </c>
      <c r="AH387" s="360" t="s">
        <v>2089</v>
      </c>
      <c r="AI387" s="226" t="s">
        <v>343</v>
      </c>
      <c r="AJ387" s="360" t="s">
        <v>2020</v>
      </c>
      <c r="AK387" s="226" t="s">
        <v>330</v>
      </c>
      <c r="AL387" s="360" t="s">
        <v>2020</v>
      </c>
      <c r="AM387" s="226" t="s">
        <v>333</v>
      </c>
      <c r="AN387" s="360" t="s">
        <v>2020</v>
      </c>
      <c r="AO387" s="226" t="s">
        <v>344</v>
      </c>
      <c r="AP387" s="360" t="s">
        <v>2020</v>
      </c>
      <c r="AQ387" s="226" t="s">
        <v>334</v>
      </c>
      <c r="AR387" s="360" t="s">
        <v>2020</v>
      </c>
      <c r="AS387" s="295" t="s">
        <v>358</v>
      </c>
      <c r="AT387" s="160" t="s">
        <v>2021</v>
      </c>
    </row>
    <row r="388" spans="5:48" ht="20.05" customHeight="1" x14ac:dyDescent="0.3">
      <c r="F388" s="160">
        <v>1</v>
      </c>
      <c r="G388" s="329">
        <v>44928</v>
      </c>
      <c r="H388" s="160">
        <v>1</v>
      </c>
      <c r="I388" s="160" t="str">
        <f>"Facture Acompte de 30% - du devis "&amp;_xlfn.XLOOKUP(L388,F$355:F$368,G$355:G$368)&amp;" Montant "</f>
        <v xml:space="preserve">Facture Acompte de 30% - du devis 020123-Fact-BOISDELUX-PROJ232-3 Montant </v>
      </c>
      <c r="J388" s="160">
        <v>1</v>
      </c>
      <c r="K388" s="160">
        <f>(J389*K389+J390*K390+J391*K391)*0.3</f>
        <v>1950</v>
      </c>
      <c r="L388" s="160">
        <v>3</v>
      </c>
      <c r="N388" s="335"/>
      <c r="S388" s="353" t="str">
        <f>"INSERT INTO "&amp;$E$387&amp;"("&amp;$F$387&amp;", "&amp;$G$387&amp;", "&amp;$H$387&amp;", "&amp;$I$387&amp;", "&amp;$J$387&amp;", "&amp;$K$387&amp;", "&amp;L$387&amp;") VALUES ("&amp;F388&amp;", "&amp;G388&amp;", "&amp;H388&amp;", "&amp;I388&amp;", "&amp;J388&amp;", "&amp;K388&amp;", "&amp;L388&amp;");"</f>
        <v>INSERT INTO LIGFACTQPU(idLigFactQpu, dateInterventionLigFactQpu, numLigFactQpu, designationLigFactQpu, qLigFactQpu, montantLigFactQpu, idFacture) VALUES (1, 44928, 1, Facture Acompte de 30% - du devis 020123-Fact-BOISDELUX-PROJ232-3 Montant , 1, 1950, 3);</v>
      </c>
      <c r="T388" s="160" t="s">
        <v>1922</v>
      </c>
      <c r="U388" s="160" t="str">
        <f>U387</f>
        <v>LIGFACTQPU</v>
      </c>
      <c r="V388" s="160" t="s">
        <v>2088</v>
      </c>
      <c r="W388" s="226" t="s">
        <v>2593</v>
      </c>
      <c r="X388" s="360" t="s">
        <v>2020</v>
      </c>
      <c r="Y388" s="226" t="s">
        <v>2594</v>
      </c>
      <c r="Z388" s="360" t="s">
        <v>2020</v>
      </c>
      <c r="AA388" s="226" t="s">
        <v>2595</v>
      </c>
      <c r="AB388" s="360" t="s">
        <v>2020</v>
      </c>
      <c r="AC388" s="226" t="s">
        <v>2596</v>
      </c>
      <c r="AD388" s="360" t="s">
        <v>2020</v>
      </c>
      <c r="AE388" s="226" t="s">
        <v>2597</v>
      </c>
      <c r="AF388" s="360" t="s">
        <v>2020</v>
      </c>
      <c r="AG388" s="295" t="s">
        <v>358</v>
      </c>
      <c r="AH388" s="360" t="s">
        <v>2089</v>
      </c>
      <c r="AI388" s="329" t="str">
        <f ca="1">IF(AND(G388&lt;=TODAY(),G388&lt;&gt;""),TEXT(G388,"aaaa/mm/jj"),"")</f>
        <v>2023/01/02</v>
      </c>
      <c r="AJ388" s="360" t="s">
        <v>2093</v>
      </c>
      <c r="AK388" s="160">
        <f>H388</f>
        <v>1</v>
      </c>
      <c r="AL388" s="360" t="s">
        <v>2090</v>
      </c>
      <c r="AM388" s="160" t="str">
        <f>I388</f>
        <v xml:space="preserve">Facture Acompte de 30% - du devis 020123-Fact-BOISDELUX-PROJ232-3 Montant </v>
      </c>
      <c r="AN388" s="360" t="s">
        <v>2093</v>
      </c>
      <c r="AO388" s="160">
        <f>J388</f>
        <v>1</v>
      </c>
      <c r="AP388" s="360" t="s">
        <v>2020</v>
      </c>
      <c r="AQ388" s="160">
        <f>K388</f>
        <v>1950</v>
      </c>
      <c r="AR388" s="360" t="s">
        <v>2020</v>
      </c>
      <c r="AS388" s="160">
        <f>L388</f>
        <v>3</v>
      </c>
      <c r="AT388" s="160" t="s">
        <v>2021</v>
      </c>
      <c r="AU388" s="160" t="str">
        <f ca="1">T388&amp;U388&amp;V388&amp;W388&amp;X388&amp;Y388&amp;Z388&amp;AA388&amp;AB388&amp;AC388&amp;AD388&amp;AE388&amp;AF388&amp;AG388&amp;AH388&amp;AI388&amp;AJ388&amp;AK388&amp;AL388&amp;AM388&amp;AN388&amp;AO388&amp;AP388&amp;AQ388&amp;AR388&amp;AS388&amp;AT388</f>
        <v>INSERT INTO LIGFACTQPU(dateInterventionLigFactQpu,numLigFactQpu,designationLigFactQpu,qLigFactQpu,montantLigFactQpu,idFacture) VALUES ('2023/01/02',1,'Facture Acompte de 30% - du devis 020123-Fact-BOISDELUX-PROJ232-3 Montant ',1,1950,3);</v>
      </c>
      <c r="AV388" s="160" t="s">
        <v>2598</v>
      </c>
    </row>
    <row r="389" spans="5:48" ht="20.05" customHeight="1" x14ac:dyDescent="0.3">
      <c r="F389" s="160">
        <f>F388+1</f>
        <v>2</v>
      </c>
      <c r="G389" s="329">
        <v>44946</v>
      </c>
      <c r="H389" s="160">
        <v>1</v>
      </c>
      <c r="I389" s="160" t="s">
        <v>2316</v>
      </c>
      <c r="J389" s="160">
        <v>3</v>
      </c>
      <c r="K389" s="160">
        <v>100</v>
      </c>
      <c r="L389" s="160">
        <v>4</v>
      </c>
      <c r="N389" s="329"/>
      <c r="S389" s="353" t="str">
        <f t="shared" ref="S389:S402" si="201">"INSERT INTO "&amp;$E$387&amp;"("&amp;$F$387&amp;", "&amp;$G$387&amp;", "&amp;$H$387&amp;", "&amp;$I$387&amp;", "&amp;$J$387&amp;", "&amp;$K$387&amp;", "&amp;L$387&amp;") VALUES ("&amp;F389&amp;", "&amp;G389&amp;", "&amp;H389&amp;", "&amp;I389&amp;", "&amp;J389&amp;", "&amp;K389&amp;", "&amp;L389&amp;");"</f>
        <v>INSERT INTO LIGFACTQPU(idLigFactQpu, dateInterventionLigFactQpu, numLigFactQpu, designationLigFactQpu, qLigFactQpu, montantLigFactQpu, idFacture) VALUES (2, 44946, 1, Echanges Rdv,prise de cotes,reportage photos, 3, 100, 4);</v>
      </c>
      <c r="T389" s="160" t="s">
        <v>1922</v>
      </c>
      <c r="U389" s="160" t="str">
        <f t="shared" ref="U389:U402" si="202">U388</f>
        <v>LIGFACTQPU</v>
      </c>
      <c r="V389" s="160" t="s">
        <v>2088</v>
      </c>
      <c r="W389" s="226" t="s">
        <v>2593</v>
      </c>
      <c r="X389" s="360" t="s">
        <v>2020</v>
      </c>
      <c r="Y389" s="226" t="s">
        <v>2594</v>
      </c>
      <c r="Z389" s="360" t="s">
        <v>2020</v>
      </c>
      <c r="AA389" s="226" t="s">
        <v>2595</v>
      </c>
      <c r="AB389" s="360" t="s">
        <v>2020</v>
      </c>
      <c r="AC389" s="226" t="s">
        <v>2596</v>
      </c>
      <c r="AD389" s="360" t="s">
        <v>2020</v>
      </c>
      <c r="AE389" s="226" t="s">
        <v>2597</v>
      </c>
      <c r="AF389" s="360" t="s">
        <v>2020</v>
      </c>
      <c r="AG389" s="295" t="s">
        <v>358</v>
      </c>
      <c r="AH389" s="360" t="s">
        <v>2089</v>
      </c>
      <c r="AI389" s="329" t="str">
        <f t="shared" ref="AI389:AI401" ca="1" si="203">IF(AND(G389&lt;=TODAY(),G389&lt;&gt;""),TEXT(G389,"aaaa/mm/jj"),"")</f>
        <v>2023/01/20</v>
      </c>
      <c r="AJ389" s="360" t="s">
        <v>2093</v>
      </c>
      <c r="AK389" s="160">
        <f t="shared" ref="AK389:AK402" si="204">H389</f>
        <v>1</v>
      </c>
      <c r="AL389" s="360" t="s">
        <v>2090</v>
      </c>
      <c r="AM389" s="160" t="str">
        <f t="shared" ref="AM389:AM402" si="205">I389</f>
        <v>Echanges Rdv,prise de cotes,reportage photos</v>
      </c>
      <c r="AN389" s="360" t="s">
        <v>2093</v>
      </c>
      <c r="AO389" s="160">
        <f t="shared" ref="AO389:AO402" si="206">J389</f>
        <v>3</v>
      </c>
      <c r="AP389" s="360" t="s">
        <v>2020</v>
      </c>
      <c r="AQ389" s="160">
        <f t="shared" ref="AQ389:AQ402" si="207">K389</f>
        <v>100</v>
      </c>
      <c r="AR389" s="360" t="s">
        <v>2020</v>
      </c>
      <c r="AS389" s="160">
        <f t="shared" ref="AS389:AS402" si="208">L389</f>
        <v>4</v>
      </c>
      <c r="AT389" s="160" t="s">
        <v>2021</v>
      </c>
      <c r="AU389" s="160" t="str">
        <f t="shared" ref="AU389:AU402" ca="1" si="209">T389&amp;U389&amp;V389&amp;W389&amp;X389&amp;Y389&amp;Z389&amp;AA389&amp;AB389&amp;AC389&amp;AD389&amp;AE389&amp;AF389&amp;AG389&amp;AH389&amp;AI389&amp;AJ389&amp;AK389&amp;AL389&amp;AM389&amp;AN389&amp;AO389&amp;AP389&amp;AQ389&amp;AR389&amp;AS389&amp;AT389</f>
        <v>INSERT INTO LIGFACTQPU(dateInterventionLigFactQpu,numLigFactQpu,designationLigFactQpu,qLigFactQpu,montantLigFactQpu,idFacture) VALUES ('2023/01/20',1,'Echanges Rdv,prise de cotes,reportage photos',3,100,4);</v>
      </c>
      <c r="AV389" s="160" t="s">
        <v>2599</v>
      </c>
    </row>
    <row r="390" spans="5:48" ht="20.05" customHeight="1" x14ac:dyDescent="0.3">
      <c r="F390" s="160">
        <f t="shared" ref="F390:F402" si="210">F389+1</f>
        <v>3</v>
      </c>
      <c r="G390" s="329">
        <v>44946</v>
      </c>
      <c r="H390" s="160">
        <v>2</v>
      </c>
      <c r="I390" s="160" t="s">
        <v>2317</v>
      </c>
      <c r="J390" s="160">
        <v>2</v>
      </c>
      <c r="K390" s="160">
        <v>1100</v>
      </c>
      <c r="L390" s="160">
        <v>4</v>
      </c>
      <c r="N390" s="329"/>
      <c r="S390" s="353" t="str">
        <f t="shared" si="201"/>
        <v>INSERT INTO LIGFACTQPU(idLigFactQpu, dateInterventionLigFactQpu, numLigFactQpu, designationLigFactQpu, qLigFactQpu, montantLigFactQpu, idFacture) VALUES (3, 44946, 2, Etude et propositions,Description de la partie a réaliser,Enumération des fournitures, 2, 1100, 4);</v>
      </c>
      <c r="T390" s="160" t="s">
        <v>1922</v>
      </c>
      <c r="U390" s="160" t="str">
        <f t="shared" si="202"/>
        <v>LIGFACTQPU</v>
      </c>
      <c r="V390" s="160" t="s">
        <v>2088</v>
      </c>
      <c r="W390" s="226" t="s">
        <v>2593</v>
      </c>
      <c r="X390" s="360" t="s">
        <v>2020</v>
      </c>
      <c r="Y390" s="226" t="s">
        <v>2594</v>
      </c>
      <c r="Z390" s="360" t="s">
        <v>2020</v>
      </c>
      <c r="AA390" s="226" t="s">
        <v>2595</v>
      </c>
      <c r="AB390" s="360" t="s">
        <v>2020</v>
      </c>
      <c r="AC390" s="226" t="s">
        <v>2596</v>
      </c>
      <c r="AD390" s="360" t="s">
        <v>2020</v>
      </c>
      <c r="AE390" s="226" t="s">
        <v>2597</v>
      </c>
      <c r="AF390" s="360" t="s">
        <v>2020</v>
      </c>
      <c r="AG390" s="295" t="s">
        <v>358</v>
      </c>
      <c r="AH390" s="360" t="s">
        <v>2089</v>
      </c>
      <c r="AI390" s="329" t="str">
        <f t="shared" ca="1" si="203"/>
        <v>2023/01/20</v>
      </c>
      <c r="AJ390" s="360" t="s">
        <v>2093</v>
      </c>
      <c r="AK390" s="160">
        <f t="shared" si="204"/>
        <v>2</v>
      </c>
      <c r="AL390" s="360" t="s">
        <v>2090</v>
      </c>
      <c r="AM390" s="160" t="str">
        <f t="shared" si="205"/>
        <v>Etude et propositions,Description de la partie a réaliser,Enumération des fournitures</v>
      </c>
      <c r="AN390" s="360" t="s">
        <v>2093</v>
      </c>
      <c r="AO390" s="160">
        <f t="shared" si="206"/>
        <v>2</v>
      </c>
      <c r="AP390" s="360" t="s">
        <v>2020</v>
      </c>
      <c r="AQ390" s="160">
        <f t="shared" si="207"/>
        <v>1100</v>
      </c>
      <c r="AR390" s="360" t="s">
        <v>2020</v>
      </c>
      <c r="AS390" s="160">
        <f t="shared" si="208"/>
        <v>4</v>
      </c>
      <c r="AT390" s="160" t="s">
        <v>2021</v>
      </c>
      <c r="AU390" s="160" t="str">
        <f t="shared" ca="1" si="209"/>
        <v>INSERT INTO LIGFACTQPU(dateInterventionLigFactQpu,numLigFactQpu,designationLigFactQpu,qLigFactQpu,montantLigFactQpu,idFacture) VALUES ('2023/01/20',2,'Etude et propositions,Description de la partie a réaliser,Enumération des fournitures',2,1100,4);</v>
      </c>
      <c r="AV390" s="160" t="s">
        <v>2600</v>
      </c>
    </row>
    <row r="391" spans="5:48" ht="20.05" customHeight="1" x14ac:dyDescent="0.3">
      <c r="F391" s="160">
        <f t="shared" si="210"/>
        <v>4</v>
      </c>
      <c r="G391" s="329">
        <v>44981</v>
      </c>
      <c r="H391" s="160">
        <v>3</v>
      </c>
      <c r="I391" s="160" t="s">
        <v>2318</v>
      </c>
      <c r="J391" s="160">
        <v>4</v>
      </c>
      <c r="K391" s="160">
        <v>1000</v>
      </c>
      <c r="L391" s="160">
        <v>4</v>
      </c>
      <c r="N391" s="335"/>
      <c r="S391" s="353" t="str">
        <f t="shared" si="201"/>
        <v>INSERT INTO LIGFACTQPU(idLigFactQpu, dateInterventionLigFactQpu, numLigFactQpu, designationLigFactQpu, qLigFactQpu, montantLigFactQpu, idFacture) VALUES (4, 44981, 3, Réalisation,Fabrication et pose des elements validés à la phase 2 ,indication éventuelle date de livraison, 4, 1000, 4);</v>
      </c>
      <c r="T391" s="160" t="s">
        <v>1922</v>
      </c>
      <c r="U391" s="160" t="str">
        <f t="shared" si="202"/>
        <v>LIGFACTQPU</v>
      </c>
      <c r="V391" s="160" t="s">
        <v>2088</v>
      </c>
      <c r="W391" s="226" t="s">
        <v>2593</v>
      </c>
      <c r="X391" s="360" t="s">
        <v>2020</v>
      </c>
      <c r="Y391" s="226" t="s">
        <v>2594</v>
      </c>
      <c r="Z391" s="360" t="s">
        <v>2020</v>
      </c>
      <c r="AA391" s="226" t="s">
        <v>2595</v>
      </c>
      <c r="AB391" s="360" t="s">
        <v>2020</v>
      </c>
      <c r="AC391" s="226" t="s">
        <v>2596</v>
      </c>
      <c r="AD391" s="360" t="s">
        <v>2020</v>
      </c>
      <c r="AE391" s="226" t="s">
        <v>2597</v>
      </c>
      <c r="AF391" s="360" t="s">
        <v>2020</v>
      </c>
      <c r="AG391" s="295" t="s">
        <v>358</v>
      </c>
      <c r="AH391" s="360" t="s">
        <v>2089</v>
      </c>
      <c r="AI391" s="329" t="str">
        <f t="shared" ca="1" si="203"/>
        <v>2023/02/24</v>
      </c>
      <c r="AJ391" s="360" t="s">
        <v>2093</v>
      </c>
      <c r="AK391" s="160">
        <f t="shared" si="204"/>
        <v>3</v>
      </c>
      <c r="AL391" s="360" t="s">
        <v>2090</v>
      </c>
      <c r="AM391" s="160" t="str">
        <f t="shared" si="205"/>
        <v>Réalisation,Fabrication et pose des elements validés à la phase 2 ,indication éventuelle date de livraison</v>
      </c>
      <c r="AN391" s="360" t="s">
        <v>2093</v>
      </c>
      <c r="AO391" s="160">
        <f t="shared" si="206"/>
        <v>4</v>
      </c>
      <c r="AP391" s="360" t="s">
        <v>2020</v>
      </c>
      <c r="AQ391" s="160">
        <f t="shared" si="207"/>
        <v>1000</v>
      </c>
      <c r="AR391" s="360" t="s">
        <v>2020</v>
      </c>
      <c r="AS391" s="160">
        <f t="shared" si="208"/>
        <v>4</v>
      </c>
      <c r="AT391" s="160" t="s">
        <v>2021</v>
      </c>
      <c r="AU391" s="160" t="str">
        <f t="shared" ca="1" si="209"/>
        <v>INSERT INTO LIGFACTQPU(dateInterventionLigFactQpu,numLigFactQpu,designationLigFactQpu,qLigFactQpu,montantLigFactQpu,idFacture) VALUES ('2023/02/24',3,'Réalisation,Fabrication et pose des elements validés à la phase 2 ,indication éventuelle date de livraison',4,1000,4);</v>
      </c>
      <c r="AV391" s="160" t="s">
        <v>2601</v>
      </c>
    </row>
    <row r="392" spans="5:48" ht="20.05" customHeight="1" x14ac:dyDescent="0.3">
      <c r="F392" s="160">
        <f t="shared" si="210"/>
        <v>5</v>
      </c>
      <c r="G392" s="329">
        <v>44981</v>
      </c>
      <c r="H392" s="160">
        <v>4</v>
      </c>
      <c r="I392" s="160" t="s">
        <v>1903</v>
      </c>
      <c r="J392" s="160">
        <v>1</v>
      </c>
      <c r="K392" s="160">
        <f>(J391*K391+J390*K390+J389*K389)*(-0.3)</f>
        <v>-1950</v>
      </c>
      <c r="L392" s="160">
        <v>4</v>
      </c>
      <c r="N392" s="329"/>
      <c r="S392" s="353" t="str">
        <f t="shared" si="201"/>
        <v>INSERT INTO LIGFACTQPU(idLigFactQpu, dateInterventionLigFactQpu, numLigFactQpu, designationLigFactQpu, qLigFactQpu, montantLigFactQpu, idFacture) VALUES (5, 44981, 4, Remise suite versement Acompte (facture NOMFacture30), 1, -1950, 4);</v>
      </c>
      <c r="T392" s="160" t="s">
        <v>1922</v>
      </c>
      <c r="U392" s="160" t="str">
        <f t="shared" si="202"/>
        <v>LIGFACTQPU</v>
      </c>
      <c r="V392" s="160" t="s">
        <v>2088</v>
      </c>
      <c r="W392" s="226" t="s">
        <v>2593</v>
      </c>
      <c r="X392" s="360" t="s">
        <v>2020</v>
      </c>
      <c r="Y392" s="226" t="s">
        <v>2594</v>
      </c>
      <c r="Z392" s="360" t="s">
        <v>2020</v>
      </c>
      <c r="AA392" s="226" t="s">
        <v>2595</v>
      </c>
      <c r="AB392" s="360" t="s">
        <v>2020</v>
      </c>
      <c r="AC392" s="226" t="s">
        <v>2596</v>
      </c>
      <c r="AD392" s="360" t="s">
        <v>2020</v>
      </c>
      <c r="AE392" s="226" t="s">
        <v>2597</v>
      </c>
      <c r="AF392" s="360" t="s">
        <v>2020</v>
      </c>
      <c r="AG392" s="295" t="s">
        <v>358</v>
      </c>
      <c r="AH392" s="360" t="s">
        <v>2089</v>
      </c>
      <c r="AI392" s="329" t="str">
        <f t="shared" ca="1" si="203"/>
        <v>2023/02/24</v>
      </c>
      <c r="AJ392" s="360" t="s">
        <v>2093</v>
      </c>
      <c r="AK392" s="160">
        <f t="shared" si="204"/>
        <v>4</v>
      </c>
      <c r="AL392" s="360" t="s">
        <v>2090</v>
      </c>
      <c r="AM392" s="160" t="str">
        <f t="shared" si="205"/>
        <v>Remise suite versement Acompte (facture NOMFacture30)</v>
      </c>
      <c r="AN392" s="360" t="s">
        <v>2093</v>
      </c>
      <c r="AO392" s="160">
        <f t="shared" si="206"/>
        <v>1</v>
      </c>
      <c r="AP392" s="360" t="s">
        <v>2020</v>
      </c>
      <c r="AQ392" s="160">
        <f t="shared" si="207"/>
        <v>-1950</v>
      </c>
      <c r="AR392" s="360" t="s">
        <v>2020</v>
      </c>
      <c r="AS392" s="160">
        <f t="shared" si="208"/>
        <v>4</v>
      </c>
      <c r="AT392" s="160" t="s">
        <v>2021</v>
      </c>
      <c r="AU392" s="160" t="str">
        <f t="shared" ca="1" si="209"/>
        <v>INSERT INTO LIGFACTQPU(dateInterventionLigFactQpu,numLigFactQpu,designationLigFactQpu,qLigFactQpu,montantLigFactQpu,idFacture) VALUES ('2023/02/24',4,'Remise suite versement Acompte (facture NOMFacture30)',1,-1950,4);</v>
      </c>
      <c r="AV392" s="160" t="s">
        <v>2602</v>
      </c>
    </row>
    <row r="393" spans="5:48" ht="20.05" customHeight="1" x14ac:dyDescent="0.3">
      <c r="F393" s="160">
        <f t="shared" si="210"/>
        <v>6</v>
      </c>
      <c r="G393" s="329">
        <v>44946</v>
      </c>
      <c r="H393" s="160">
        <v>1</v>
      </c>
      <c r="I393" s="160" t="str">
        <f>"Facture Acompte de 30% - du devis "&amp;_xlfn.XLOOKUP(L393,F$355:F$368,G$355:G$368)&amp;" Montant "</f>
        <v xml:space="preserve">Facture Acompte de 30% - du devis 200123-Fact-RAMENETAFRAISE-PROJ233-5 Montant </v>
      </c>
      <c r="J393" s="160">
        <v>1</v>
      </c>
      <c r="K393" s="160">
        <f>(J394*K394+J395*K395+J396*K396)*0.3</f>
        <v>1890</v>
      </c>
      <c r="L393" s="160">
        <v>5</v>
      </c>
      <c r="N393" s="329"/>
      <c r="S393" s="353" t="str">
        <f t="shared" si="201"/>
        <v>INSERT INTO LIGFACTQPU(idLigFactQpu, dateInterventionLigFactQpu, numLigFactQpu, designationLigFactQpu, qLigFactQpu, montantLigFactQpu, idFacture) VALUES (6, 44946, 1, Facture Acompte de 30% - du devis 200123-Fact-RAMENETAFRAISE-PROJ233-5 Montant , 1, 1890, 5);</v>
      </c>
      <c r="T393" s="160" t="s">
        <v>1922</v>
      </c>
      <c r="U393" s="160" t="str">
        <f t="shared" si="202"/>
        <v>LIGFACTQPU</v>
      </c>
      <c r="V393" s="160" t="s">
        <v>2088</v>
      </c>
      <c r="W393" s="226" t="s">
        <v>2593</v>
      </c>
      <c r="X393" s="360" t="s">
        <v>2020</v>
      </c>
      <c r="Y393" s="226" t="s">
        <v>2594</v>
      </c>
      <c r="Z393" s="360" t="s">
        <v>2020</v>
      </c>
      <c r="AA393" s="226" t="s">
        <v>2595</v>
      </c>
      <c r="AB393" s="360" t="s">
        <v>2020</v>
      </c>
      <c r="AC393" s="226" t="s">
        <v>2596</v>
      </c>
      <c r="AD393" s="360" t="s">
        <v>2020</v>
      </c>
      <c r="AE393" s="226" t="s">
        <v>2597</v>
      </c>
      <c r="AF393" s="360" t="s">
        <v>2020</v>
      </c>
      <c r="AG393" s="295" t="s">
        <v>358</v>
      </c>
      <c r="AH393" s="360" t="s">
        <v>2089</v>
      </c>
      <c r="AI393" s="329" t="str">
        <f t="shared" ca="1" si="203"/>
        <v>2023/01/20</v>
      </c>
      <c r="AJ393" s="360" t="s">
        <v>2093</v>
      </c>
      <c r="AK393" s="160">
        <f t="shared" si="204"/>
        <v>1</v>
      </c>
      <c r="AL393" s="360" t="s">
        <v>2090</v>
      </c>
      <c r="AM393" s="160" t="str">
        <f t="shared" si="205"/>
        <v xml:space="preserve">Facture Acompte de 30% - du devis 200123-Fact-RAMENETAFRAISE-PROJ233-5 Montant </v>
      </c>
      <c r="AN393" s="360" t="s">
        <v>2093</v>
      </c>
      <c r="AO393" s="160">
        <f t="shared" si="206"/>
        <v>1</v>
      </c>
      <c r="AP393" s="360" t="s">
        <v>2020</v>
      </c>
      <c r="AQ393" s="160">
        <f t="shared" si="207"/>
        <v>1890</v>
      </c>
      <c r="AR393" s="360" t="s">
        <v>2020</v>
      </c>
      <c r="AS393" s="160">
        <f t="shared" si="208"/>
        <v>5</v>
      </c>
      <c r="AT393" s="160" t="s">
        <v>2021</v>
      </c>
      <c r="AU393" s="160" t="str">
        <f t="shared" ca="1" si="209"/>
        <v>INSERT INTO LIGFACTQPU(dateInterventionLigFactQpu,numLigFactQpu,designationLigFactQpu,qLigFactQpu,montantLigFactQpu,idFacture) VALUES ('2023/01/20',1,'Facture Acompte de 30% - du devis 200123-Fact-RAMENETAFRAISE-PROJ233-5 Montant ',1,1890,5);</v>
      </c>
      <c r="AV393" s="160" t="s">
        <v>2603</v>
      </c>
    </row>
    <row r="394" spans="5:48" ht="15.05" x14ac:dyDescent="0.3">
      <c r="F394" s="160">
        <f t="shared" si="210"/>
        <v>7</v>
      </c>
      <c r="G394" s="329">
        <v>44946</v>
      </c>
      <c r="H394" s="160">
        <v>1</v>
      </c>
      <c r="I394" s="160" t="s">
        <v>1820</v>
      </c>
      <c r="J394" s="160">
        <v>4</v>
      </c>
      <c r="K394" s="160">
        <v>100</v>
      </c>
      <c r="L394" s="160">
        <v>6</v>
      </c>
      <c r="N394" s="335"/>
      <c r="S394" s="353" t="str">
        <f t="shared" si="201"/>
        <v>INSERT INTO LIGFACTQPU(idLigFactQpu, dateInterventionLigFactQpu, numLigFactQpu, designationLigFactQpu, qLigFactQpu, montantLigFactQpu, idFacture) VALUES (7, 44946, 1, Ligne prise des exigences test QPU 1, 4, 100, 6);</v>
      </c>
      <c r="T394" s="160" t="s">
        <v>1922</v>
      </c>
      <c r="U394" s="160" t="str">
        <f t="shared" si="202"/>
        <v>LIGFACTQPU</v>
      </c>
      <c r="V394" s="160" t="s">
        <v>2088</v>
      </c>
      <c r="W394" s="226" t="s">
        <v>2593</v>
      </c>
      <c r="X394" s="360" t="s">
        <v>2020</v>
      </c>
      <c r="Y394" s="226" t="s">
        <v>2594</v>
      </c>
      <c r="Z394" s="360" t="s">
        <v>2020</v>
      </c>
      <c r="AA394" s="226" t="s">
        <v>2595</v>
      </c>
      <c r="AB394" s="360" t="s">
        <v>2020</v>
      </c>
      <c r="AC394" s="226" t="s">
        <v>2596</v>
      </c>
      <c r="AD394" s="360" t="s">
        <v>2020</v>
      </c>
      <c r="AE394" s="226" t="s">
        <v>2597</v>
      </c>
      <c r="AF394" s="360" t="s">
        <v>2020</v>
      </c>
      <c r="AG394" s="295" t="s">
        <v>358</v>
      </c>
      <c r="AH394" s="360" t="s">
        <v>2089</v>
      </c>
      <c r="AI394" s="329" t="str">
        <f t="shared" ca="1" si="203"/>
        <v>2023/01/20</v>
      </c>
      <c r="AJ394" s="360" t="s">
        <v>2093</v>
      </c>
      <c r="AK394" s="160">
        <f t="shared" si="204"/>
        <v>1</v>
      </c>
      <c r="AL394" s="360" t="s">
        <v>2090</v>
      </c>
      <c r="AM394" s="160" t="str">
        <f t="shared" si="205"/>
        <v>Ligne prise des exigences test QPU 1</v>
      </c>
      <c r="AN394" s="360" t="s">
        <v>2093</v>
      </c>
      <c r="AO394" s="160">
        <f t="shared" si="206"/>
        <v>4</v>
      </c>
      <c r="AP394" s="360" t="s">
        <v>2020</v>
      </c>
      <c r="AQ394" s="160">
        <f t="shared" si="207"/>
        <v>100</v>
      </c>
      <c r="AR394" s="360" t="s">
        <v>2020</v>
      </c>
      <c r="AS394" s="160">
        <f t="shared" si="208"/>
        <v>6</v>
      </c>
      <c r="AT394" s="160" t="s">
        <v>2021</v>
      </c>
      <c r="AU394" s="160" t="str">
        <f t="shared" ca="1" si="209"/>
        <v>INSERT INTO LIGFACTQPU(dateInterventionLigFactQpu,numLigFactQpu,designationLigFactQpu,qLigFactQpu,montantLigFactQpu,idFacture) VALUES ('2023/01/20',1,'Ligne prise des exigences test QPU 1',4,100,6);</v>
      </c>
      <c r="AV394" s="160" t="s">
        <v>2604</v>
      </c>
    </row>
    <row r="395" spans="5:48" s="323" customFormat="1" ht="28.05" customHeight="1" x14ac:dyDescent="0.3">
      <c r="F395" s="160">
        <f t="shared" si="210"/>
        <v>8</v>
      </c>
      <c r="G395" s="329">
        <v>44946</v>
      </c>
      <c r="H395" s="160">
        <v>2</v>
      </c>
      <c r="I395" s="160" t="s">
        <v>1821</v>
      </c>
      <c r="J395" s="160">
        <v>2</v>
      </c>
      <c r="K395" s="160">
        <v>1150</v>
      </c>
      <c r="L395" s="160">
        <v>6</v>
      </c>
      <c r="M395" s="160"/>
      <c r="N395" s="329"/>
      <c r="O395" s="160"/>
      <c r="P395" s="160"/>
      <c r="Q395" s="160"/>
      <c r="S395" s="353" t="str">
        <f t="shared" si="201"/>
        <v>INSERT INTO LIGFACTQPU(idLigFactQpu, dateInterventionLigFactQpu, numLigFactQpu, designationLigFactQpu, qLigFactQpu, montantLigFactQpu, idFacture) VALUES (8, 44946, 2, Ligne de la conception test QPU 1, 2, 1150, 6);</v>
      </c>
      <c r="T395" s="160" t="s">
        <v>1922</v>
      </c>
      <c r="U395" s="160" t="str">
        <f t="shared" si="202"/>
        <v>LIGFACTQPU</v>
      </c>
      <c r="V395" s="160" t="s">
        <v>2088</v>
      </c>
      <c r="W395" s="226" t="s">
        <v>2593</v>
      </c>
      <c r="X395" s="360" t="s">
        <v>2020</v>
      </c>
      <c r="Y395" s="226" t="s">
        <v>2594</v>
      </c>
      <c r="Z395" s="360" t="s">
        <v>2020</v>
      </c>
      <c r="AA395" s="226" t="s">
        <v>2595</v>
      </c>
      <c r="AB395" s="360" t="s">
        <v>2020</v>
      </c>
      <c r="AC395" s="226" t="s">
        <v>2596</v>
      </c>
      <c r="AD395" s="360" t="s">
        <v>2020</v>
      </c>
      <c r="AE395" s="226" t="s">
        <v>2597</v>
      </c>
      <c r="AF395" s="360" t="s">
        <v>2020</v>
      </c>
      <c r="AG395" s="295" t="s">
        <v>358</v>
      </c>
      <c r="AH395" s="360" t="s">
        <v>2089</v>
      </c>
      <c r="AI395" s="329" t="str">
        <f t="shared" ca="1" si="203"/>
        <v>2023/01/20</v>
      </c>
      <c r="AJ395" s="360" t="s">
        <v>2093</v>
      </c>
      <c r="AK395" s="160">
        <f t="shared" si="204"/>
        <v>2</v>
      </c>
      <c r="AL395" s="360" t="s">
        <v>2090</v>
      </c>
      <c r="AM395" s="160" t="str">
        <f t="shared" si="205"/>
        <v>Ligne de la conception test QPU 1</v>
      </c>
      <c r="AN395" s="360" t="s">
        <v>2093</v>
      </c>
      <c r="AO395" s="160">
        <f t="shared" si="206"/>
        <v>2</v>
      </c>
      <c r="AP395" s="360" t="s">
        <v>2020</v>
      </c>
      <c r="AQ395" s="160">
        <f t="shared" si="207"/>
        <v>1150</v>
      </c>
      <c r="AR395" s="360" t="s">
        <v>2020</v>
      </c>
      <c r="AS395" s="160">
        <f t="shared" si="208"/>
        <v>6</v>
      </c>
      <c r="AT395" s="160" t="s">
        <v>2021</v>
      </c>
      <c r="AU395" s="160" t="str">
        <f t="shared" ca="1" si="209"/>
        <v>INSERT INTO LIGFACTQPU(dateInterventionLigFactQpu,numLigFactQpu,designationLigFactQpu,qLigFactQpu,montantLigFactQpu,idFacture) VALUES ('2023/01/20',2,'Ligne de la conception test QPU 1',2,1150,6);</v>
      </c>
      <c r="AV395" s="323" t="s">
        <v>2605</v>
      </c>
    </row>
    <row r="396" spans="5:48" s="322" customFormat="1" ht="30.05" customHeight="1" x14ac:dyDescent="0.3">
      <c r="F396" s="160">
        <f t="shared" si="210"/>
        <v>9</v>
      </c>
      <c r="G396" s="327">
        <v>44981</v>
      </c>
      <c r="H396" s="160">
        <v>3</v>
      </c>
      <c r="I396" s="160" t="s">
        <v>1822</v>
      </c>
      <c r="J396" s="160">
        <v>3</v>
      </c>
      <c r="K396" s="160">
        <v>1200</v>
      </c>
      <c r="L396" s="323">
        <v>6</v>
      </c>
      <c r="M396" s="160"/>
      <c r="N396" s="329"/>
      <c r="O396" s="160"/>
      <c r="P396" s="160"/>
      <c r="Q396" s="160"/>
      <c r="S396" s="353" t="str">
        <f t="shared" si="201"/>
        <v>INSERT INTO LIGFACTQPU(idLigFactQpu, dateInterventionLigFactQpu, numLigFactQpu, designationLigFactQpu, qLigFactQpu, montantLigFactQpu, idFacture) VALUES (9, 44981, 3, Ligne réalisation et indication date butoir projet test QPU 1, 3, 1200, 6);</v>
      </c>
      <c r="T396" s="160" t="s">
        <v>1922</v>
      </c>
      <c r="U396" s="160" t="str">
        <f t="shared" si="202"/>
        <v>LIGFACTQPU</v>
      </c>
      <c r="V396" s="160" t="s">
        <v>2088</v>
      </c>
      <c r="W396" s="226" t="s">
        <v>2593</v>
      </c>
      <c r="X396" s="360" t="s">
        <v>2020</v>
      </c>
      <c r="Y396" s="226" t="s">
        <v>2594</v>
      </c>
      <c r="Z396" s="360" t="s">
        <v>2020</v>
      </c>
      <c r="AA396" s="226" t="s">
        <v>2595</v>
      </c>
      <c r="AB396" s="360" t="s">
        <v>2020</v>
      </c>
      <c r="AC396" s="226" t="s">
        <v>2596</v>
      </c>
      <c r="AD396" s="360" t="s">
        <v>2020</v>
      </c>
      <c r="AE396" s="226" t="s">
        <v>2597</v>
      </c>
      <c r="AF396" s="360" t="s">
        <v>2020</v>
      </c>
      <c r="AG396" s="295" t="s">
        <v>358</v>
      </c>
      <c r="AH396" s="360" t="s">
        <v>2089</v>
      </c>
      <c r="AI396" s="329" t="str">
        <f t="shared" ca="1" si="203"/>
        <v>2023/02/24</v>
      </c>
      <c r="AJ396" s="360" t="s">
        <v>2093</v>
      </c>
      <c r="AK396" s="160">
        <f t="shared" si="204"/>
        <v>3</v>
      </c>
      <c r="AL396" s="360" t="s">
        <v>2090</v>
      </c>
      <c r="AM396" s="160" t="str">
        <f t="shared" si="205"/>
        <v>Ligne réalisation et indication date butoir projet test QPU 1</v>
      </c>
      <c r="AN396" s="360" t="s">
        <v>2093</v>
      </c>
      <c r="AO396" s="160">
        <f t="shared" si="206"/>
        <v>3</v>
      </c>
      <c r="AP396" s="360" t="s">
        <v>2020</v>
      </c>
      <c r="AQ396" s="160">
        <f t="shared" si="207"/>
        <v>1200</v>
      </c>
      <c r="AR396" s="360" t="s">
        <v>2020</v>
      </c>
      <c r="AS396" s="160">
        <f t="shared" si="208"/>
        <v>6</v>
      </c>
      <c r="AT396" s="160" t="s">
        <v>2021</v>
      </c>
      <c r="AU396" s="160" t="str">
        <f t="shared" ca="1" si="209"/>
        <v>INSERT INTO LIGFACTQPU(dateInterventionLigFactQpu,numLigFactQpu,designationLigFactQpu,qLigFactQpu,montantLigFactQpu,idFacture) VALUES ('2023/02/24',3,'Ligne réalisation et indication date butoir projet test QPU 1',3,1200,6);</v>
      </c>
      <c r="AV396" s="322" t="s">
        <v>2606</v>
      </c>
    </row>
    <row r="397" spans="5:48" ht="20.05" customHeight="1" x14ac:dyDescent="0.3">
      <c r="F397" s="160">
        <f t="shared" si="210"/>
        <v>10</v>
      </c>
      <c r="G397" s="329">
        <v>44981</v>
      </c>
      <c r="H397" s="160">
        <v>4</v>
      </c>
      <c r="I397" s="160" t="s">
        <v>1903</v>
      </c>
      <c r="J397" s="160">
        <v>1</v>
      </c>
      <c r="K397" s="160">
        <f>(J396*K396+J395*K395+J394*K394)*(-0.3)</f>
        <v>-1890</v>
      </c>
      <c r="L397" s="160">
        <v>6</v>
      </c>
      <c r="N397" s="335"/>
      <c r="S397" s="353" t="str">
        <f t="shared" si="201"/>
        <v>INSERT INTO LIGFACTQPU(idLigFactQpu, dateInterventionLigFactQpu, numLigFactQpu, designationLigFactQpu, qLigFactQpu, montantLigFactQpu, idFacture) VALUES (10, 44981, 4, Remise suite versement Acompte (facture NOMFacture30), 1, -1890, 6);</v>
      </c>
      <c r="T397" s="160" t="s">
        <v>1922</v>
      </c>
      <c r="U397" s="160" t="str">
        <f t="shared" si="202"/>
        <v>LIGFACTQPU</v>
      </c>
      <c r="V397" s="160" t="s">
        <v>2088</v>
      </c>
      <c r="W397" s="226" t="s">
        <v>2593</v>
      </c>
      <c r="X397" s="360" t="s">
        <v>2020</v>
      </c>
      <c r="Y397" s="226" t="s">
        <v>2594</v>
      </c>
      <c r="Z397" s="360" t="s">
        <v>2020</v>
      </c>
      <c r="AA397" s="226" t="s">
        <v>2595</v>
      </c>
      <c r="AB397" s="360" t="s">
        <v>2020</v>
      </c>
      <c r="AC397" s="226" t="s">
        <v>2596</v>
      </c>
      <c r="AD397" s="360" t="s">
        <v>2020</v>
      </c>
      <c r="AE397" s="226" t="s">
        <v>2597</v>
      </c>
      <c r="AF397" s="360" t="s">
        <v>2020</v>
      </c>
      <c r="AG397" s="295" t="s">
        <v>358</v>
      </c>
      <c r="AH397" s="360" t="s">
        <v>2089</v>
      </c>
      <c r="AI397" s="329" t="str">
        <f t="shared" ca="1" si="203"/>
        <v>2023/02/24</v>
      </c>
      <c r="AJ397" s="360" t="s">
        <v>2093</v>
      </c>
      <c r="AK397" s="160">
        <f t="shared" si="204"/>
        <v>4</v>
      </c>
      <c r="AL397" s="360" t="s">
        <v>2090</v>
      </c>
      <c r="AM397" s="160" t="str">
        <f t="shared" si="205"/>
        <v>Remise suite versement Acompte (facture NOMFacture30)</v>
      </c>
      <c r="AN397" s="360" t="s">
        <v>2093</v>
      </c>
      <c r="AO397" s="160">
        <f t="shared" si="206"/>
        <v>1</v>
      </c>
      <c r="AP397" s="360" t="s">
        <v>2020</v>
      </c>
      <c r="AQ397" s="160">
        <f t="shared" si="207"/>
        <v>-1890</v>
      </c>
      <c r="AR397" s="360" t="s">
        <v>2020</v>
      </c>
      <c r="AS397" s="160">
        <f t="shared" si="208"/>
        <v>6</v>
      </c>
      <c r="AT397" s="160" t="s">
        <v>2021</v>
      </c>
      <c r="AU397" s="160" t="str">
        <f t="shared" ca="1" si="209"/>
        <v>INSERT INTO LIGFACTQPU(dateInterventionLigFactQpu,numLigFactQpu,designationLigFactQpu,qLigFactQpu,montantLigFactQpu,idFacture) VALUES ('2023/02/24',4,'Remise suite versement Acompte (facture NOMFacture30)',1,-1890,6);</v>
      </c>
      <c r="AV397" s="160" t="s">
        <v>2607</v>
      </c>
    </row>
    <row r="398" spans="5:48" ht="20.05" customHeight="1" x14ac:dyDescent="0.3">
      <c r="F398" s="160">
        <f t="shared" si="210"/>
        <v>11</v>
      </c>
      <c r="G398" s="329">
        <v>44972</v>
      </c>
      <c r="H398" s="160">
        <v>1</v>
      </c>
      <c r="I398" s="160" t="str">
        <f>"Facture Acompte de 30% - du devis "&amp;_xlfn.XLOOKUP(L398,F$355:F$368,G$355:G$368)&amp;" Montant "</f>
        <v xml:space="preserve">Facture Acompte de 30% - du devis 150223-Fact-TAPUDFUITE-PROJ234-7 Montant </v>
      </c>
      <c r="J398" s="322">
        <v>1</v>
      </c>
      <c r="K398" s="160">
        <f>(J399*K399+J400*K400+J401*K401)*0.3</f>
        <v>3930</v>
      </c>
      <c r="L398" s="322">
        <v>7</v>
      </c>
      <c r="N398" s="329"/>
      <c r="S398" s="353" t="str">
        <f t="shared" si="201"/>
        <v>INSERT INTO LIGFACTQPU(idLigFactQpu, dateInterventionLigFactQpu, numLigFactQpu, designationLigFactQpu, qLigFactQpu, montantLigFactQpu, idFacture) VALUES (11, 44972, 1, Facture Acompte de 30% - du devis 150223-Fact-TAPUDFUITE-PROJ234-7 Montant , 1, 3930, 7);</v>
      </c>
      <c r="T398" s="160" t="s">
        <v>1922</v>
      </c>
      <c r="U398" s="160" t="str">
        <f t="shared" si="202"/>
        <v>LIGFACTQPU</v>
      </c>
      <c r="V398" s="160" t="s">
        <v>2088</v>
      </c>
      <c r="W398" s="226" t="s">
        <v>2593</v>
      </c>
      <c r="X398" s="360" t="s">
        <v>2020</v>
      </c>
      <c r="Y398" s="226" t="s">
        <v>2594</v>
      </c>
      <c r="Z398" s="360" t="s">
        <v>2020</v>
      </c>
      <c r="AA398" s="226" t="s">
        <v>2595</v>
      </c>
      <c r="AB398" s="360" t="s">
        <v>2020</v>
      </c>
      <c r="AC398" s="226" t="s">
        <v>2596</v>
      </c>
      <c r="AD398" s="360" t="s">
        <v>2020</v>
      </c>
      <c r="AE398" s="226" t="s">
        <v>2597</v>
      </c>
      <c r="AF398" s="360" t="s">
        <v>2020</v>
      </c>
      <c r="AG398" s="295" t="s">
        <v>358</v>
      </c>
      <c r="AH398" s="360" t="s">
        <v>2089</v>
      </c>
      <c r="AI398" s="329" t="str">
        <f t="shared" ca="1" si="203"/>
        <v>2023/02/15</v>
      </c>
      <c r="AJ398" s="360" t="s">
        <v>2093</v>
      </c>
      <c r="AK398" s="160">
        <f t="shared" si="204"/>
        <v>1</v>
      </c>
      <c r="AL398" s="360" t="s">
        <v>2090</v>
      </c>
      <c r="AM398" s="160" t="str">
        <f t="shared" si="205"/>
        <v xml:space="preserve">Facture Acompte de 30% - du devis 150223-Fact-TAPUDFUITE-PROJ234-7 Montant </v>
      </c>
      <c r="AN398" s="360" t="s">
        <v>2093</v>
      </c>
      <c r="AO398" s="160">
        <f t="shared" si="206"/>
        <v>1</v>
      </c>
      <c r="AP398" s="360" t="s">
        <v>2020</v>
      </c>
      <c r="AQ398" s="160">
        <f t="shared" si="207"/>
        <v>3930</v>
      </c>
      <c r="AR398" s="360" t="s">
        <v>2020</v>
      </c>
      <c r="AS398" s="160">
        <f t="shared" si="208"/>
        <v>7</v>
      </c>
      <c r="AT398" s="160" t="s">
        <v>2021</v>
      </c>
      <c r="AU398" s="160" t="str">
        <f t="shared" ca="1" si="209"/>
        <v>INSERT INTO LIGFACTQPU(dateInterventionLigFactQpu,numLigFactQpu,designationLigFactQpu,qLigFactQpu,montantLigFactQpu,idFacture) VALUES ('2023/02/15',1,'Facture Acompte de 30% - du devis 150223-Fact-TAPUDFUITE-PROJ234-7 Montant ',1,3930,7);</v>
      </c>
      <c r="AV398" s="160" t="s">
        <v>2608</v>
      </c>
    </row>
    <row r="399" spans="5:48" ht="15.05" x14ac:dyDescent="0.3">
      <c r="F399" s="160">
        <f t="shared" si="210"/>
        <v>12</v>
      </c>
      <c r="G399" s="329">
        <v>44972</v>
      </c>
      <c r="H399" s="160">
        <v>1</v>
      </c>
      <c r="I399" s="160" t="s">
        <v>1823</v>
      </c>
      <c r="J399" s="160">
        <v>5</v>
      </c>
      <c r="K399" s="160">
        <v>100</v>
      </c>
      <c r="L399" s="160">
        <v>8</v>
      </c>
      <c r="N399" s="329"/>
      <c r="S399" s="353" t="str">
        <f t="shared" si="201"/>
        <v>INSERT INTO LIGFACTQPU(idLigFactQpu, dateInterventionLigFactQpu, numLigFactQpu, designationLigFactQpu, qLigFactQpu, montantLigFactQpu, idFacture) VALUES (12, 44972, 1, Ligne prise des exigences test QPU 2, 5, 100, 8);</v>
      </c>
      <c r="T399" s="160" t="s">
        <v>1922</v>
      </c>
      <c r="U399" s="160" t="str">
        <f t="shared" si="202"/>
        <v>LIGFACTQPU</v>
      </c>
      <c r="V399" s="160" t="s">
        <v>2088</v>
      </c>
      <c r="W399" s="226" t="s">
        <v>2593</v>
      </c>
      <c r="X399" s="360" t="s">
        <v>2020</v>
      </c>
      <c r="Y399" s="226" t="s">
        <v>2594</v>
      </c>
      <c r="Z399" s="360" t="s">
        <v>2020</v>
      </c>
      <c r="AA399" s="226" t="s">
        <v>2595</v>
      </c>
      <c r="AB399" s="360" t="s">
        <v>2020</v>
      </c>
      <c r="AC399" s="226" t="s">
        <v>2596</v>
      </c>
      <c r="AD399" s="360" t="s">
        <v>2020</v>
      </c>
      <c r="AE399" s="226" t="s">
        <v>2597</v>
      </c>
      <c r="AF399" s="360" t="s">
        <v>2020</v>
      </c>
      <c r="AG399" s="295" t="s">
        <v>358</v>
      </c>
      <c r="AH399" s="360" t="s">
        <v>2089</v>
      </c>
      <c r="AI399" s="329" t="str">
        <f t="shared" ca="1" si="203"/>
        <v>2023/02/15</v>
      </c>
      <c r="AJ399" s="360" t="s">
        <v>2093</v>
      </c>
      <c r="AK399" s="160">
        <f t="shared" si="204"/>
        <v>1</v>
      </c>
      <c r="AL399" s="360" t="s">
        <v>2090</v>
      </c>
      <c r="AM399" s="160" t="str">
        <f t="shared" si="205"/>
        <v>Ligne prise des exigences test QPU 2</v>
      </c>
      <c r="AN399" s="360" t="s">
        <v>2093</v>
      </c>
      <c r="AO399" s="160">
        <f t="shared" si="206"/>
        <v>5</v>
      </c>
      <c r="AP399" s="360" t="s">
        <v>2020</v>
      </c>
      <c r="AQ399" s="160">
        <f t="shared" si="207"/>
        <v>100</v>
      </c>
      <c r="AR399" s="360" t="s">
        <v>2020</v>
      </c>
      <c r="AS399" s="160">
        <f t="shared" si="208"/>
        <v>8</v>
      </c>
      <c r="AT399" s="160" t="s">
        <v>2021</v>
      </c>
      <c r="AU399" s="160" t="str">
        <f t="shared" ca="1" si="209"/>
        <v>INSERT INTO LIGFACTQPU(dateInterventionLigFactQpu,numLigFactQpu,designationLigFactQpu,qLigFactQpu,montantLigFactQpu,idFacture) VALUES ('2023/02/15',1,'Ligne prise des exigences test QPU 2',5,100,8);</v>
      </c>
      <c r="AV399" s="160" t="s">
        <v>2609</v>
      </c>
    </row>
    <row r="400" spans="5:48" ht="20.85" customHeight="1" x14ac:dyDescent="0.3">
      <c r="F400" s="160">
        <f t="shared" si="210"/>
        <v>13</v>
      </c>
      <c r="G400" s="329">
        <v>44972</v>
      </c>
      <c r="H400" s="160">
        <v>2</v>
      </c>
      <c r="I400" s="323" t="s">
        <v>1824</v>
      </c>
      <c r="J400" s="323">
        <v>6</v>
      </c>
      <c r="K400" s="323">
        <v>1100</v>
      </c>
      <c r="L400" s="160">
        <v>8</v>
      </c>
      <c r="N400" s="335"/>
      <c r="S400" s="353" t="str">
        <f t="shared" si="201"/>
        <v>INSERT INTO LIGFACTQPU(idLigFactQpu, dateInterventionLigFactQpu, numLigFactQpu, designationLigFactQpu, qLigFactQpu, montantLigFactQpu, idFacture) VALUES (13, 44972, 2, Ligne de la conception test QPU 2, 6, 1100, 8);</v>
      </c>
      <c r="T400" s="160" t="s">
        <v>1922</v>
      </c>
      <c r="U400" s="160" t="str">
        <f t="shared" si="202"/>
        <v>LIGFACTQPU</v>
      </c>
      <c r="V400" s="160" t="s">
        <v>2088</v>
      </c>
      <c r="W400" s="226" t="s">
        <v>2593</v>
      </c>
      <c r="X400" s="360" t="s">
        <v>2020</v>
      </c>
      <c r="Y400" s="226" t="s">
        <v>2594</v>
      </c>
      <c r="Z400" s="360" t="s">
        <v>2020</v>
      </c>
      <c r="AA400" s="226" t="s">
        <v>2595</v>
      </c>
      <c r="AB400" s="360" t="s">
        <v>2020</v>
      </c>
      <c r="AC400" s="226" t="s">
        <v>2596</v>
      </c>
      <c r="AD400" s="360" t="s">
        <v>2020</v>
      </c>
      <c r="AE400" s="226" t="s">
        <v>2597</v>
      </c>
      <c r="AF400" s="360" t="s">
        <v>2020</v>
      </c>
      <c r="AG400" s="295" t="s">
        <v>358</v>
      </c>
      <c r="AH400" s="360" t="s">
        <v>2089</v>
      </c>
      <c r="AI400" s="329" t="str">
        <f t="shared" ca="1" si="203"/>
        <v>2023/02/15</v>
      </c>
      <c r="AJ400" s="360" t="s">
        <v>2093</v>
      </c>
      <c r="AK400" s="160">
        <f t="shared" si="204"/>
        <v>2</v>
      </c>
      <c r="AL400" s="360" t="s">
        <v>2090</v>
      </c>
      <c r="AM400" s="160" t="str">
        <f t="shared" si="205"/>
        <v>Ligne de la conception test QPU 2</v>
      </c>
      <c r="AN400" s="360" t="s">
        <v>2093</v>
      </c>
      <c r="AO400" s="160">
        <f t="shared" si="206"/>
        <v>6</v>
      </c>
      <c r="AP400" s="360" t="s">
        <v>2020</v>
      </c>
      <c r="AQ400" s="160">
        <f t="shared" si="207"/>
        <v>1100</v>
      </c>
      <c r="AR400" s="360" t="s">
        <v>2020</v>
      </c>
      <c r="AS400" s="160">
        <f t="shared" si="208"/>
        <v>8</v>
      </c>
      <c r="AT400" s="160" t="s">
        <v>2021</v>
      </c>
      <c r="AU400" s="160" t="str">
        <f t="shared" ca="1" si="209"/>
        <v>INSERT INTO LIGFACTQPU(dateInterventionLigFactQpu,numLigFactQpu,designationLigFactQpu,qLigFactQpu,montantLigFactQpu,idFacture) VALUES ('2023/02/15',2,'Ligne de la conception test QPU 2',6,1100,8);</v>
      </c>
      <c r="AV400" s="160" t="s">
        <v>2610</v>
      </c>
    </row>
    <row r="401" spans="5:48" ht="20.85" customHeight="1" x14ac:dyDescent="0.3">
      <c r="F401" s="160">
        <f t="shared" si="210"/>
        <v>14</v>
      </c>
      <c r="G401" s="329">
        <v>44995</v>
      </c>
      <c r="H401" s="160">
        <v>3</v>
      </c>
      <c r="I401" s="322" t="s">
        <v>1825</v>
      </c>
      <c r="J401" s="322">
        <v>6</v>
      </c>
      <c r="K401" s="322">
        <v>1000</v>
      </c>
      <c r="L401" s="160">
        <v>8</v>
      </c>
      <c r="N401" s="329"/>
      <c r="S401" s="353" t="str">
        <f t="shared" si="201"/>
        <v>INSERT INTO LIGFACTQPU(idLigFactQpu, dateInterventionLigFactQpu, numLigFactQpu, designationLigFactQpu, qLigFactQpu, montantLigFactQpu, idFacture) VALUES (14, 44995, 3, Ligne réalisation et indication date butoir projet test QPU 2, 6, 1000, 8);</v>
      </c>
      <c r="T401" s="160" t="s">
        <v>1922</v>
      </c>
      <c r="U401" s="160" t="str">
        <f t="shared" si="202"/>
        <v>LIGFACTQPU</v>
      </c>
      <c r="V401" s="160" t="s">
        <v>2088</v>
      </c>
      <c r="W401" s="226" t="s">
        <v>2593</v>
      </c>
      <c r="X401" s="360" t="s">
        <v>2020</v>
      </c>
      <c r="Y401" s="226" t="s">
        <v>2594</v>
      </c>
      <c r="Z401" s="360" t="s">
        <v>2020</v>
      </c>
      <c r="AA401" s="226" t="s">
        <v>2595</v>
      </c>
      <c r="AB401" s="360" t="s">
        <v>2020</v>
      </c>
      <c r="AC401" s="226" t="s">
        <v>2596</v>
      </c>
      <c r="AD401" s="360" t="s">
        <v>2020</v>
      </c>
      <c r="AE401" s="226" t="s">
        <v>2597</v>
      </c>
      <c r="AF401" s="360" t="s">
        <v>2020</v>
      </c>
      <c r="AG401" s="295" t="s">
        <v>358</v>
      </c>
      <c r="AH401" s="360" t="s">
        <v>2089</v>
      </c>
      <c r="AI401" s="329" t="str">
        <f t="shared" ca="1" si="203"/>
        <v>2023/03/10</v>
      </c>
      <c r="AJ401" s="360" t="s">
        <v>2093</v>
      </c>
      <c r="AK401" s="160">
        <f t="shared" si="204"/>
        <v>3</v>
      </c>
      <c r="AL401" s="360" t="s">
        <v>2090</v>
      </c>
      <c r="AM401" s="160" t="str">
        <f t="shared" si="205"/>
        <v>Ligne réalisation et indication date butoir projet test QPU 2</v>
      </c>
      <c r="AN401" s="360" t="s">
        <v>2093</v>
      </c>
      <c r="AO401" s="160">
        <f t="shared" si="206"/>
        <v>6</v>
      </c>
      <c r="AP401" s="360" t="s">
        <v>2020</v>
      </c>
      <c r="AQ401" s="160">
        <f t="shared" si="207"/>
        <v>1000</v>
      </c>
      <c r="AR401" s="360" t="s">
        <v>2020</v>
      </c>
      <c r="AS401" s="160">
        <f t="shared" si="208"/>
        <v>8</v>
      </c>
      <c r="AT401" s="160" t="s">
        <v>2021</v>
      </c>
      <c r="AU401" s="160" t="str">
        <f t="shared" ca="1" si="209"/>
        <v>INSERT INTO LIGFACTQPU(dateInterventionLigFactQpu,numLigFactQpu,designationLigFactQpu,qLigFactQpu,montantLigFactQpu,idFacture) VALUES ('2023/03/10',3,'Ligne réalisation et indication date butoir projet test QPU 2',6,1000,8);</v>
      </c>
      <c r="AV401" s="160" t="s">
        <v>2611</v>
      </c>
    </row>
    <row r="402" spans="5:48" ht="20.85" customHeight="1" x14ac:dyDescent="0.3">
      <c r="F402" s="160">
        <f t="shared" si="210"/>
        <v>15</v>
      </c>
      <c r="G402" s="329">
        <v>44995</v>
      </c>
      <c r="H402" s="160">
        <v>4</v>
      </c>
      <c r="I402" s="160" t="s">
        <v>1903</v>
      </c>
      <c r="J402" s="322">
        <v>1</v>
      </c>
      <c r="K402" s="160">
        <f>(J401*K401+J400*K400+J399*K399)*(-0.3)</f>
        <v>-3930</v>
      </c>
      <c r="L402" s="160">
        <v>8</v>
      </c>
      <c r="N402" s="329"/>
      <c r="S402" s="353" t="str">
        <f t="shared" si="201"/>
        <v>INSERT INTO LIGFACTQPU(idLigFactQpu, dateInterventionLigFactQpu, numLigFactQpu, designationLigFactQpu, qLigFactQpu, montantLigFactQpu, idFacture) VALUES (15, 44995, 4, Remise suite versement Acompte (facture NOMFacture30), 1, -3930, 8);</v>
      </c>
      <c r="T402" s="160" t="s">
        <v>1922</v>
      </c>
      <c r="U402" s="160" t="str">
        <f t="shared" si="202"/>
        <v>LIGFACTQPU</v>
      </c>
      <c r="V402" s="160" t="s">
        <v>2088</v>
      </c>
      <c r="W402" s="226" t="s">
        <v>2593</v>
      </c>
      <c r="X402" s="360" t="s">
        <v>2020</v>
      </c>
      <c r="Y402" s="226" t="s">
        <v>2594</v>
      </c>
      <c r="Z402" s="360" t="s">
        <v>2020</v>
      </c>
      <c r="AA402" s="226" t="s">
        <v>2595</v>
      </c>
      <c r="AB402" s="360" t="s">
        <v>2020</v>
      </c>
      <c r="AC402" s="226" t="s">
        <v>2596</v>
      </c>
      <c r="AD402" s="360" t="s">
        <v>2020</v>
      </c>
      <c r="AE402" s="226" t="s">
        <v>2597</v>
      </c>
      <c r="AF402" s="360" t="s">
        <v>2020</v>
      </c>
      <c r="AG402" s="295" t="s">
        <v>358</v>
      </c>
      <c r="AH402" s="360" t="s">
        <v>2089</v>
      </c>
      <c r="AI402" s="329" t="str">
        <f ca="1">IF(AND(G402&lt;=TODAY(),G402&lt;&gt;""),TEXT(G402,"aaaa/mm/jj"),"")</f>
        <v>2023/03/10</v>
      </c>
      <c r="AJ402" s="360" t="s">
        <v>2093</v>
      </c>
      <c r="AK402" s="160">
        <f t="shared" si="204"/>
        <v>4</v>
      </c>
      <c r="AL402" s="360" t="s">
        <v>2090</v>
      </c>
      <c r="AM402" s="160" t="str">
        <f t="shared" si="205"/>
        <v>Remise suite versement Acompte (facture NOMFacture30)</v>
      </c>
      <c r="AN402" s="360" t="s">
        <v>2093</v>
      </c>
      <c r="AO402" s="160">
        <f t="shared" si="206"/>
        <v>1</v>
      </c>
      <c r="AP402" s="360" t="s">
        <v>2020</v>
      </c>
      <c r="AQ402" s="160">
        <f t="shared" si="207"/>
        <v>-3930</v>
      </c>
      <c r="AR402" s="360" t="s">
        <v>2020</v>
      </c>
      <c r="AS402" s="160">
        <f t="shared" si="208"/>
        <v>8</v>
      </c>
      <c r="AT402" s="160" t="s">
        <v>2021</v>
      </c>
      <c r="AU402" s="160" t="str">
        <f t="shared" ca="1" si="209"/>
        <v>INSERT INTO LIGFACTQPU(dateInterventionLigFactQpu,numLigFactQpu,designationLigFactQpu,qLigFactQpu,montantLigFactQpu,idFacture) VALUES ('2023/03/10',4,'Remise suite versement Acompte (facture NOMFacture30)',1,-3930,8);</v>
      </c>
      <c r="AV402" s="160" t="s">
        <v>2612</v>
      </c>
    </row>
    <row r="403" spans="5:48" ht="23.35" customHeight="1" x14ac:dyDescent="0.3">
      <c r="I403" s="322"/>
      <c r="J403" s="322"/>
      <c r="K403" s="322"/>
      <c r="N403" s="335"/>
    </row>
    <row r="404" spans="5:48" s="323" customFormat="1" ht="28.05" customHeight="1" thickBot="1" x14ac:dyDescent="0.35">
      <c r="M404" s="160"/>
      <c r="N404" s="329"/>
      <c r="O404" s="160"/>
      <c r="P404" s="160"/>
      <c r="Q404" s="160"/>
    </row>
    <row r="405" spans="5:48" s="322" customFormat="1" ht="30.05" customHeight="1" thickBot="1" x14ac:dyDescent="0.35">
      <c r="E405" s="323" t="s">
        <v>382</v>
      </c>
      <c r="F405" s="282" t="s">
        <v>177</v>
      </c>
      <c r="G405" s="234" t="s">
        <v>178</v>
      </c>
      <c r="H405" s="234" t="s">
        <v>188</v>
      </c>
      <c r="I405" s="236" t="s">
        <v>263</v>
      </c>
      <c r="J405" s="236" t="s">
        <v>361</v>
      </c>
      <c r="K405" s="295" t="s">
        <v>287</v>
      </c>
      <c r="M405" s="335"/>
      <c r="N405" s="160"/>
      <c r="O405" s="160"/>
      <c r="P405" s="160"/>
      <c r="T405" s="160" t="s">
        <v>1922</v>
      </c>
      <c r="U405" s="160" t="str">
        <f>E405</f>
        <v>COUTS</v>
      </c>
      <c r="V405" s="160" t="s">
        <v>2088</v>
      </c>
      <c r="W405" s="234" t="s">
        <v>178</v>
      </c>
      <c r="X405" s="360" t="s">
        <v>2020</v>
      </c>
      <c r="Y405" s="234" t="s">
        <v>188</v>
      </c>
      <c r="Z405" s="360" t="s">
        <v>2020</v>
      </c>
      <c r="AA405" s="236" t="s">
        <v>263</v>
      </c>
      <c r="AB405" s="360" t="s">
        <v>2020</v>
      </c>
      <c r="AC405" s="236" t="s">
        <v>361</v>
      </c>
      <c r="AD405" s="360" t="s">
        <v>2020</v>
      </c>
      <c r="AE405" s="295" t="s">
        <v>287</v>
      </c>
      <c r="AF405" s="360" t="s">
        <v>2089</v>
      </c>
      <c r="AG405" s="234" t="s">
        <v>178</v>
      </c>
      <c r="AH405" s="360" t="s">
        <v>2091</v>
      </c>
      <c r="AI405" s="234" t="s">
        <v>188</v>
      </c>
      <c r="AJ405" s="360" t="s">
        <v>2091</v>
      </c>
      <c r="AK405" s="236" t="s">
        <v>263</v>
      </c>
      <c r="AL405" s="360" t="s">
        <v>2093</v>
      </c>
      <c r="AM405" s="236" t="s">
        <v>361</v>
      </c>
      <c r="AN405" s="360" t="s">
        <v>2020</v>
      </c>
      <c r="AO405" s="295" t="s">
        <v>287</v>
      </c>
      <c r="AP405" s="160" t="s">
        <v>2021</v>
      </c>
    </row>
    <row r="406" spans="5:48" ht="20.05" customHeight="1" outlineLevel="1" thickBot="1" x14ac:dyDescent="0.35">
      <c r="F406" s="160">
        <v>1</v>
      </c>
      <c r="G406" s="160" t="s">
        <v>182</v>
      </c>
      <c r="H406" s="329">
        <v>44928</v>
      </c>
      <c r="I406" s="160" t="s">
        <v>1907</v>
      </c>
      <c r="J406" s="160">
        <f>140*30</f>
        <v>4200</v>
      </c>
      <c r="K406" s="160">
        <v>1</v>
      </c>
      <c r="L406" s="329">
        <f>_xlfn.XLOOKUP(K406,F$117:F$124,J$117:J$124)</f>
        <v>44928</v>
      </c>
      <c r="M406" s="329"/>
      <c r="S406" s="353" t="str">
        <f t="shared" ref="S406:S438" si="211">"INSERT INTO "&amp;$E$405&amp;"("&amp;$F$405&amp;", "&amp;$G$405&amp;", "&amp;$H$405&amp;", "&amp;$I$405&amp;", "&amp;$J$405&amp;", "&amp;$K$405&amp;") VALUES ("&amp;F406&amp;", "&amp;G406&amp;", "&amp;L406&amp;", "&amp;I406&amp;", "&amp;J406&amp;", "&amp;K406&amp;");"</f>
        <v>INSERT INTO COUTS(idCout, catCout, dateCout, descriptionCout, montantCout, idProjet) VALUES (1, RH, 44928, salaires, 4200, 1);</v>
      </c>
      <c r="T406" s="160" t="s">
        <v>1922</v>
      </c>
      <c r="U406" s="160" t="str">
        <f>U405</f>
        <v>COUTS</v>
      </c>
      <c r="V406" s="160" t="s">
        <v>2088</v>
      </c>
      <c r="W406" s="234" t="s">
        <v>178</v>
      </c>
      <c r="X406" s="360" t="s">
        <v>2020</v>
      </c>
      <c r="Y406" s="234" t="s">
        <v>188</v>
      </c>
      <c r="Z406" s="360" t="s">
        <v>2020</v>
      </c>
      <c r="AA406" s="236" t="s">
        <v>263</v>
      </c>
      <c r="AB406" s="360" t="s">
        <v>2020</v>
      </c>
      <c r="AC406" s="236" t="s">
        <v>361</v>
      </c>
      <c r="AD406" s="360" t="s">
        <v>2020</v>
      </c>
      <c r="AE406" s="295" t="s">
        <v>287</v>
      </c>
      <c r="AF406" s="360" t="s">
        <v>2089</v>
      </c>
      <c r="AG406" s="160" t="str">
        <f>G406</f>
        <v>RH</v>
      </c>
      <c r="AH406" s="360" t="s">
        <v>2091</v>
      </c>
      <c r="AI406" s="329" t="str">
        <f ca="1">IF(AND(H406&lt;=TODAY(),H406&lt;&gt;""),TEXT(H406,"aaaa/mm/jj"),"")</f>
        <v>2023/01/02</v>
      </c>
      <c r="AJ406" s="360" t="s">
        <v>2091</v>
      </c>
      <c r="AK406" s="160" t="str">
        <f>I406</f>
        <v>salaires</v>
      </c>
      <c r="AL406" s="360" t="s">
        <v>2093</v>
      </c>
      <c r="AM406" s="160">
        <f>J406</f>
        <v>4200</v>
      </c>
      <c r="AN406" s="360" t="s">
        <v>2020</v>
      </c>
      <c r="AO406" s="160">
        <f>K406</f>
        <v>1</v>
      </c>
      <c r="AP406" s="160" t="s">
        <v>2021</v>
      </c>
      <c r="AQ406" s="160" t="str">
        <f ca="1">T406&amp;U406&amp;V406&amp;W406&amp;X406&amp;Y406&amp;Z406&amp;AA406&amp;AB406&amp;AC406&amp;AD406&amp;AE406&amp;AF406&amp;AG406&amp;AH406&amp;AI406&amp;AJ406&amp;AK406&amp;AL406&amp;AM406&amp;AN406&amp;AO406&amp;AP406</f>
        <v>INSERT INTO COUTS(catCout,dateCout,descriptionCout,montantCout,idProjet) VALUES ('RH','2023/01/02','salaires',4200,1);</v>
      </c>
      <c r="AR406" s="160" t="s">
        <v>2327</v>
      </c>
    </row>
    <row r="407" spans="5:48" ht="88.3" customHeight="1" outlineLevel="1" thickBot="1" x14ac:dyDescent="0.35">
      <c r="F407" s="160">
        <f>F406+1</f>
        <v>2</v>
      </c>
      <c r="G407" s="160" t="s">
        <v>1904</v>
      </c>
      <c r="H407" s="329">
        <v>44928</v>
      </c>
      <c r="I407" s="160" t="s">
        <v>2505</v>
      </c>
      <c r="J407" s="160">
        <v>123</v>
      </c>
      <c r="K407" s="160">
        <f>K406</f>
        <v>1</v>
      </c>
      <c r="L407" s="329">
        <f>_xlfn.XLOOKUP(K407,F$117:F$124,J$117:J$124)</f>
        <v>44928</v>
      </c>
      <c r="S407" s="353" t="str">
        <f t="shared" si="211"/>
        <v>INSERT INTO COUTS(idCout, catCout, dateCout, descriptionCout, montantCout, idProjet) VALUES (2, Materiaux, 44928, planches, colles, agraffes, vissseries, consommables, 123, 1);</v>
      </c>
      <c r="T407" s="160" t="s">
        <v>1922</v>
      </c>
      <c r="U407" s="160" t="str">
        <f t="shared" ref="U407:U438" si="212">U406</f>
        <v>COUTS</v>
      </c>
      <c r="V407" s="160" t="s">
        <v>2088</v>
      </c>
      <c r="W407" s="234" t="s">
        <v>178</v>
      </c>
      <c r="X407" s="360" t="s">
        <v>2020</v>
      </c>
      <c r="Y407" s="234" t="s">
        <v>188</v>
      </c>
      <c r="Z407" s="360" t="s">
        <v>2020</v>
      </c>
      <c r="AA407" s="236" t="s">
        <v>263</v>
      </c>
      <c r="AB407" s="360" t="s">
        <v>2020</v>
      </c>
      <c r="AC407" s="236" t="s">
        <v>361</v>
      </c>
      <c r="AD407" s="360" t="s">
        <v>2020</v>
      </c>
      <c r="AE407" s="295" t="s">
        <v>287</v>
      </c>
      <c r="AF407" s="360" t="s">
        <v>2089</v>
      </c>
      <c r="AG407" s="160" t="str">
        <f t="shared" ref="AG407:AG438" si="213">G407</f>
        <v>Materiaux</v>
      </c>
      <c r="AH407" s="360" t="s">
        <v>2091</v>
      </c>
      <c r="AI407" s="329" t="str">
        <f t="shared" ref="AI407:AI438" ca="1" si="214">IF(AND(H407&lt;=TODAY(),H407&lt;&gt;""),TEXT(H407,"aaaa/mm/jj"),"")</f>
        <v>2023/01/02</v>
      </c>
      <c r="AJ407" s="360" t="s">
        <v>2091</v>
      </c>
      <c r="AK407" s="160" t="str">
        <f t="shared" ref="AK407:AK438" si="215">I407</f>
        <v>planches, colles, agraffes, vissseries, consommables</v>
      </c>
      <c r="AL407" s="360" t="s">
        <v>2093</v>
      </c>
      <c r="AM407" s="160">
        <f t="shared" ref="AM407:AM438" si="216">J407</f>
        <v>123</v>
      </c>
      <c r="AN407" s="360" t="s">
        <v>2020</v>
      </c>
      <c r="AO407" s="160">
        <f t="shared" ref="AO407:AO438" si="217">K407</f>
        <v>1</v>
      </c>
      <c r="AP407" s="160" t="s">
        <v>2021</v>
      </c>
      <c r="AQ407" s="160" t="str">
        <f t="shared" ref="AQ407:AQ438" ca="1" si="218">T407&amp;U407&amp;V407&amp;W407&amp;X407&amp;Y407&amp;Z407&amp;AA407&amp;AB407&amp;AC407&amp;AD407&amp;AE407&amp;AF407&amp;AG407&amp;AH407&amp;AI407&amp;AJ407&amp;AK407&amp;AL407&amp;AM407&amp;AN407&amp;AO407&amp;AP407</f>
        <v>INSERT INTO COUTS(catCout,dateCout,descriptionCout,montantCout,idProjet) VALUES ('Materiaux','2023/01/02','planches, colles, agraffes, vissseries, consommables',123,1);</v>
      </c>
      <c r="AR407" s="160" t="s">
        <v>2506</v>
      </c>
    </row>
    <row r="408" spans="5:48" ht="15.65" outlineLevel="1" thickBot="1" x14ac:dyDescent="0.35">
      <c r="F408" s="160">
        <f t="shared" ref="F408:F410" si="219">F407+1</f>
        <v>3</v>
      </c>
      <c r="G408" s="160" t="s">
        <v>1905</v>
      </c>
      <c r="H408" s="329">
        <v>44928</v>
      </c>
      <c r="I408" s="160" t="s">
        <v>1909</v>
      </c>
      <c r="J408" s="160">
        <f>(300*12)/360*38</f>
        <v>380</v>
      </c>
      <c r="K408" s="160">
        <f t="shared" ref="K408:K410" si="220">K407</f>
        <v>1</v>
      </c>
      <c r="L408" s="329">
        <f>_xlfn.XLOOKUP(K408,F$117:F$124,J$117:J$124)</f>
        <v>44928</v>
      </c>
      <c r="S408" s="353" t="str">
        <f t="shared" si="211"/>
        <v>INSERT INTO COUTS(idCout, catCout, dateCout, descriptionCout, montantCout, idProjet) VALUES (3, Charges, 44928, electricité, 380, 1);</v>
      </c>
      <c r="T408" s="160" t="s">
        <v>1922</v>
      </c>
      <c r="U408" s="160" t="str">
        <f t="shared" si="212"/>
        <v>COUTS</v>
      </c>
      <c r="V408" s="160" t="s">
        <v>2088</v>
      </c>
      <c r="W408" s="234" t="s">
        <v>178</v>
      </c>
      <c r="X408" s="360" t="s">
        <v>2020</v>
      </c>
      <c r="Y408" s="234" t="s">
        <v>188</v>
      </c>
      <c r="Z408" s="360" t="s">
        <v>2020</v>
      </c>
      <c r="AA408" s="236" t="s">
        <v>263</v>
      </c>
      <c r="AB408" s="360" t="s">
        <v>2020</v>
      </c>
      <c r="AC408" s="236" t="s">
        <v>361</v>
      </c>
      <c r="AD408" s="360" t="s">
        <v>2020</v>
      </c>
      <c r="AE408" s="295" t="s">
        <v>287</v>
      </c>
      <c r="AF408" s="360" t="s">
        <v>2089</v>
      </c>
      <c r="AG408" s="160" t="str">
        <f t="shared" si="213"/>
        <v>Charges</v>
      </c>
      <c r="AH408" s="360" t="s">
        <v>2091</v>
      </c>
      <c r="AI408" s="329" t="str">
        <f t="shared" ca="1" si="214"/>
        <v>2023/01/02</v>
      </c>
      <c r="AJ408" s="360" t="s">
        <v>2091</v>
      </c>
      <c r="AK408" s="160" t="str">
        <f t="shared" si="215"/>
        <v>electricité</v>
      </c>
      <c r="AL408" s="360" t="s">
        <v>2093</v>
      </c>
      <c r="AM408" s="160">
        <f t="shared" si="216"/>
        <v>380</v>
      </c>
      <c r="AN408" s="360" t="s">
        <v>2020</v>
      </c>
      <c r="AO408" s="160">
        <f t="shared" si="217"/>
        <v>1</v>
      </c>
      <c r="AP408" s="160" t="s">
        <v>2021</v>
      </c>
      <c r="AQ408" s="160" t="str">
        <f t="shared" ca="1" si="218"/>
        <v>INSERT INTO COUTS(catCout,dateCout,descriptionCout,montantCout,idProjet) VALUES ('Charges','2023/01/02','electricité',380,1);</v>
      </c>
      <c r="AR408" s="160" t="s">
        <v>2328</v>
      </c>
    </row>
    <row r="409" spans="5:48" ht="15.65" outlineLevel="1" thickBot="1" x14ac:dyDescent="0.35">
      <c r="F409" s="160">
        <f t="shared" si="219"/>
        <v>4</v>
      </c>
      <c r="G409" s="160" t="s">
        <v>1906</v>
      </c>
      <c r="H409" s="329">
        <v>44928</v>
      </c>
      <c r="I409" s="160" t="s">
        <v>1910</v>
      </c>
      <c r="J409" s="160">
        <f>ROUNDUP(33*7/100*2,0)</f>
        <v>5</v>
      </c>
      <c r="K409" s="160">
        <f t="shared" si="220"/>
        <v>1</v>
      </c>
      <c r="L409" s="329">
        <f>_xlfn.XLOOKUP(K409,F$117:F$124,J$117:J$124)</f>
        <v>44928</v>
      </c>
      <c r="S409" s="353" t="str">
        <f t="shared" si="211"/>
        <v>INSERT INTO COUTS(idCout, catCout, dateCout, descriptionCout, montantCout, idProjet) VALUES (4, Frais, 44928, déplacement 33km (7L/100km), 5, 1);</v>
      </c>
      <c r="T409" s="160" t="s">
        <v>1922</v>
      </c>
      <c r="U409" s="160" t="str">
        <f t="shared" si="212"/>
        <v>COUTS</v>
      </c>
      <c r="V409" s="160" t="s">
        <v>2088</v>
      </c>
      <c r="W409" s="234" t="s">
        <v>178</v>
      </c>
      <c r="X409" s="360" t="s">
        <v>2020</v>
      </c>
      <c r="Y409" s="234" t="s">
        <v>188</v>
      </c>
      <c r="Z409" s="360" t="s">
        <v>2020</v>
      </c>
      <c r="AA409" s="236" t="s">
        <v>263</v>
      </c>
      <c r="AB409" s="360" t="s">
        <v>2020</v>
      </c>
      <c r="AC409" s="236" t="s">
        <v>361</v>
      </c>
      <c r="AD409" s="360" t="s">
        <v>2020</v>
      </c>
      <c r="AE409" s="295" t="s">
        <v>287</v>
      </c>
      <c r="AF409" s="360" t="s">
        <v>2089</v>
      </c>
      <c r="AG409" s="160" t="str">
        <f t="shared" si="213"/>
        <v>Frais</v>
      </c>
      <c r="AH409" s="360" t="s">
        <v>2091</v>
      </c>
      <c r="AI409" s="329" t="str">
        <f t="shared" ca="1" si="214"/>
        <v>2023/01/02</v>
      </c>
      <c r="AJ409" s="360" t="s">
        <v>2091</v>
      </c>
      <c r="AK409" s="160" t="str">
        <f t="shared" si="215"/>
        <v>déplacement 33km (7L/100km)</v>
      </c>
      <c r="AL409" s="360" t="s">
        <v>2093</v>
      </c>
      <c r="AM409" s="160">
        <f t="shared" si="216"/>
        <v>5</v>
      </c>
      <c r="AN409" s="360" t="s">
        <v>2020</v>
      </c>
      <c r="AO409" s="160">
        <f t="shared" si="217"/>
        <v>1</v>
      </c>
      <c r="AP409" s="160" t="s">
        <v>2021</v>
      </c>
      <c r="AQ409" s="160" t="str">
        <f t="shared" ca="1" si="218"/>
        <v>INSERT INTO COUTS(catCout,dateCout,descriptionCout,montantCout,idProjet) VALUES ('Frais','2023/01/02','déplacement 33km (7L/100km)',5,1);</v>
      </c>
      <c r="AR409" s="160" t="s">
        <v>2329</v>
      </c>
    </row>
    <row r="410" spans="5:48" ht="15.65" thickBot="1" x14ac:dyDescent="0.35">
      <c r="F410" s="160">
        <f t="shared" si="219"/>
        <v>5</v>
      </c>
      <c r="G410" s="160" t="s">
        <v>1887</v>
      </c>
      <c r="H410" s="329">
        <v>44943</v>
      </c>
      <c r="I410" s="160" t="s">
        <v>1911</v>
      </c>
      <c r="J410" s="160">
        <v>16</v>
      </c>
      <c r="K410" s="160">
        <f t="shared" si="220"/>
        <v>1</v>
      </c>
      <c r="L410" s="329">
        <f>_xlfn.XLOOKUP(K410,F$117:F$124,L$117:L$124)</f>
        <v>44943</v>
      </c>
      <c r="S410" s="353" t="str">
        <f t="shared" si="211"/>
        <v>INSERT INTO COUTS(idCout, catCout, dateCout, descriptionCout, montantCout, idProjet) VALUES (5, Divers, 44943, Mug (Mug kdo client flockage SD), 16, 1);</v>
      </c>
      <c r="T410" s="160" t="s">
        <v>1922</v>
      </c>
      <c r="U410" s="160" t="str">
        <f t="shared" si="212"/>
        <v>COUTS</v>
      </c>
      <c r="V410" s="160" t="s">
        <v>2088</v>
      </c>
      <c r="W410" s="234" t="s">
        <v>178</v>
      </c>
      <c r="X410" s="360" t="s">
        <v>2020</v>
      </c>
      <c r="Y410" s="234" t="s">
        <v>188</v>
      </c>
      <c r="Z410" s="360" t="s">
        <v>2020</v>
      </c>
      <c r="AA410" s="236" t="s">
        <v>263</v>
      </c>
      <c r="AB410" s="360" t="s">
        <v>2020</v>
      </c>
      <c r="AC410" s="236" t="s">
        <v>361</v>
      </c>
      <c r="AD410" s="360" t="s">
        <v>2020</v>
      </c>
      <c r="AE410" s="295" t="s">
        <v>287</v>
      </c>
      <c r="AF410" s="360" t="s">
        <v>2089</v>
      </c>
      <c r="AG410" s="160" t="str">
        <f t="shared" si="213"/>
        <v>Divers</v>
      </c>
      <c r="AH410" s="360" t="s">
        <v>2091</v>
      </c>
      <c r="AI410" s="329" t="str">
        <f t="shared" ca="1" si="214"/>
        <v>2023/01/17</v>
      </c>
      <c r="AJ410" s="360" t="s">
        <v>2091</v>
      </c>
      <c r="AK410" s="160" t="str">
        <f t="shared" si="215"/>
        <v>Mug (Mug kdo client flockage SD)</v>
      </c>
      <c r="AL410" s="360" t="s">
        <v>2093</v>
      </c>
      <c r="AM410" s="160">
        <f t="shared" si="216"/>
        <v>16</v>
      </c>
      <c r="AN410" s="360" t="s">
        <v>2020</v>
      </c>
      <c r="AO410" s="160">
        <f t="shared" si="217"/>
        <v>1</v>
      </c>
      <c r="AP410" s="160" t="s">
        <v>2021</v>
      </c>
      <c r="AQ410" s="160" t="str">
        <f t="shared" ca="1" si="218"/>
        <v>INSERT INTO COUTS(catCout,dateCout,descriptionCout,montantCout,idProjet) VALUES ('Divers','2023/01/17','Mug (Mug kdo client flockage SD)',16,1);</v>
      </c>
      <c r="AR410" s="160" t="s">
        <v>2330</v>
      </c>
    </row>
    <row r="411" spans="5:48" ht="15.65" outlineLevel="1" thickBot="1" x14ac:dyDescent="0.35">
      <c r="F411" s="160">
        <v>1</v>
      </c>
      <c r="G411" s="160" t="s">
        <v>182</v>
      </c>
      <c r="H411" s="329">
        <v>44942</v>
      </c>
      <c r="I411" s="160" t="s">
        <v>1907</v>
      </c>
      <c r="J411" s="160">
        <f>140*28</f>
        <v>3920</v>
      </c>
      <c r="K411" s="160">
        <f>K410+1</f>
        <v>2</v>
      </c>
      <c r="L411" s="329">
        <f>_xlfn.XLOOKUP(K411,F$117:F$124,J$117:J$124)</f>
        <v>44942</v>
      </c>
      <c r="S411" s="353" t="str">
        <f t="shared" si="211"/>
        <v>INSERT INTO COUTS(idCout, catCout, dateCout, descriptionCout, montantCout, idProjet) VALUES (1, RH, 44942, salaires, 3920, 2);</v>
      </c>
      <c r="T411" s="160" t="s">
        <v>1922</v>
      </c>
      <c r="U411" s="160" t="str">
        <f t="shared" si="212"/>
        <v>COUTS</v>
      </c>
      <c r="V411" s="160" t="s">
        <v>2088</v>
      </c>
      <c r="W411" s="234" t="s">
        <v>178</v>
      </c>
      <c r="X411" s="360" t="s">
        <v>2020</v>
      </c>
      <c r="Y411" s="234" t="s">
        <v>188</v>
      </c>
      <c r="Z411" s="360" t="s">
        <v>2020</v>
      </c>
      <c r="AA411" s="236" t="s">
        <v>263</v>
      </c>
      <c r="AB411" s="360" t="s">
        <v>2020</v>
      </c>
      <c r="AC411" s="236" t="s">
        <v>361</v>
      </c>
      <c r="AD411" s="360" t="s">
        <v>2020</v>
      </c>
      <c r="AE411" s="295" t="s">
        <v>287</v>
      </c>
      <c r="AF411" s="360" t="s">
        <v>2089</v>
      </c>
      <c r="AG411" s="160" t="str">
        <f t="shared" si="213"/>
        <v>RH</v>
      </c>
      <c r="AH411" s="360" t="s">
        <v>2091</v>
      </c>
      <c r="AI411" s="329" t="str">
        <f t="shared" ca="1" si="214"/>
        <v>2023/01/16</v>
      </c>
      <c r="AJ411" s="360" t="s">
        <v>2091</v>
      </c>
      <c r="AK411" s="160" t="str">
        <f t="shared" si="215"/>
        <v>salaires</v>
      </c>
      <c r="AL411" s="360" t="s">
        <v>2093</v>
      </c>
      <c r="AM411" s="160">
        <f t="shared" si="216"/>
        <v>3920</v>
      </c>
      <c r="AN411" s="360" t="s">
        <v>2020</v>
      </c>
      <c r="AO411" s="160">
        <f t="shared" si="217"/>
        <v>2</v>
      </c>
      <c r="AP411" s="160" t="s">
        <v>2021</v>
      </c>
      <c r="AQ411" s="160" t="str">
        <f t="shared" ca="1" si="218"/>
        <v>INSERT INTO COUTS(catCout,dateCout,descriptionCout,montantCout,idProjet) VALUES ('RH','2023/01/16','salaires',3920,2);</v>
      </c>
      <c r="AR411" s="160" t="s">
        <v>2331</v>
      </c>
    </row>
    <row r="412" spans="5:48" ht="15.65" outlineLevel="1" thickBot="1" x14ac:dyDescent="0.35">
      <c r="F412" s="160">
        <f>F411+1</f>
        <v>2</v>
      </c>
      <c r="G412" s="160" t="s">
        <v>1904</v>
      </c>
      <c r="H412" s="329">
        <v>44942</v>
      </c>
      <c r="I412" s="160" t="s">
        <v>2505</v>
      </c>
      <c r="J412" s="160">
        <v>123</v>
      </c>
      <c r="K412" s="160">
        <f>K411</f>
        <v>2</v>
      </c>
      <c r="L412" s="329">
        <f>_xlfn.XLOOKUP(K412,F$117:F$124,J$117:J$124)</f>
        <v>44942</v>
      </c>
      <c r="S412" s="353" t="str">
        <f t="shared" si="211"/>
        <v>INSERT INTO COUTS(idCout, catCout, dateCout, descriptionCout, montantCout, idProjet) VALUES (2, Materiaux, 44942, planches, colles, agraffes, vissseries, consommables, 123, 2);</v>
      </c>
      <c r="T412" s="160" t="s">
        <v>1922</v>
      </c>
      <c r="U412" s="160" t="str">
        <f t="shared" si="212"/>
        <v>COUTS</v>
      </c>
      <c r="V412" s="160" t="s">
        <v>2088</v>
      </c>
      <c r="W412" s="234" t="s">
        <v>178</v>
      </c>
      <c r="X412" s="360" t="s">
        <v>2020</v>
      </c>
      <c r="Y412" s="234" t="s">
        <v>188</v>
      </c>
      <c r="Z412" s="360" t="s">
        <v>2020</v>
      </c>
      <c r="AA412" s="236" t="s">
        <v>263</v>
      </c>
      <c r="AB412" s="360" t="s">
        <v>2020</v>
      </c>
      <c r="AC412" s="236" t="s">
        <v>361</v>
      </c>
      <c r="AD412" s="360" t="s">
        <v>2020</v>
      </c>
      <c r="AE412" s="295" t="s">
        <v>287</v>
      </c>
      <c r="AF412" s="360" t="s">
        <v>2089</v>
      </c>
      <c r="AG412" s="160" t="str">
        <f t="shared" si="213"/>
        <v>Materiaux</v>
      </c>
      <c r="AH412" s="360" t="s">
        <v>2091</v>
      </c>
      <c r="AI412" s="329" t="str">
        <f t="shared" ca="1" si="214"/>
        <v>2023/01/16</v>
      </c>
      <c r="AJ412" s="360" t="s">
        <v>2091</v>
      </c>
      <c r="AK412" s="160" t="str">
        <f t="shared" si="215"/>
        <v>planches, colles, agraffes, vissseries, consommables</v>
      </c>
      <c r="AL412" s="360" t="s">
        <v>2093</v>
      </c>
      <c r="AM412" s="160">
        <f t="shared" si="216"/>
        <v>123</v>
      </c>
      <c r="AN412" s="360" t="s">
        <v>2020</v>
      </c>
      <c r="AO412" s="160">
        <f t="shared" si="217"/>
        <v>2</v>
      </c>
      <c r="AP412" s="160" t="s">
        <v>2021</v>
      </c>
      <c r="AQ412" s="160" t="str">
        <f t="shared" ca="1" si="218"/>
        <v>INSERT INTO COUTS(catCout,dateCout,descriptionCout,montantCout,idProjet) VALUES ('Materiaux','2023/01/16','planches, colles, agraffes, vissseries, consommables',123,2);</v>
      </c>
      <c r="AR412" s="160" t="s">
        <v>2507</v>
      </c>
    </row>
    <row r="413" spans="5:48" ht="15.65" outlineLevel="1" thickBot="1" x14ac:dyDescent="0.35">
      <c r="F413" s="160">
        <f t="shared" ref="F413:F415" si="221">F412+1</f>
        <v>3</v>
      </c>
      <c r="G413" s="160" t="s">
        <v>1905</v>
      </c>
      <c r="H413" s="329">
        <v>44942</v>
      </c>
      <c r="I413" s="160" t="s">
        <v>1909</v>
      </c>
      <c r="J413" s="160">
        <f>(300*12)/360*38</f>
        <v>380</v>
      </c>
      <c r="K413" s="160">
        <f t="shared" ref="K413:K415" si="222">K412</f>
        <v>2</v>
      </c>
      <c r="L413" s="329">
        <f>_xlfn.XLOOKUP(K413,F$117:F$124,J$117:J$124)</f>
        <v>44942</v>
      </c>
      <c r="S413" s="353" t="str">
        <f t="shared" si="211"/>
        <v>INSERT INTO COUTS(idCout, catCout, dateCout, descriptionCout, montantCout, idProjet) VALUES (3, Charges, 44942, electricité, 380, 2);</v>
      </c>
      <c r="T413" s="160" t="s">
        <v>1922</v>
      </c>
      <c r="U413" s="160" t="str">
        <f t="shared" si="212"/>
        <v>COUTS</v>
      </c>
      <c r="V413" s="160" t="s">
        <v>2088</v>
      </c>
      <c r="W413" s="234" t="s">
        <v>178</v>
      </c>
      <c r="X413" s="360" t="s">
        <v>2020</v>
      </c>
      <c r="Y413" s="234" t="s">
        <v>188</v>
      </c>
      <c r="Z413" s="360" t="s">
        <v>2020</v>
      </c>
      <c r="AA413" s="236" t="s">
        <v>263</v>
      </c>
      <c r="AB413" s="360" t="s">
        <v>2020</v>
      </c>
      <c r="AC413" s="236" t="s">
        <v>361</v>
      </c>
      <c r="AD413" s="360" t="s">
        <v>2020</v>
      </c>
      <c r="AE413" s="295" t="s">
        <v>287</v>
      </c>
      <c r="AF413" s="360" t="s">
        <v>2089</v>
      </c>
      <c r="AG413" s="160" t="str">
        <f t="shared" si="213"/>
        <v>Charges</v>
      </c>
      <c r="AH413" s="360" t="s">
        <v>2091</v>
      </c>
      <c r="AI413" s="329" t="str">
        <f t="shared" ca="1" si="214"/>
        <v>2023/01/16</v>
      </c>
      <c r="AJ413" s="360" t="s">
        <v>2091</v>
      </c>
      <c r="AK413" s="160" t="str">
        <f t="shared" si="215"/>
        <v>electricité</v>
      </c>
      <c r="AL413" s="360" t="s">
        <v>2093</v>
      </c>
      <c r="AM413" s="160">
        <f t="shared" si="216"/>
        <v>380</v>
      </c>
      <c r="AN413" s="360" t="s">
        <v>2020</v>
      </c>
      <c r="AO413" s="160">
        <f t="shared" si="217"/>
        <v>2</v>
      </c>
      <c r="AP413" s="160" t="s">
        <v>2021</v>
      </c>
      <c r="AQ413" s="160" t="str">
        <f t="shared" ca="1" si="218"/>
        <v>INSERT INTO COUTS(catCout,dateCout,descriptionCout,montantCout,idProjet) VALUES ('Charges','2023/01/16','electricité',380,2);</v>
      </c>
      <c r="AR413" s="160" t="s">
        <v>2332</v>
      </c>
    </row>
    <row r="414" spans="5:48" ht="15.65" outlineLevel="1" thickBot="1" x14ac:dyDescent="0.35">
      <c r="F414" s="160">
        <f t="shared" si="221"/>
        <v>4</v>
      </c>
      <c r="G414" s="160" t="s">
        <v>1906</v>
      </c>
      <c r="H414" s="329">
        <v>44942</v>
      </c>
      <c r="I414" s="160" t="s">
        <v>1910</v>
      </c>
      <c r="J414" s="160">
        <f>ROUNDUP(33*7/100*2,0)</f>
        <v>5</v>
      </c>
      <c r="K414" s="160">
        <f t="shared" si="222"/>
        <v>2</v>
      </c>
      <c r="L414" s="329">
        <f>_xlfn.XLOOKUP(K414,F$117:F$124,J$117:J$124)</f>
        <v>44942</v>
      </c>
      <c r="S414" s="353" t="str">
        <f t="shared" si="211"/>
        <v>INSERT INTO COUTS(idCout, catCout, dateCout, descriptionCout, montantCout, idProjet) VALUES (4, Frais, 44942, déplacement 33km (7L/100km), 5, 2);</v>
      </c>
      <c r="T414" s="160" t="s">
        <v>1922</v>
      </c>
      <c r="U414" s="160" t="str">
        <f t="shared" si="212"/>
        <v>COUTS</v>
      </c>
      <c r="V414" s="160" t="s">
        <v>2088</v>
      </c>
      <c r="W414" s="234" t="s">
        <v>178</v>
      </c>
      <c r="X414" s="360" t="s">
        <v>2020</v>
      </c>
      <c r="Y414" s="234" t="s">
        <v>188</v>
      </c>
      <c r="Z414" s="360" t="s">
        <v>2020</v>
      </c>
      <c r="AA414" s="236" t="s">
        <v>263</v>
      </c>
      <c r="AB414" s="360" t="s">
        <v>2020</v>
      </c>
      <c r="AC414" s="236" t="s">
        <v>361</v>
      </c>
      <c r="AD414" s="360" t="s">
        <v>2020</v>
      </c>
      <c r="AE414" s="295" t="s">
        <v>287</v>
      </c>
      <c r="AF414" s="360" t="s">
        <v>2089</v>
      </c>
      <c r="AG414" s="160" t="str">
        <f t="shared" si="213"/>
        <v>Frais</v>
      </c>
      <c r="AH414" s="360" t="s">
        <v>2091</v>
      </c>
      <c r="AI414" s="329" t="str">
        <f t="shared" ca="1" si="214"/>
        <v>2023/01/16</v>
      </c>
      <c r="AJ414" s="360" t="s">
        <v>2091</v>
      </c>
      <c r="AK414" s="160" t="str">
        <f t="shared" si="215"/>
        <v>déplacement 33km (7L/100km)</v>
      </c>
      <c r="AL414" s="360" t="s">
        <v>2093</v>
      </c>
      <c r="AM414" s="160">
        <f t="shared" si="216"/>
        <v>5</v>
      </c>
      <c r="AN414" s="360" t="s">
        <v>2020</v>
      </c>
      <c r="AO414" s="160">
        <f t="shared" si="217"/>
        <v>2</v>
      </c>
      <c r="AP414" s="160" t="s">
        <v>2021</v>
      </c>
      <c r="AQ414" s="160" t="str">
        <f t="shared" ca="1" si="218"/>
        <v>INSERT INTO COUTS(catCout,dateCout,descriptionCout,montantCout,idProjet) VALUES ('Frais','2023/01/16','déplacement 33km (7L/100km)',5,2);</v>
      </c>
      <c r="AR414" s="160" t="s">
        <v>2333</v>
      </c>
    </row>
    <row r="415" spans="5:48" ht="15.65" thickBot="1" x14ac:dyDescent="0.35">
      <c r="F415" s="160">
        <f t="shared" si="221"/>
        <v>5</v>
      </c>
      <c r="G415" s="160" t="s">
        <v>1887</v>
      </c>
      <c r="H415" s="329">
        <v>44960</v>
      </c>
      <c r="I415" s="160" t="s">
        <v>1911</v>
      </c>
      <c r="J415" s="160">
        <v>16</v>
      </c>
      <c r="K415" s="160">
        <f t="shared" si="222"/>
        <v>2</v>
      </c>
      <c r="L415" s="329">
        <f>_xlfn.XLOOKUP(K415,F$117:F$124,L$117:L$124)</f>
        <v>44960</v>
      </c>
      <c r="S415" s="353" t="str">
        <f t="shared" si="211"/>
        <v>INSERT INTO COUTS(idCout, catCout, dateCout, descriptionCout, montantCout, idProjet) VALUES (5, Divers, 44960, Mug (Mug kdo client flockage SD), 16, 2);</v>
      </c>
      <c r="T415" s="160" t="s">
        <v>1922</v>
      </c>
      <c r="U415" s="160" t="str">
        <f t="shared" si="212"/>
        <v>COUTS</v>
      </c>
      <c r="V415" s="160" t="s">
        <v>2088</v>
      </c>
      <c r="W415" s="234" t="s">
        <v>178</v>
      </c>
      <c r="X415" s="360" t="s">
        <v>2020</v>
      </c>
      <c r="Y415" s="234" t="s">
        <v>188</v>
      </c>
      <c r="Z415" s="360" t="s">
        <v>2020</v>
      </c>
      <c r="AA415" s="236" t="s">
        <v>263</v>
      </c>
      <c r="AB415" s="360" t="s">
        <v>2020</v>
      </c>
      <c r="AC415" s="236" t="s">
        <v>361</v>
      </c>
      <c r="AD415" s="360" t="s">
        <v>2020</v>
      </c>
      <c r="AE415" s="295" t="s">
        <v>287</v>
      </c>
      <c r="AF415" s="360" t="s">
        <v>2089</v>
      </c>
      <c r="AG415" s="160" t="str">
        <f t="shared" si="213"/>
        <v>Divers</v>
      </c>
      <c r="AH415" s="360" t="s">
        <v>2091</v>
      </c>
      <c r="AI415" s="329" t="str">
        <f t="shared" ca="1" si="214"/>
        <v>2023/02/03</v>
      </c>
      <c r="AJ415" s="360" t="s">
        <v>2091</v>
      </c>
      <c r="AK415" s="160" t="str">
        <f t="shared" si="215"/>
        <v>Mug (Mug kdo client flockage SD)</v>
      </c>
      <c r="AL415" s="360" t="s">
        <v>2093</v>
      </c>
      <c r="AM415" s="160">
        <f t="shared" si="216"/>
        <v>16</v>
      </c>
      <c r="AN415" s="360" t="s">
        <v>2020</v>
      </c>
      <c r="AO415" s="160">
        <f t="shared" si="217"/>
        <v>2</v>
      </c>
      <c r="AP415" s="160" t="s">
        <v>2021</v>
      </c>
      <c r="AQ415" s="160" t="str">
        <f t="shared" ca="1" si="218"/>
        <v>INSERT INTO COUTS(catCout,dateCout,descriptionCout,montantCout,idProjet) VALUES ('Divers','2023/02/03','Mug (Mug kdo client flockage SD)',16,2);</v>
      </c>
      <c r="AR415" s="160" t="s">
        <v>2334</v>
      </c>
    </row>
    <row r="416" spans="5:48" ht="15.65" outlineLevel="1" thickBot="1" x14ac:dyDescent="0.35">
      <c r="F416" s="160">
        <v>1</v>
      </c>
      <c r="G416" s="160" t="s">
        <v>182</v>
      </c>
      <c r="H416" s="329">
        <v>44963</v>
      </c>
      <c r="I416" s="160" t="s">
        <v>1907</v>
      </c>
      <c r="J416" s="160">
        <f>140*28</f>
        <v>3920</v>
      </c>
      <c r="K416" s="160">
        <f>K415+1</f>
        <v>3</v>
      </c>
      <c r="L416" s="329">
        <f>_xlfn.XLOOKUP(K416,F$117:F$124,J$117:J$124)</f>
        <v>44963</v>
      </c>
      <c r="S416" s="353" t="str">
        <f t="shared" si="211"/>
        <v>INSERT INTO COUTS(idCout, catCout, dateCout, descriptionCout, montantCout, idProjet) VALUES (1, RH, 44963, salaires, 3920, 3);</v>
      </c>
      <c r="T416" s="160" t="s">
        <v>1922</v>
      </c>
      <c r="U416" s="160" t="str">
        <f t="shared" si="212"/>
        <v>COUTS</v>
      </c>
      <c r="V416" s="160" t="s">
        <v>2088</v>
      </c>
      <c r="W416" s="234" t="s">
        <v>178</v>
      </c>
      <c r="X416" s="360" t="s">
        <v>2020</v>
      </c>
      <c r="Y416" s="234" t="s">
        <v>188</v>
      </c>
      <c r="Z416" s="360" t="s">
        <v>2020</v>
      </c>
      <c r="AA416" s="236" t="s">
        <v>263</v>
      </c>
      <c r="AB416" s="360" t="s">
        <v>2020</v>
      </c>
      <c r="AC416" s="236" t="s">
        <v>361</v>
      </c>
      <c r="AD416" s="360" t="s">
        <v>2020</v>
      </c>
      <c r="AE416" s="295" t="s">
        <v>287</v>
      </c>
      <c r="AF416" s="360" t="s">
        <v>2089</v>
      </c>
      <c r="AG416" s="160" t="str">
        <f t="shared" si="213"/>
        <v>RH</v>
      </c>
      <c r="AH416" s="360" t="s">
        <v>2091</v>
      </c>
      <c r="AI416" s="329" t="str">
        <f t="shared" ca="1" si="214"/>
        <v>2023/02/06</v>
      </c>
      <c r="AJ416" s="360" t="s">
        <v>2091</v>
      </c>
      <c r="AK416" s="160" t="str">
        <f t="shared" si="215"/>
        <v>salaires</v>
      </c>
      <c r="AL416" s="360" t="s">
        <v>2093</v>
      </c>
      <c r="AM416" s="160">
        <f t="shared" si="216"/>
        <v>3920</v>
      </c>
      <c r="AN416" s="360" t="s">
        <v>2020</v>
      </c>
      <c r="AO416" s="160">
        <f t="shared" si="217"/>
        <v>3</v>
      </c>
      <c r="AP416" s="160" t="s">
        <v>2021</v>
      </c>
      <c r="AQ416" s="160" t="str">
        <f t="shared" ca="1" si="218"/>
        <v>INSERT INTO COUTS(catCout,dateCout,descriptionCout,montantCout,idProjet) VALUES ('RH','2023/02/06','salaires',3920,3);</v>
      </c>
      <c r="AR416" s="160" t="s">
        <v>2335</v>
      </c>
    </row>
    <row r="417" spans="6:44" ht="15.65" outlineLevel="1" thickBot="1" x14ac:dyDescent="0.35">
      <c r="F417" s="160">
        <f>F416+1</f>
        <v>2</v>
      </c>
      <c r="G417" s="160" t="s">
        <v>1904</v>
      </c>
      <c r="H417" s="329">
        <v>44963</v>
      </c>
      <c r="I417" s="160" t="s">
        <v>2505</v>
      </c>
      <c r="J417" s="160">
        <v>123</v>
      </c>
      <c r="K417" s="160">
        <f>K416</f>
        <v>3</v>
      </c>
      <c r="L417" s="329">
        <f>_xlfn.XLOOKUP(K417,F$117:F$124,J$117:J$124)</f>
        <v>44963</v>
      </c>
      <c r="S417" s="353" t="str">
        <f t="shared" si="211"/>
        <v>INSERT INTO COUTS(idCout, catCout, dateCout, descriptionCout, montantCout, idProjet) VALUES (2, Materiaux, 44963, planches, colles, agraffes, vissseries, consommables, 123, 3);</v>
      </c>
      <c r="T417" s="160" t="s">
        <v>1922</v>
      </c>
      <c r="U417" s="160" t="str">
        <f t="shared" si="212"/>
        <v>COUTS</v>
      </c>
      <c r="V417" s="160" t="s">
        <v>2088</v>
      </c>
      <c r="W417" s="234" t="s">
        <v>178</v>
      </c>
      <c r="X417" s="360" t="s">
        <v>2020</v>
      </c>
      <c r="Y417" s="234" t="s">
        <v>188</v>
      </c>
      <c r="Z417" s="360" t="s">
        <v>2020</v>
      </c>
      <c r="AA417" s="236" t="s">
        <v>263</v>
      </c>
      <c r="AB417" s="360" t="s">
        <v>2020</v>
      </c>
      <c r="AC417" s="236" t="s">
        <v>361</v>
      </c>
      <c r="AD417" s="360" t="s">
        <v>2020</v>
      </c>
      <c r="AE417" s="295" t="s">
        <v>287</v>
      </c>
      <c r="AF417" s="360" t="s">
        <v>2089</v>
      </c>
      <c r="AG417" s="160" t="str">
        <f t="shared" si="213"/>
        <v>Materiaux</v>
      </c>
      <c r="AH417" s="360" t="s">
        <v>2091</v>
      </c>
      <c r="AI417" s="329" t="str">
        <f t="shared" ca="1" si="214"/>
        <v>2023/02/06</v>
      </c>
      <c r="AJ417" s="360" t="s">
        <v>2091</v>
      </c>
      <c r="AK417" s="160" t="str">
        <f t="shared" si="215"/>
        <v>planches, colles, agraffes, vissseries, consommables</v>
      </c>
      <c r="AL417" s="360" t="s">
        <v>2093</v>
      </c>
      <c r="AM417" s="160">
        <f t="shared" si="216"/>
        <v>123</v>
      </c>
      <c r="AN417" s="360" t="s">
        <v>2020</v>
      </c>
      <c r="AO417" s="160">
        <f t="shared" si="217"/>
        <v>3</v>
      </c>
      <c r="AP417" s="160" t="s">
        <v>2021</v>
      </c>
      <c r="AQ417" s="160" t="str">
        <f t="shared" ca="1" si="218"/>
        <v>INSERT INTO COUTS(catCout,dateCout,descriptionCout,montantCout,idProjet) VALUES ('Materiaux','2023/02/06','planches, colles, agraffes, vissseries, consommables',123,3);</v>
      </c>
      <c r="AR417" s="160" t="s">
        <v>2508</v>
      </c>
    </row>
    <row r="418" spans="6:44" ht="15.65" outlineLevel="1" thickBot="1" x14ac:dyDescent="0.35">
      <c r="F418" s="160">
        <f t="shared" ref="F418:F420" si="223">F417+1</f>
        <v>3</v>
      </c>
      <c r="G418" s="160" t="s">
        <v>1905</v>
      </c>
      <c r="H418" s="329">
        <v>44963</v>
      </c>
      <c r="I418" s="160" t="s">
        <v>1909</v>
      </c>
      <c r="J418" s="160">
        <f>(300*12)/360*38</f>
        <v>380</v>
      </c>
      <c r="K418" s="160">
        <f t="shared" ref="K418:K420" si="224">K417</f>
        <v>3</v>
      </c>
      <c r="L418" s="329">
        <f>_xlfn.XLOOKUP(K418,F$117:F$124,J$117:J$124)</f>
        <v>44963</v>
      </c>
      <c r="S418" s="353" t="str">
        <f t="shared" si="211"/>
        <v>INSERT INTO COUTS(idCout, catCout, dateCout, descriptionCout, montantCout, idProjet) VALUES (3, Charges, 44963, electricité, 380, 3);</v>
      </c>
      <c r="T418" s="160" t="s">
        <v>1922</v>
      </c>
      <c r="U418" s="160" t="str">
        <f t="shared" si="212"/>
        <v>COUTS</v>
      </c>
      <c r="V418" s="160" t="s">
        <v>2088</v>
      </c>
      <c r="W418" s="234" t="s">
        <v>178</v>
      </c>
      <c r="X418" s="360" t="s">
        <v>2020</v>
      </c>
      <c r="Y418" s="234" t="s">
        <v>188</v>
      </c>
      <c r="Z418" s="360" t="s">
        <v>2020</v>
      </c>
      <c r="AA418" s="236" t="s">
        <v>263</v>
      </c>
      <c r="AB418" s="360" t="s">
        <v>2020</v>
      </c>
      <c r="AC418" s="236" t="s">
        <v>361</v>
      </c>
      <c r="AD418" s="360" t="s">
        <v>2020</v>
      </c>
      <c r="AE418" s="295" t="s">
        <v>287</v>
      </c>
      <c r="AF418" s="360" t="s">
        <v>2089</v>
      </c>
      <c r="AG418" s="160" t="str">
        <f t="shared" si="213"/>
        <v>Charges</v>
      </c>
      <c r="AH418" s="360" t="s">
        <v>2091</v>
      </c>
      <c r="AI418" s="329" t="str">
        <f t="shared" ca="1" si="214"/>
        <v>2023/02/06</v>
      </c>
      <c r="AJ418" s="360" t="s">
        <v>2091</v>
      </c>
      <c r="AK418" s="160" t="str">
        <f t="shared" si="215"/>
        <v>electricité</v>
      </c>
      <c r="AL418" s="360" t="s">
        <v>2093</v>
      </c>
      <c r="AM418" s="160">
        <f t="shared" si="216"/>
        <v>380</v>
      </c>
      <c r="AN418" s="360" t="s">
        <v>2020</v>
      </c>
      <c r="AO418" s="160">
        <f t="shared" si="217"/>
        <v>3</v>
      </c>
      <c r="AP418" s="160" t="s">
        <v>2021</v>
      </c>
      <c r="AQ418" s="160" t="str">
        <f t="shared" ca="1" si="218"/>
        <v>INSERT INTO COUTS(catCout,dateCout,descriptionCout,montantCout,idProjet) VALUES ('Charges','2023/02/06','electricité',380,3);</v>
      </c>
      <c r="AR418" s="160" t="s">
        <v>2336</v>
      </c>
    </row>
    <row r="419" spans="6:44" ht="15.65" outlineLevel="1" thickBot="1" x14ac:dyDescent="0.35">
      <c r="F419" s="160">
        <f t="shared" si="223"/>
        <v>4</v>
      </c>
      <c r="G419" s="160" t="s">
        <v>1906</v>
      </c>
      <c r="H419" s="329">
        <v>44963</v>
      </c>
      <c r="I419" s="160" t="s">
        <v>1910</v>
      </c>
      <c r="J419" s="160">
        <f>ROUNDUP(33*7/100*2,0)</f>
        <v>5</v>
      </c>
      <c r="K419" s="160">
        <f t="shared" si="224"/>
        <v>3</v>
      </c>
      <c r="L419" s="329">
        <f>_xlfn.XLOOKUP(K419,F$117:F$124,J$117:J$124)</f>
        <v>44963</v>
      </c>
      <c r="S419" s="353" t="str">
        <f t="shared" si="211"/>
        <v>INSERT INTO COUTS(idCout, catCout, dateCout, descriptionCout, montantCout, idProjet) VALUES (4, Frais, 44963, déplacement 33km (7L/100km), 5, 3);</v>
      </c>
      <c r="T419" s="160" t="s">
        <v>1922</v>
      </c>
      <c r="U419" s="160" t="str">
        <f t="shared" si="212"/>
        <v>COUTS</v>
      </c>
      <c r="V419" s="160" t="s">
        <v>2088</v>
      </c>
      <c r="W419" s="234" t="s">
        <v>178</v>
      </c>
      <c r="X419" s="360" t="s">
        <v>2020</v>
      </c>
      <c r="Y419" s="234" t="s">
        <v>188</v>
      </c>
      <c r="Z419" s="360" t="s">
        <v>2020</v>
      </c>
      <c r="AA419" s="236" t="s">
        <v>263</v>
      </c>
      <c r="AB419" s="360" t="s">
        <v>2020</v>
      </c>
      <c r="AC419" s="236" t="s">
        <v>361</v>
      </c>
      <c r="AD419" s="360" t="s">
        <v>2020</v>
      </c>
      <c r="AE419" s="295" t="s">
        <v>287</v>
      </c>
      <c r="AF419" s="360" t="s">
        <v>2089</v>
      </c>
      <c r="AG419" s="160" t="str">
        <f t="shared" si="213"/>
        <v>Frais</v>
      </c>
      <c r="AH419" s="360" t="s">
        <v>2091</v>
      </c>
      <c r="AI419" s="329" t="str">
        <f t="shared" ca="1" si="214"/>
        <v>2023/02/06</v>
      </c>
      <c r="AJ419" s="360" t="s">
        <v>2091</v>
      </c>
      <c r="AK419" s="160" t="str">
        <f t="shared" si="215"/>
        <v>déplacement 33km (7L/100km)</v>
      </c>
      <c r="AL419" s="360" t="s">
        <v>2093</v>
      </c>
      <c r="AM419" s="160">
        <f t="shared" si="216"/>
        <v>5</v>
      </c>
      <c r="AN419" s="360" t="s">
        <v>2020</v>
      </c>
      <c r="AO419" s="160">
        <f t="shared" si="217"/>
        <v>3</v>
      </c>
      <c r="AP419" s="160" t="s">
        <v>2021</v>
      </c>
      <c r="AQ419" s="160" t="str">
        <f t="shared" ca="1" si="218"/>
        <v>INSERT INTO COUTS(catCout,dateCout,descriptionCout,montantCout,idProjet) VALUES ('Frais','2023/02/06','déplacement 33km (7L/100km)',5,3);</v>
      </c>
      <c r="AR419" s="160" t="s">
        <v>2337</v>
      </c>
    </row>
    <row r="420" spans="6:44" ht="15.65" thickBot="1" x14ac:dyDescent="0.35">
      <c r="F420" s="160">
        <f t="shared" si="223"/>
        <v>5</v>
      </c>
      <c r="G420" s="160" t="s">
        <v>1887</v>
      </c>
      <c r="H420" s="329">
        <v>44981</v>
      </c>
      <c r="I420" s="160" t="s">
        <v>1911</v>
      </c>
      <c r="J420" s="160">
        <v>16</v>
      </c>
      <c r="K420" s="160">
        <f t="shared" si="224"/>
        <v>3</v>
      </c>
      <c r="L420" s="329">
        <f>_xlfn.XLOOKUP(K420,F$117:F$124,L$117:L$124)</f>
        <v>44981</v>
      </c>
      <c r="S420" s="353" t="str">
        <f t="shared" si="211"/>
        <v>INSERT INTO COUTS(idCout, catCout, dateCout, descriptionCout, montantCout, idProjet) VALUES (5, Divers, 44981, Mug (Mug kdo client flockage SD), 16, 3);</v>
      </c>
      <c r="T420" s="160" t="s">
        <v>1922</v>
      </c>
      <c r="U420" s="160" t="str">
        <f t="shared" si="212"/>
        <v>COUTS</v>
      </c>
      <c r="V420" s="160" t="s">
        <v>2088</v>
      </c>
      <c r="W420" s="234" t="s">
        <v>178</v>
      </c>
      <c r="X420" s="360" t="s">
        <v>2020</v>
      </c>
      <c r="Y420" s="234" t="s">
        <v>188</v>
      </c>
      <c r="Z420" s="360" t="s">
        <v>2020</v>
      </c>
      <c r="AA420" s="236" t="s">
        <v>263</v>
      </c>
      <c r="AB420" s="360" t="s">
        <v>2020</v>
      </c>
      <c r="AC420" s="236" t="s">
        <v>361</v>
      </c>
      <c r="AD420" s="360" t="s">
        <v>2020</v>
      </c>
      <c r="AE420" s="295" t="s">
        <v>287</v>
      </c>
      <c r="AF420" s="360" t="s">
        <v>2089</v>
      </c>
      <c r="AG420" s="160" t="str">
        <f t="shared" si="213"/>
        <v>Divers</v>
      </c>
      <c r="AH420" s="360" t="s">
        <v>2091</v>
      </c>
      <c r="AI420" s="329" t="str">
        <f t="shared" ca="1" si="214"/>
        <v>2023/02/24</v>
      </c>
      <c r="AJ420" s="360" t="s">
        <v>2091</v>
      </c>
      <c r="AK420" s="160" t="str">
        <f t="shared" si="215"/>
        <v>Mug (Mug kdo client flockage SD)</v>
      </c>
      <c r="AL420" s="360" t="s">
        <v>2093</v>
      </c>
      <c r="AM420" s="160">
        <f t="shared" si="216"/>
        <v>16</v>
      </c>
      <c r="AN420" s="360" t="s">
        <v>2020</v>
      </c>
      <c r="AO420" s="160">
        <f t="shared" si="217"/>
        <v>3</v>
      </c>
      <c r="AP420" s="160" t="s">
        <v>2021</v>
      </c>
      <c r="AQ420" s="160" t="str">
        <f t="shared" ca="1" si="218"/>
        <v>INSERT INTO COUTS(catCout,dateCout,descriptionCout,montantCout,idProjet) VALUES ('Divers','2023/02/24','Mug (Mug kdo client flockage SD)',16,3);</v>
      </c>
      <c r="AR420" s="160" t="s">
        <v>2338</v>
      </c>
    </row>
    <row r="421" spans="6:44" ht="15.65" outlineLevel="1" thickBot="1" x14ac:dyDescent="0.35">
      <c r="F421" s="160">
        <v>1</v>
      </c>
      <c r="G421" s="160" t="s">
        <v>182</v>
      </c>
      <c r="H421" s="329">
        <v>44984</v>
      </c>
      <c r="I421" s="160" t="s">
        <v>1907</v>
      </c>
      <c r="J421" s="160">
        <f>140*28</f>
        <v>3920</v>
      </c>
      <c r="K421" s="160">
        <f>K420+1</f>
        <v>4</v>
      </c>
      <c r="L421" s="329">
        <f>_xlfn.XLOOKUP(K421,F$117:F$124,J$117:J$124)</f>
        <v>44984</v>
      </c>
      <c r="S421" s="353" t="str">
        <f t="shared" si="211"/>
        <v>INSERT INTO COUTS(idCout, catCout, dateCout, descriptionCout, montantCout, idProjet) VALUES (1, RH, 44984, salaires, 3920, 4);</v>
      </c>
      <c r="T421" s="160" t="s">
        <v>1922</v>
      </c>
      <c r="U421" s="160" t="str">
        <f t="shared" si="212"/>
        <v>COUTS</v>
      </c>
      <c r="V421" s="160" t="s">
        <v>2088</v>
      </c>
      <c r="W421" s="234" t="s">
        <v>178</v>
      </c>
      <c r="X421" s="360" t="s">
        <v>2020</v>
      </c>
      <c r="Y421" s="234" t="s">
        <v>188</v>
      </c>
      <c r="Z421" s="360" t="s">
        <v>2020</v>
      </c>
      <c r="AA421" s="236" t="s">
        <v>263</v>
      </c>
      <c r="AB421" s="360" t="s">
        <v>2020</v>
      </c>
      <c r="AC421" s="236" t="s">
        <v>361</v>
      </c>
      <c r="AD421" s="360" t="s">
        <v>2020</v>
      </c>
      <c r="AE421" s="295" t="s">
        <v>287</v>
      </c>
      <c r="AF421" s="360" t="s">
        <v>2089</v>
      </c>
      <c r="AG421" s="160" t="str">
        <f t="shared" si="213"/>
        <v>RH</v>
      </c>
      <c r="AH421" s="360" t="s">
        <v>2091</v>
      </c>
      <c r="AI421" s="329" t="str">
        <f t="shared" ca="1" si="214"/>
        <v>2023/02/27</v>
      </c>
      <c r="AJ421" s="360" t="s">
        <v>2091</v>
      </c>
      <c r="AK421" s="160" t="str">
        <f t="shared" si="215"/>
        <v>salaires</v>
      </c>
      <c r="AL421" s="360" t="s">
        <v>2093</v>
      </c>
      <c r="AM421" s="160">
        <f t="shared" si="216"/>
        <v>3920</v>
      </c>
      <c r="AN421" s="360" t="s">
        <v>2020</v>
      </c>
      <c r="AO421" s="160">
        <f t="shared" si="217"/>
        <v>4</v>
      </c>
      <c r="AP421" s="160" t="s">
        <v>2021</v>
      </c>
      <c r="AQ421" s="160" t="str">
        <f t="shared" ca="1" si="218"/>
        <v>INSERT INTO COUTS(catCout,dateCout,descriptionCout,montantCout,idProjet) VALUES ('RH','2023/02/27','salaires',3920,4);</v>
      </c>
      <c r="AR421" s="160" t="s">
        <v>2339</v>
      </c>
    </row>
    <row r="422" spans="6:44" ht="15.65" outlineLevel="1" thickBot="1" x14ac:dyDescent="0.35">
      <c r="F422" s="160">
        <f>F421+1</f>
        <v>2</v>
      </c>
      <c r="G422" s="160" t="s">
        <v>1904</v>
      </c>
      <c r="H422" s="329">
        <v>44984</v>
      </c>
      <c r="I422" s="160" t="s">
        <v>2505</v>
      </c>
      <c r="J422" s="160">
        <v>123</v>
      </c>
      <c r="K422" s="160">
        <f>K421</f>
        <v>4</v>
      </c>
      <c r="L422" s="329">
        <f>_xlfn.XLOOKUP(K422,F$117:F$124,J$117:J$124)</f>
        <v>44984</v>
      </c>
      <c r="S422" s="353" t="str">
        <f t="shared" si="211"/>
        <v>INSERT INTO COUTS(idCout, catCout, dateCout, descriptionCout, montantCout, idProjet) VALUES (2, Materiaux, 44984, planches, colles, agraffes, vissseries, consommables, 123, 4);</v>
      </c>
      <c r="T422" s="160" t="s">
        <v>1922</v>
      </c>
      <c r="U422" s="160" t="str">
        <f t="shared" si="212"/>
        <v>COUTS</v>
      </c>
      <c r="V422" s="160" t="s">
        <v>2088</v>
      </c>
      <c r="W422" s="234" t="s">
        <v>178</v>
      </c>
      <c r="X422" s="360" t="s">
        <v>2020</v>
      </c>
      <c r="Y422" s="234" t="s">
        <v>188</v>
      </c>
      <c r="Z422" s="360" t="s">
        <v>2020</v>
      </c>
      <c r="AA422" s="236" t="s">
        <v>263</v>
      </c>
      <c r="AB422" s="360" t="s">
        <v>2020</v>
      </c>
      <c r="AC422" s="236" t="s">
        <v>361</v>
      </c>
      <c r="AD422" s="360" t="s">
        <v>2020</v>
      </c>
      <c r="AE422" s="295" t="s">
        <v>287</v>
      </c>
      <c r="AF422" s="360" t="s">
        <v>2089</v>
      </c>
      <c r="AG422" s="160" t="str">
        <f t="shared" si="213"/>
        <v>Materiaux</v>
      </c>
      <c r="AH422" s="360" t="s">
        <v>2091</v>
      </c>
      <c r="AI422" s="329" t="str">
        <f t="shared" ca="1" si="214"/>
        <v>2023/02/27</v>
      </c>
      <c r="AJ422" s="360" t="s">
        <v>2091</v>
      </c>
      <c r="AK422" s="160" t="str">
        <f t="shared" si="215"/>
        <v>planches, colles, agraffes, vissseries, consommables</v>
      </c>
      <c r="AL422" s="360" t="s">
        <v>2093</v>
      </c>
      <c r="AM422" s="160">
        <f t="shared" si="216"/>
        <v>123</v>
      </c>
      <c r="AN422" s="360" t="s">
        <v>2020</v>
      </c>
      <c r="AO422" s="160">
        <f t="shared" si="217"/>
        <v>4</v>
      </c>
      <c r="AP422" s="160" t="s">
        <v>2021</v>
      </c>
      <c r="AQ422" s="160" t="str">
        <f t="shared" ca="1" si="218"/>
        <v>INSERT INTO COUTS(catCout,dateCout,descriptionCout,montantCout,idProjet) VALUES ('Materiaux','2023/02/27','planches, colles, agraffes, vissseries, consommables',123,4);</v>
      </c>
      <c r="AR422" s="160" t="s">
        <v>2509</v>
      </c>
    </row>
    <row r="423" spans="6:44" ht="15.65" outlineLevel="1" thickBot="1" x14ac:dyDescent="0.35">
      <c r="F423" s="160">
        <f t="shared" ref="F423:F425" si="225">F422+1</f>
        <v>3</v>
      </c>
      <c r="G423" s="160" t="s">
        <v>1905</v>
      </c>
      <c r="H423" s="329">
        <v>44984</v>
      </c>
      <c r="I423" s="160" t="s">
        <v>1909</v>
      </c>
      <c r="J423" s="160">
        <f>(300*12)/360*38</f>
        <v>380</v>
      </c>
      <c r="K423" s="160">
        <f t="shared" ref="K423:K425" si="226">K422</f>
        <v>4</v>
      </c>
      <c r="L423" s="329">
        <f>_xlfn.XLOOKUP(K423,F$117:F$124,J$117:J$124)</f>
        <v>44984</v>
      </c>
      <c r="S423" s="353" t="str">
        <f t="shared" si="211"/>
        <v>INSERT INTO COUTS(idCout, catCout, dateCout, descriptionCout, montantCout, idProjet) VALUES (3, Charges, 44984, electricité, 380, 4);</v>
      </c>
      <c r="T423" s="160" t="s">
        <v>1922</v>
      </c>
      <c r="U423" s="160" t="str">
        <f t="shared" si="212"/>
        <v>COUTS</v>
      </c>
      <c r="V423" s="160" t="s">
        <v>2088</v>
      </c>
      <c r="W423" s="234" t="s">
        <v>178</v>
      </c>
      <c r="X423" s="360" t="s">
        <v>2020</v>
      </c>
      <c r="Y423" s="234" t="s">
        <v>188</v>
      </c>
      <c r="Z423" s="360" t="s">
        <v>2020</v>
      </c>
      <c r="AA423" s="236" t="s">
        <v>263</v>
      </c>
      <c r="AB423" s="360" t="s">
        <v>2020</v>
      </c>
      <c r="AC423" s="236" t="s">
        <v>361</v>
      </c>
      <c r="AD423" s="360" t="s">
        <v>2020</v>
      </c>
      <c r="AE423" s="295" t="s">
        <v>287</v>
      </c>
      <c r="AF423" s="360" t="s">
        <v>2089</v>
      </c>
      <c r="AG423" s="160" t="str">
        <f t="shared" si="213"/>
        <v>Charges</v>
      </c>
      <c r="AH423" s="360" t="s">
        <v>2091</v>
      </c>
      <c r="AI423" s="329" t="str">
        <f t="shared" ca="1" si="214"/>
        <v>2023/02/27</v>
      </c>
      <c r="AJ423" s="360" t="s">
        <v>2091</v>
      </c>
      <c r="AK423" s="160" t="str">
        <f t="shared" si="215"/>
        <v>electricité</v>
      </c>
      <c r="AL423" s="360" t="s">
        <v>2093</v>
      </c>
      <c r="AM423" s="160">
        <f t="shared" si="216"/>
        <v>380</v>
      </c>
      <c r="AN423" s="360" t="s">
        <v>2020</v>
      </c>
      <c r="AO423" s="160">
        <f t="shared" si="217"/>
        <v>4</v>
      </c>
      <c r="AP423" s="160" t="s">
        <v>2021</v>
      </c>
      <c r="AQ423" s="160" t="str">
        <f t="shared" ca="1" si="218"/>
        <v>INSERT INTO COUTS(catCout,dateCout,descriptionCout,montantCout,idProjet) VALUES ('Charges','2023/02/27','electricité',380,4);</v>
      </c>
      <c r="AR423" s="160" t="s">
        <v>2340</v>
      </c>
    </row>
    <row r="424" spans="6:44" ht="15.65" outlineLevel="1" thickBot="1" x14ac:dyDescent="0.35">
      <c r="F424" s="160">
        <f t="shared" si="225"/>
        <v>4</v>
      </c>
      <c r="G424" s="160" t="s">
        <v>1906</v>
      </c>
      <c r="H424" s="329">
        <v>44984</v>
      </c>
      <c r="I424" s="160" t="s">
        <v>1910</v>
      </c>
      <c r="J424" s="160">
        <f>ROUNDUP(33*7/100*2,0)</f>
        <v>5</v>
      </c>
      <c r="K424" s="160">
        <f t="shared" si="226"/>
        <v>4</v>
      </c>
      <c r="L424" s="329">
        <f>_xlfn.XLOOKUP(K424,F$117:F$124,J$117:J$124)</f>
        <v>44984</v>
      </c>
      <c r="S424" s="353" t="str">
        <f t="shared" si="211"/>
        <v>INSERT INTO COUTS(idCout, catCout, dateCout, descriptionCout, montantCout, idProjet) VALUES (4, Frais, 44984, déplacement 33km (7L/100km), 5, 4);</v>
      </c>
      <c r="T424" s="160" t="s">
        <v>1922</v>
      </c>
      <c r="U424" s="160" t="str">
        <f t="shared" si="212"/>
        <v>COUTS</v>
      </c>
      <c r="V424" s="160" t="s">
        <v>2088</v>
      </c>
      <c r="W424" s="234" t="s">
        <v>178</v>
      </c>
      <c r="X424" s="360" t="s">
        <v>2020</v>
      </c>
      <c r="Y424" s="234" t="s">
        <v>188</v>
      </c>
      <c r="Z424" s="360" t="s">
        <v>2020</v>
      </c>
      <c r="AA424" s="236" t="s">
        <v>263</v>
      </c>
      <c r="AB424" s="360" t="s">
        <v>2020</v>
      </c>
      <c r="AC424" s="236" t="s">
        <v>361</v>
      </c>
      <c r="AD424" s="360" t="s">
        <v>2020</v>
      </c>
      <c r="AE424" s="295" t="s">
        <v>287</v>
      </c>
      <c r="AF424" s="360" t="s">
        <v>2089</v>
      </c>
      <c r="AG424" s="160" t="str">
        <f t="shared" si="213"/>
        <v>Frais</v>
      </c>
      <c r="AH424" s="360" t="s">
        <v>2091</v>
      </c>
      <c r="AI424" s="329" t="str">
        <f t="shared" ca="1" si="214"/>
        <v>2023/02/27</v>
      </c>
      <c r="AJ424" s="360" t="s">
        <v>2091</v>
      </c>
      <c r="AK424" s="160" t="str">
        <f t="shared" si="215"/>
        <v>déplacement 33km (7L/100km)</v>
      </c>
      <c r="AL424" s="360" t="s">
        <v>2093</v>
      </c>
      <c r="AM424" s="160">
        <f t="shared" si="216"/>
        <v>5</v>
      </c>
      <c r="AN424" s="360" t="s">
        <v>2020</v>
      </c>
      <c r="AO424" s="160">
        <f t="shared" si="217"/>
        <v>4</v>
      </c>
      <c r="AP424" s="160" t="s">
        <v>2021</v>
      </c>
      <c r="AQ424" s="160" t="str">
        <f t="shared" ca="1" si="218"/>
        <v>INSERT INTO COUTS(catCout,dateCout,descriptionCout,montantCout,idProjet) VALUES ('Frais','2023/02/27','déplacement 33km (7L/100km)',5,4);</v>
      </c>
      <c r="AR424" s="160" t="s">
        <v>2341</v>
      </c>
    </row>
    <row r="425" spans="6:44" ht="15.65" thickBot="1" x14ac:dyDescent="0.35">
      <c r="F425" s="160">
        <f t="shared" si="225"/>
        <v>5</v>
      </c>
      <c r="G425" s="160" t="s">
        <v>1887</v>
      </c>
      <c r="H425" s="329">
        <v>44995</v>
      </c>
      <c r="I425" s="160" t="s">
        <v>1911</v>
      </c>
      <c r="J425" s="160">
        <v>16</v>
      </c>
      <c r="K425" s="160">
        <f t="shared" si="226"/>
        <v>4</v>
      </c>
      <c r="L425" s="329">
        <f>_xlfn.XLOOKUP(K425,F$117:F$124,L$117:L$124)</f>
        <v>44995</v>
      </c>
      <c r="S425" s="353" t="str">
        <f t="shared" si="211"/>
        <v>INSERT INTO COUTS(idCout, catCout, dateCout, descriptionCout, montantCout, idProjet) VALUES (5, Divers, 44995, Mug (Mug kdo client flockage SD), 16, 4);</v>
      </c>
      <c r="T425" s="160" t="s">
        <v>1922</v>
      </c>
      <c r="U425" s="160" t="str">
        <f t="shared" si="212"/>
        <v>COUTS</v>
      </c>
      <c r="V425" s="160" t="s">
        <v>2088</v>
      </c>
      <c r="W425" s="234" t="s">
        <v>178</v>
      </c>
      <c r="X425" s="360" t="s">
        <v>2020</v>
      </c>
      <c r="Y425" s="234" t="s">
        <v>188</v>
      </c>
      <c r="Z425" s="360" t="s">
        <v>2020</v>
      </c>
      <c r="AA425" s="236" t="s">
        <v>263</v>
      </c>
      <c r="AB425" s="360" t="s">
        <v>2020</v>
      </c>
      <c r="AC425" s="236" t="s">
        <v>361</v>
      </c>
      <c r="AD425" s="360" t="s">
        <v>2020</v>
      </c>
      <c r="AE425" s="295" t="s">
        <v>287</v>
      </c>
      <c r="AF425" s="360" t="s">
        <v>2089</v>
      </c>
      <c r="AG425" s="160" t="str">
        <f t="shared" si="213"/>
        <v>Divers</v>
      </c>
      <c r="AH425" s="360" t="s">
        <v>2091</v>
      </c>
      <c r="AI425" s="329" t="str">
        <f t="shared" ca="1" si="214"/>
        <v>2023/03/10</v>
      </c>
      <c r="AJ425" s="360" t="s">
        <v>2091</v>
      </c>
      <c r="AK425" s="160" t="str">
        <f t="shared" si="215"/>
        <v>Mug (Mug kdo client flockage SD)</v>
      </c>
      <c r="AL425" s="360" t="s">
        <v>2093</v>
      </c>
      <c r="AM425" s="160">
        <f t="shared" si="216"/>
        <v>16</v>
      </c>
      <c r="AN425" s="360" t="s">
        <v>2020</v>
      </c>
      <c r="AO425" s="160">
        <f t="shared" si="217"/>
        <v>4</v>
      </c>
      <c r="AP425" s="160" t="s">
        <v>2021</v>
      </c>
      <c r="AQ425" s="160" t="str">
        <f t="shared" ca="1" si="218"/>
        <v>INSERT INTO COUTS(catCout,dateCout,descriptionCout,montantCout,idProjet) VALUES ('Divers','2023/03/10','Mug (Mug kdo client flockage SD)',16,4);</v>
      </c>
      <c r="AR425" s="160" t="s">
        <v>2342</v>
      </c>
    </row>
    <row r="426" spans="6:44" ht="15.65" outlineLevel="1" thickBot="1" x14ac:dyDescent="0.35">
      <c r="F426" s="160">
        <v>1</v>
      </c>
      <c r="G426" s="160" t="s">
        <v>182</v>
      </c>
      <c r="H426" s="329">
        <v>44998</v>
      </c>
      <c r="I426" s="160" t="s">
        <v>1907</v>
      </c>
      <c r="J426" s="160">
        <f>140*28</f>
        <v>3920</v>
      </c>
      <c r="K426" s="160">
        <f>K425+1</f>
        <v>5</v>
      </c>
      <c r="L426" s="329">
        <f>_xlfn.XLOOKUP(K426,F$117:F$124,J$117:J$124)</f>
        <v>44998</v>
      </c>
      <c r="S426" s="353" t="str">
        <f t="shared" si="211"/>
        <v>INSERT INTO COUTS(idCout, catCout, dateCout, descriptionCout, montantCout, idProjet) VALUES (1, RH, 44998, salaires, 3920, 5);</v>
      </c>
      <c r="T426" s="160" t="s">
        <v>1922</v>
      </c>
      <c r="U426" s="160" t="str">
        <f t="shared" si="212"/>
        <v>COUTS</v>
      </c>
      <c r="V426" s="160" t="s">
        <v>2088</v>
      </c>
      <c r="W426" s="234" t="s">
        <v>178</v>
      </c>
      <c r="X426" s="360" t="s">
        <v>2020</v>
      </c>
      <c r="Y426" s="234" t="s">
        <v>188</v>
      </c>
      <c r="Z426" s="360" t="s">
        <v>2020</v>
      </c>
      <c r="AA426" s="236" t="s">
        <v>263</v>
      </c>
      <c r="AB426" s="360" t="s">
        <v>2020</v>
      </c>
      <c r="AC426" s="236" t="s">
        <v>361</v>
      </c>
      <c r="AD426" s="360" t="s">
        <v>2020</v>
      </c>
      <c r="AE426" s="295" t="s">
        <v>287</v>
      </c>
      <c r="AF426" s="360" t="s">
        <v>2089</v>
      </c>
      <c r="AG426" s="160" t="str">
        <f t="shared" si="213"/>
        <v>RH</v>
      </c>
      <c r="AH426" s="360" t="s">
        <v>2091</v>
      </c>
      <c r="AI426" s="329" t="str">
        <f t="shared" ca="1" si="214"/>
        <v>2023/03/13</v>
      </c>
      <c r="AJ426" s="360" t="s">
        <v>2091</v>
      </c>
      <c r="AK426" s="160" t="str">
        <f t="shared" si="215"/>
        <v>salaires</v>
      </c>
      <c r="AL426" s="360" t="s">
        <v>2093</v>
      </c>
      <c r="AM426" s="160">
        <f t="shared" si="216"/>
        <v>3920</v>
      </c>
      <c r="AN426" s="360" t="s">
        <v>2020</v>
      </c>
      <c r="AO426" s="160">
        <f t="shared" si="217"/>
        <v>5</v>
      </c>
      <c r="AP426" s="160" t="s">
        <v>2021</v>
      </c>
      <c r="AQ426" s="160" t="str">
        <f t="shared" ca="1" si="218"/>
        <v>INSERT INTO COUTS(catCout,dateCout,descriptionCout,montantCout,idProjet) VALUES ('RH','2023/03/13','salaires',3920,5);</v>
      </c>
      <c r="AR426" s="160" t="s">
        <v>2343</v>
      </c>
    </row>
    <row r="427" spans="6:44" ht="15.65" outlineLevel="1" thickBot="1" x14ac:dyDescent="0.35">
      <c r="F427" s="160">
        <f>F426+1</f>
        <v>2</v>
      </c>
      <c r="G427" s="160" t="s">
        <v>1904</v>
      </c>
      <c r="H427" s="329">
        <v>44998</v>
      </c>
      <c r="I427" s="160" t="s">
        <v>2505</v>
      </c>
      <c r="J427" s="160">
        <v>123</v>
      </c>
      <c r="K427" s="160">
        <f>K426</f>
        <v>5</v>
      </c>
      <c r="L427" s="329">
        <f>_xlfn.XLOOKUP(K427,F$117:F$124,J$117:J$124)</f>
        <v>44998</v>
      </c>
      <c r="S427" s="353" t="str">
        <f t="shared" si="211"/>
        <v>INSERT INTO COUTS(idCout, catCout, dateCout, descriptionCout, montantCout, idProjet) VALUES (2, Materiaux, 44998, planches, colles, agraffes, vissseries, consommables, 123, 5);</v>
      </c>
      <c r="T427" s="160" t="s">
        <v>1922</v>
      </c>
      <c r="U427" s="160" t="str">
        <f t="shared" si="212"/>
        <v>COUTS</v>
      </c>
      <c r="V427" s="160" t="s">
        <v>2088</v>
      </c>
      <c r="W427" s="234" t="s">
        <v>178</v>
      </c>
      <c r="X427" s="360" t="s">
        <v>2020</v>
      </c>
      <c r="Y427" s="234" t="s">
        <v>188</v>
      </c>
      <c r="Z427" s="360" t="s">
        <v>2020</v>
      </c>
      <c r="AA427" s="236" t="s">
        <v>263</v>
      </c>
      <c r="AB427" s="360" t="s">
        <v>2020</v>
      </c>
      <c r="AC427" s="236" t="s">
        <v>361</v>
      </c>
      <c r="AD427" s="360" t="s">
        <v>2020</v>
      </c>
      <c r="AE427" s="295" t="s">
        <v>287</v>
      </c>
      <c r="AF427" s="360" t="s">
        <v>2089</v>
      </c>
      <c r="AG427" s="160" t="str">
        <f t="shared" si="213"/>
        <v>Materiaux</v>
      </c>
      <c r="AH427" s="360" t="s">
        <v>2091</v>
      </c>
      <c r="AI427" s="329" t="str">
        <f t="shared" ca="1" si="214"/>
        <v>2023/03/13</v>
      </c>
      <c r="AJ427" s="360" t="s">
        <v>2091</v>
      </c>
      <c r="AK427" s="160" t="str">
        <f t="shared" si="215"/>
        <v>planches, colles, agraffes, vissseries, consommables</v>
      </c>
      <c r="AL427" s="360" t="s">
        <v>2093</v>
      </c>
      <c r="AM427" s="160">
        <f t="shared" si="216"/>
        <v>123</v>
      </c>
      <c r="AN427" s="360" t="s">
        <v>2020</v>
      </c>
      <c r="AO427" s="160">
        <f t="shared" si="217"/>
        <v>5</v>
      </c>
      <c r="AP427" s="160" t="s">
        <v>2021</v>
      </c>
      <c r="AQ427" s="160" t="str">
        <f t="shared" ca="1" si="218"/>
        <v>INSERT INTO COUTS(catCout,dateCout,descriptionCout,montantCout,idProjet) VALUES ('Materiaux','2023/03/13','planches, colles, agraffes, vissseries, consommables',123,5);</v>
      </c>
      <c r="AR427" s="160" t="s">
        <v>2510</v>
      </c>
    </row>
    <row r="428" spans="6:44" ht="15.65" outlineLevel="1" thickBot="1" x14ac:dyDescent="0.35">
      <c r="F428" s="160">
        <f t="shared" ref="F428:F430" si="227">F427+1</f>
        <v>3</v>
      </c>
      <c r="G428" s="160" t="s">
        <v>1905</v>
      </c>
      <c r="H428" s="329">
        <v>44998</v>
      </c>
      <c r="I428" s="160" t="s">
        <v>1909</v>
      </c>
      <c r="J428" s="160">
        <f>(300*12)/360*38</f>
        <v>380</v>
      </c>
      <c r="K428" s="160">
        <f t="shared" ref="K428:K430" si="228">K427</f>
        <v>5</v>
      </c>
      <c r="L428" s="329">
        <f>_xlfn.XLOOKUP(K428,F$117:F$124,J$117:J$124)</f>
        <v>44998</v>
      </c>
      <c r="S428" s="353" t="str">
        <f t="shared" si="211"/>
        <v>INSERT INTO COUTS(idCout, catCout, dateCout, descriptionCout, montantCout, idProjet) VALUES (3, Charges, 44998, electricité, 380, 5);</v>
      </c>
      <c r="T428" s="160" t="s">
        <v>1922</v>
      </c>
      <c r="U428" s="160" t="str">
        <f t="shared" si="212"/>
        <v>COUTS</v>
      </c>
      <c r="V428" s="160" t="s">
        <v>2088</v>
      </c>
      <c r="W428" s="234" t="s">
        <v>178</v>
      </c>
      <c r="X428" s="360" t="s">
        <v>2020</v>
      </c>
      <c r="Y428" s="234" t="s">
        <v>188</v>
      </c>
      <c r="Z428" s="360" t="s">
        <v>2020</v>
      </c>
      <c r="AA428" s="236" t="s">
        <v>263</v>
      </c>
      <c r="AB428" s="360" t="s">
        <v>2020</v>
      </c>
      <c r="AC428" s="236" t="s">
        <v>361</v>
      </c>
      <c r="AD428" s="360" t="s">
        <v>2020</v>
      </c>
      <c r="AE428" s="295" t="s">
        <v>287</v>
      </c>
      <c r="AF428" s="360" t="s">
        <v>2089</v>
      </c>
      <c r="AG428" s="160" t="str">
        <f t="shared" si="213"/>
        <v>Charges</v>
      </c>
      <c r="AH428" s="360" t="s">
        <v>2091</v>
      </c>
      <c r="AI428" s="329" t="str">
        <f t="shared" ca="1" si="214"/>
        <v>2023/03/13</v>
      </c>
      <c r="AJ428" s="360" t="s">
        <v>2091</v>
      </c>
      <c r="AK428" s="160" t="str">
        <f t="shared" si="215"/>
        <v>electricité</v>
      </c>
      <c r="AL428" s="360" t="s">
        <v>2093</v>
      </c>
      <c r="AM428" s="160">
        <f t="shared" si="216"/>
        <v>380</v>
      </c>
      <c r="AN428" s="360" t="s">
        <v>2020</v>
      </c>
      <c r="AO428" s="160">
        <f t="shared" si="217"/>
        <v>5</v>
      </c>
      <c r="AP428" s="160" t="s">
        <v>2021</v>
      </c>
      <c r="AQ428" s="160" t="str">
        <f t="shared" ca="1" si="218"/>
        <v>INSERT INTO COUTS(catCout,dateCout,descriptionCout,montantCout,idProjet) VALUES ('Charges','2023/03/13','electricité',380,5);</v>
      </c>
      <c r="AR428" s="160" t="s">
        <v>2344</v>
      </c>
    </row>
    <row r="429" spans="6:44" ht="15.65" outlineLevel="1" thickBot="1" x14ac:dyDescent="0.35">
      <c r="F429" s="160">
        <f t="shared" si="227"/>
        <v>4</v>
      </c>
      <c r="G429" s="160" t="s">
        <v>1906</v>
      </c>
      <c r="H429" s="329">
        <v>44998</v>
      </c>
      <c r="I429" s="160" t="s">
        <v>1910</v>
      </c>
      <c r="J429" s="160">
        <f>ROUNDUP(33*7/100*2,0)</f>
        <v>5</v>
      </c>
      <c r="K429" s="160">
        <f t="shared" si="228"/>
        <v>5</v>
      </c>
      <c r="L429" s="329">
        <f>_xlfn.XLOOKUP(K429,F$117:F$124,J$117:J$124)</f>
        <v>44998</v>
      </c>
      <c r="S429" s="353" t="str">
        <f t="shared" si="211"/>
        <v>INSERT INTO COUTS(idCout, catCout, dateCout, descriptionCout, montantCout, idProjet) VALUES (4, Frais, 44998, déplacement 33km (7L/100km), 5, 5);</v>
      </c>
      <c r="T429" s="160" t="s">
        <v>1922</v>
      </c>
      <c r="U429" s="160" t="str">
        <f t="shared" si="212"/>
        <v>COUTS</v>
      </c>
      <c r="V429" s="160" t="s">
        <v>2088</v>
      </c>
      <c r="W429" s="234" t="s">
        <v>178</v>
      </c>
      <c r="X429" s="360" t="s">
        <v>2020</v>
      </c>
      <c r="Y429" s="234" t="s">
        <v>188</v>
      </c>
      <c r="Z429" s="360" t="s">
        <v>2020</v>
      </c>
      <c r="AA429" s="236" t="s">
        <v>263</v>
      </c>
      <c r="AB429" s="360" t="s">
        <v>2020</v>
      </c>
      <c r="AC429" s="236" t="s">
        <v>361</v>
      </c>
      <c r="AD429" s="360" t="s">
        <v>2020</v>
      </c>
      <c r="AE429" s="295" t="s">
        <v>287</v>
      </c>
      <c r="AF429" s="360" t="s">
        <v>2089</v>
      </c>
      <c r="AG429" s="160" t="str">
        <f t="shared" si="213"/>
        <v>Frais</v>
      </c>
      <c r="AH429" s="360" t="s">
        <v>2091</v>
      </c>
      <c r="AI429" s="329" t="str">
        <f t="shared" ca="1" si="214"/>
        <v>2023/03/13</v>
      </c>
      <c r="AJ429" s="360" t="s">
        <v>2091</v>
      </c>
      <c r="AK429" s="160" t="str">
        <f t="shared" si="215"/>
        <v>déplacement 33km (7L/100km)</v>
      </c>
      <c r="AL429" s="360" t="s">
        <v>2093</v>
      </c>
      <c r="AM429" s="160">
        <f t="shared" si="216"/>
        <v>5</v>
      </c>
      <c r="AN429" s="360" t="s">
        <v>2020</v>
      </c>
      <c r="AO429" s="160">
        <f t="shared" si="217"/>
        <v>5</v>
      </c>
      <c r="AP429" s="160" t="s">
        <v>2021</v>
      </c>
      <c r="AQ429" s="160" t="str">
        <f t="shared" ca="1" si="218"/>
        <v>INSERT INTO COUTS(catCout,dateCout,descriptionCout,montantCout,idProjet) VALUES ('Frais','2023/03/13','déplacement 33km (7L/100km)',5,5);</v>
      </c>
      <c r="AR429" s="160" t="s">
        <v>2345</v>
      </c>
    </row>
    <row r="430" spans="6:44" ht="15.65" thickBot="1" x14ac:dyDescent="0.35">
      <c r="F430" s="160">
        <f t="shared" si="227"/>
        <v>5</v>
      </c>
      <c r="G430" s="160" t="s">
        <v>1887</v>
      </c>
      <c r="H430" s="329">
        <v>45020</v>
      </c>
      <c r="I430" s="160" t="s">
        <v>1911</v>
      </c>
      <c r="J430" s="160">
        <v>16</v>
      </c>
      <c r="K430" s="160">
        <f t="shared" si="228"/>
        <v>5</v>
      </c>
      <c r="L430" s="329">
        <f>_xlfn.XLOOKUP(K430,F$117:F$124,L$117:L$124)</f>
        <v>45020</v>
      </c>
      <c r="S430" s="353" t="str">
        <f t="shared" si="211"/>
        <v>INSERT INTO COUTS(idCout, catCout, dateCout, descriptionCout, montantCout, idProjet) VALUES (5, Divers, 45020, Mug (Mug kdo client flockage SD), 16, 5);</v>
      </c>
      <c r="T430" s="160" t="s">
        <v>1922</v>
      </c>
      <c r="U430" s="160" t="str">
        <f t="shared" si="212"/>
        <v>COUTS</v>
      </c>
      <c r="V430" s="160" t="s">
        <v>2088</v>
      </c>
      <c r="W430" s="234" t="s">
        <v>178</v>
      </c>
      <c r="X430" s="360" t="s">
        <v>2020</v>
      </c>
      <c r="Y430" s="234" t="s">
        <v>188</v>
      </c>
      <c r="Z430" s="360" t="s">
        <v>2020</v>
      </c>
      <c r="AA430" s="236" t="s">
        <v>263</v>
      </c>
      <c r="AB430" s="360" t="s">
        <v>2020</v>
      </c>
      <c r="AC430" s="236" t="s">
        <v>361</v>
      </c>
      <c r="AD430" s="360" t="s">
        <v>2020</v>
      </c>
      <c r="AE430" s="295" t="s">
        <v>287</v>
      </c>
      <c r="AF430" s="360" t="s">
        <v>2089</v>
      </c>
      <c r="AG430" s="160" t="str">
        <f t="shared" si="213"/>
        <v>Divers</v>
      </c>
      <c r="AH430" s="360" t="s">
        <v>2091</v>
      </c>
      <c r="AI430" s="329" t="str">
        <f t="shared" ca="1" si="214"/>
        <v>2023/04/04</v>
      </c>
      <c r="AJ430" s="360" t="s">
        <v>2091</v>
      </c>
      <c r="AK430" s="160" t="str">
        <f t="shared" si="215"/>
        <v>Mug (Mug kdo client flockage SD)</v>
      </c>
      <c r="AL430" s="360" t="s">
        <v>2093</v>
      </c>
      <c r="AM430" s="160">
        <f t="shared" si="216"/>
        <v>16</v>
      </c>
      <c r="AN430" s="360" t="s">
        <v>2020</v>
      </c>
      <c r="AO430" s="160">
        <f t="shared" si="217"/>
        <v>5</v>
      </c>
      <c r="AP430" s="160" t="s">
        <v>2021</v>
      </c>
      <c r="AQ430" s="160" t="str">
        <f t="shared" ca="1" si="218"/>
        <v>INSERT INTO COUTS(catCout,dateCout,descriptionCout,montantCout,idProjet) VALUES ('Divers','2023/04/04','Mug (Mug kdo client flockage SD)',16,5);</v>
      </c>
      <c r="AR430" s="160" t="s">
        <v>2346</v>
      </c>
    </row>
    <row r="431" spans="6:44" ht="15.65" outlineLevel="1" thickBot="1" x14ac:dyDescent="0.35">
      <c r="F431" s="160">
        <v>1</v>
      </c>
      <c r="G431" s="160" t="s">
        <v>182</v>
      </c>
      <c r="H431" s="329">
        <v>45019</v>
      </c>
      <c r="I431" s="160" t="s">
        <v>1907</v>
      </c>
      <c r="J431" s="160">
        <f>140*28</f>
        <v>3920</v>
      </c>
      <c r="K431" s="160">
        <f>K430+1</f>
        <v>6</v>
      </c>
      <c r="L431" s="329">
        <f t="shared" ref="L431:L438" si="229">_xlfn.XLOOKUP(K431,F$117:F$124,J$117:J$124)</f>
        <v>45019</v>
      </c>
      <c r="S431" s="353" t="str">
        <f t="shared" si="211"/>
        <v>INSERT INTO COUTS(idCout, catCout, dateCout, descriptionCout, montantCout, idProjet) VALUES (1, RH, 45019, salaires, 3920, 6);</v>
      </c>
      <c r="T431" s="160" t="s">
        <v>1922</v>
      </c>
      <c r="U431" s="160" t="str">
        <f t="shared" si="212"/>
        <v>COUTS</v>
      </c>
      <c r="V431" s="160" t="s">
        <v>2088</v>
      </c>
      <c r="W431" s="234" t="s">
        <v>178</v>
      </c>
      <c r="X431" s="360" t="s">
        <v>2020</v>
      </c>
      <c r="Y431" s="234" t="s">
        <v>188</v>
      </c>
      <c r="Z431" s="360" t="s">
        <v>2020</v>
      </c>
      <c r="AA431" s="236" t="s">
        <v>263</v>
      </c>
      <c r="AB431" s="360" t="s">
        <v>2020</v>
      </c>
      <c r="AC431" s="236" t="s">
        <v>361</v>
      </c>
      <c r="AD431" s="360" t="s">
        <v>2020</v>
      </c>
      <c r="AE431" s="295" t="s">
        <v>287</v>
      </c>
      <c r="AF431" s="360" t="s">
        <v>2089</v>
      </c>
      <c r="AG431" s="160" t="str">
        <f t="shared" si="213"/>
        <v>RH</v>
      </c>
      <c r="AH431" s="360" t="s">
        <v>2091</v>
      </c>
      <c r="AI431" s="329" t="str">
        <f t="shared" ca="1" si="214"/>
        <v>2023/04/03</v>
      </c>
      <c r="AJ431" s="360" t="s">
        <v>2091</v>
      </c>
      <c r="AK431" s="160" t="str">
        <f t="shared" si="215"/>
        <v>salaires</v>
      </c>
      <c r="AL431" s="360" t="s">
        <v>2093</v>
      </c>
      <c r="AM431" s="160">
        <f t="shared" si="216"/>
        <v>3920</v>
      </c>
      <c r="AN431" s="360" t="s">
        <v>2020</v>
      </c>
      <c r="AO431" s="160">
        <f t="shared" si="217"/>
        <v>6</v>
      </c>
      <c r="AP431" s="160" t="s">
        <v>2021</v>
      </c>
      <c r="AQ431" s="160" t="str">
        <f t="shared" ca="1" si="218"/>
        <v>INSERT INTO COUTS(catCout,dateCout,descriptionCout,montantCout,idProjet) VALUES ('RH','2023/04/03','salaires',3920,6);</v>
      </c>
      <c r="AR431" s="160" t="s">
        <v>2347</v>
      </c>
    </row>
    <row r="432" spans="6:44" ht="15.65" outlineLevel="1" thickBot="1" x14ac:dyDescent="0.35">
      <c r="F432" s="160">
        <f>F431+1</f>
        <v>2</v>
      </c>
      <c r="G432" s="160" t="s">
        <v>1904</v>
      </c>
      <c r="H432" s="329">
        <v>45019</v>
      </c>
      <c r="I432" s="160" t="s">
        <v>2505</v>
      </c>
      <c r="J432" s="160">
        <v>123</v>
      </c>
      <c r="K432" s="160">
        <f>K431</f>
        <v>6</v>
      </c>
      <c r="L432" s="329">
        <f t="shared" si="229"/>
        <v>45019</v>
      </c>
      <c r="S432" s="353" t="str">
        <f t="shared" si="211"/>
        <v>INSERT INTO COUTS(idCout, catCout, dateCout, descriptionCout, montantCout, idProjet) VALUES (2, Materiaux, 45019, planches, colles, agraffes, vissseries, consommables, 123, 6);</v>
      </c>
      <c r="T432" s="160" t="s">
        <v>1922</v>
      </c>
      <c r="U432" s="160" t="str">
        <f t="shared" si="212"/>
        <v>COUTS</v>
      </c>
      <c r="V432" s="160" t="s">
        <v>2088</v>
      </c>
      <c r="W432" s="234" t="s">
        <v>178</v>
      </c>
      <c r="X432" s="360" t="s">
        <v>2020</v>
      </c>
      <c r="Y432" s="234" t="s">
        <v>188</v>
      </c>
      <c r="Z432" s="360" t="s">
        <v>2020</v>
      </c>
      <c r="AA432" s="236" t="s">
        <v>263</v>
      </c>
      <c r="AB432" s="360" t="s">
        <v>2020</v>
      </c>
      <c r="AC432" s="236" t="s">
        <v>361</v>
      </c>
      <c r="AD432" s="360" t="s">
        <v>2020</v>
      </c>
      <c r="AE432" s="295" t="s">
        <v>287</v>
      </c>
      <c r="AF432" s="360" t="s">
        <v>2089</v>
      </c>
      <c r="AG432" s="160" t="str">
        <f t="shared" si="213"/>
        <v>Materiaux</v>
      </c>
      <c r="AH432" s="360" t="s">
        <v>2091</v>
      </c>
      <c r="AI432" s="329" t="str">
        <f t="shared" ca="1" si="214"/>
        <v>2023/04/03</v>
      </c>
      <c r="AJ432" s="360" t="s">
        <v>2091</v>
      </c>
      <c r="AK432" s="160" t="str">
        <f t="shared" si="215"/>
        <v>planches, colles, agraffes, vissseries, consommables</v>
      </c>
      <c r="AL432" s="360" t="s">
        <v>2093</v>
      </c>
      <c r="AM432" s="160">
        <f t="shared" si="216"/>
        <v>123</v>
      </c>
      <c r="AN432" s="360" t="s">
        <v>2020</v>
      </c>
      <c r="AO432" s="160">
        <f t="shared" si="217"/>
        <v>6</v>
      </c>
      <c r="AP432" s="160" t="s">
        <v>2021</v>
      </c>
      <c r="AQ432" s="160" t="str">
        <f t="shared" ca="1" si="218"/>
        <v>INSERT INTO COUTS(catCout,dateCout,descriptionCout,montantCout,idProjet) VALUES ('Materiaux','2023/04/03','planches, colles, agraffes, vissseries, consommables',123,6);</v>
      </c>
      <c r="AR432" s="160" t="s">
        <v>2511</v>
      </c>
    </row>
    <row r="433" spans="6:44" ht="15.65" outlineLevel="1" thickBot="1" x14ac:dyDescent="0.35">
      <c r="F433" s="160">
        <f t="shared" ref="F433:F434" si="230">F432+1</f>
        <v>3</v>
      </c>
      <c r="G433" s="160" t="s">
        <v>1905</v>
      </c>
      <c r="H433" s="329">
        <v>45019</v>
      </c>
      <c r="I433" s="160" t="s">
        <v>1909</v>
      </c>
      <c r="J433" s="160">
        <f>(300*12)/360*38</f>
        <v>380</v>
      </c>
      <c r="K433" s="160">
        <f t="shared" ref="K433:K434" si="231">K432</f>
        <v>6</v>
      </c>
      <c r="L433" s="329">
        <f t="shared" si="229"/>
        <v>45019</v>
      </c>
      <c r="S433" s="353" t="str">
        <f t="shared" si="211"/>
        <v>INSERT INTO COUTS(idCout, catCout, dateCout, descriptionCout, montantCout, idProjet) VALUES (3, Charges, 45019, electricité, 380, 6);</v>
      </c>
      <c r="T433" s="160" t="s">
        <v>1922</v>
      </c>
      <c r="U433" s="160" t="str">
        <f t="shared" si="212"/>
        <v>COUTS</v>
      </c>
      <c r="V433" s="160" t="s">
        <v>2088</v>
      </c>
      <c r="W433" s="234" t="s">
        <v>178</v>
      </c>
      <c r="X433" s="360" t="s">
        <v>2020</v>
      </c>
      <c r="Y433" s="234" t="s">
        <v>188</v>
      </c>
      <c r="Z433" s="360" t="s">
        <v>2020</v>
      </c>
      <c r="AA433" s="236" t="s">
        <v>263</v>
      </c>
      <c r="AB433" s="360" t="s">
        <v>2020</v>
      </c>
      <c r="AC433" s="236" t="s">
        <v>361</v>
      </c>
      <c r="AD433" s="360" t="s">
        <v>2020</v>
      </c>
      <c r="AE433" s="295" t="s">
        <v>287</v>
      </c>
      <c r="AF433" s="360" t="s">
        <v>2089</v>
      </c>
      <c r="AG433" s="160" t="str">
        <f t="shared" si="213"/>
        <v>Charges</v>
      </c>
      <c r="AH433" s="360" t="s">
        <v>2091</v>
      </c>
      <c r="AI433" s="329" t="str">
        <f t="shared" ca="1" si="214"/>
        <v>2023/04/03</v>
      </c>
      <c r="AJ433" s="360" t="s">
        <v>2091</v>
      </c>
      <c r="AK433" s="160" t="str">
        <f t="shared" si="215"/>
        <v>electricité</v>
      </c>
      <c r="AL433" s="360" t="s">
        <v>2093</v>
      </c>
      <c r="AM433" s="160">
        <f t="shared" si="216"/>
        <v>380</v>
      </c>
      <c r="AN433" s="360" t="s">
        <v>2020</v>
      </c>
      <c r="AO433" s="160">
        <f t="shared" si="217"/>
        <v>6</v>
      </c>
      <c r="AP433" s="160" t="s">
        <v>2021</v>
      </c>
      <c r="AQ433" s="160" t="str">
        <f t="shared" ca="1" si="218"/>
        <v>INSERT INTO COUTS(catCout,dateCout,descriptionCout,montantCout,idProjet) VALUES ('Charges','2023/04/03','electricité',380,6);</v>
      </c>
      <c r="AR433" s="160" t="s">
        <v>2348</v>
      </c>
    </row>
    <row r="434" spans="6:44" ht="15.65" outlineLevel="1" thickBot="1" x14ac:dyDescent="0.35">
      <c r="F434" s="160">
        <f t="shared" si="230"/>
        <v>4</v>
      </c>
      <c r="G434" s="160" t="s">
        <v>1906</v>
      </c>
      <c r="H434" s="329">
        <v>45019</v>
      </c>
      <c r="I434" s="160" t="s">
        <v>1910</v>
      </c>
      <c r="J434" s="160">
        <f>ROUNDUP(33*7/100*2,0)</f>
        <v>5</v>
      </c>
      <c r="K434" s="160">
        <f t="shared" si="231"/>
        <v>6</v>
      </c>
      <c r="L434" s="329">
        <f t="shared" si="229"/>
        <v>45019</v>
      </c>
      <c r="S434" s="353" t="str">
        <f t="shared" si="211"/>
        <v>INSERT INTO COUTS(idCout, catCout, dateCout, descriptionCout, montantCout, idProjet) VALUES (4, Frais, 45019, déplacement 33km (7L/100km), 5, 6);</v>
      </c>
      <c r="T434" s="160" t="s">
        <v>1922</v>
      </c>
      <c r="U434" s="160" t="str">
        <f t="shared" si="212"/>
        <v>COUTS</v>
      </c>
      <c r="V434" s="160" t="s">
        <v>2088</v>
      </c>
      <c r="W434" s="234" t="s">
        <v>178</v>
      </c>
      <c r="X434" s="360" t="s">
        <v>2020</v>
      </c>
      <c r="Y434" s="234" t="s">
        <v>188</v>
      </c>
      <c r="Z434" s="360" t="s">
        <v>2020</v>
      </c>
      <c r="AA434" s="236" t="s">
        <v>263</v>
      </c>
      <c r="AB434" s="360" t="s">
        <v>2020</v>
      </c>
      <c r="AC434" s="236" t="s">
        <v>361</v>
      </c>
      <c r="AD434" s="360" t="s">
        <v>2020</v>
      </c>
      <c r="AE434" s="295" t="s">
        <v>287</v>
      </c>
      <c r="AF434" s="360" t="s">
        <v>2089</v>
      </c>
      <c r="AG434" s="160" t="str">
        <f t="shared" si="213"/>
        <v>Frais</v>
      </c>
      <c r="AH434" s="360" t="s">
        <v>2091</v>
      </c>
      <c r="AI434" s="329" t="str">
        <f t="shared" ca="1" si="214"/>
        <v>2023/04/03</v>
      </c>
      <c r="AJ434" s="360" t="s">
        <v>2091</v>
      </c>
      <c r="AK434" s="160" t="str">
        <f t="shared" si="215"/>
        <v>déplacement 33km (7L/100km)</v>
      </c>
      <c r="AL434" s="360" t="s">
        <v>2093</v>
      </c>
      <c r="AM434" s="160">
        <f t="shared" si="216"/>
        <v>5</v>
      </c>
      <c r="AN434" s="360" t="s">
        <v>2020</v>
      </c>
      <c r="AO434" s="160">
        <f t="shared" si="217"/>
        <v>6</v>
      </c>
      <c r="AP434" s="160" t="s">
        <v>2021</v>
      </c>
      <c r="AQ434" s="160" t="str">
        <f t="shared" ca="1" si="218"/>
        <v>INSERT INTO COUTS(catCout,dateCout,descriptionCout,montantCout,idProjet) VALUES ('Frais','2023/04/03','déplacement 33km (7L/100km)',5,6);</v>
      </c>
      <c r="AR434" s="160" t="s">
        <v>2349</v>
      </c>
    </row>
    <row r="435" spans="6:44" ht="15.65" outlineLevel="1" thickBot="1" x14ac:dyDescent="0.35">
      <c r="F435" s="160">
        <v>1</v>
      </c>
      <c r="G435" s="160" t="s">
        <v>182</v>
      </c>
      <c r="H435" s="329">
        <v>45048</v>
      </c>
      <c r="I435" s="160" t="s">
        <v>1907</v>
      </c>
      <c r="J435" s="160">
        <f>140*28</f>
        <v>3920</v>
      </c>
      <c r="K435" s="160">
        <f>K434+1</f>
        <v>7</v>
      </c>
      <c r="L435" s="329">
        <f t="shared" si="229"/>
        <v>45048</v>
      </c>
      <c r="S435" s="353" t="str">
        <f t="shared" si="211"/>
        <v>INSERT INTO COUTS(idCout, catCout, dateCout, descriptionCout, montantCout, idProjet) VALUES (1, RH, 45048, salaires, 3920, 7);</v>
      </c>
      <c r="T435" s="160" t="s">
        <v>1922</v>
      </c>
      <c r="U435" s="160" t="str">
        <f t="shared" si="212"/>
        <v>COUTS</v>
      </c>
      <c r="V435" s="160" t="s">
        <v>2088</v>
      </c>
      <c r="W435" s="234" t="s">
        <v>178</v>
      </c>
      <c r="X435" s="360" t="s">
        <v>2020</v>
      </c>
      <c r="Y435" s="234" t="s">
        <v>188</v>
      </c>
      <c r="Z435" s="360" t="s">
        <v>2020</v>
      </c>
      <c r="AA435" s="236" t="s">
        <v>263</v>
      </c>
      <c r="AB435" s="360" t="s">
        <v>2020</v>
      </c>
      <c r="AC435" s="236" t="s">
        <v>361</v>
      </c>
      <c r="AD435" s="360" t="s">
        <v>2020</v>
      </c>
      <c r="AE435" s="295" t="s">
        <v>287</v>
      </c>
      <c r="AF435" s="360" t="s">
        <v>2089</v>
      </c>
      <c r="AG435" s="160" t="str">
        <f t="shared" si="213"/>
        <v>RH</v>
      </c>
      <c r="AH435" s="360" t="s">
        <v>2091</v>
      </c>
      <c r="AI435" s="329" t="str">
        <f t="shared" ca="1" si="214"/>
        <v>2023/05/02</v>
      </c>
      <c r="AJ435" s="360" t="s">
        <v>2091</v>
      </c>
      <c r="AK435" s="160" t="str">
        <f t="shared" si="215"/>
        <v>salaires</v>
      </c>
      <c r="AL435" s="360" t="s">
        <v>2093</v>
      </c>
      <c r="AM435" s="160">
        <f t="shared" si="216"/>
        <v>3920</v>
      </c>
      <c r="AN435" s="360" t="s">
        <v>2020</v>
      </c>
      <c r="AO435" s="160">
        <f t="shared" si="217"/>
        <v>7</v>
      </c>
      <c r="AP435" s="160" t="s">
        <v>2021</v>
      </c>
      <c r="AQ435" s="160" t="str">
        <f t="shared" ca="1" si="218"/>
        <v>INSERT INTO COUTS(catCout,dateCout,descriptionCout,montantCout,idProjet) VALUES ('RH','2023/05/02','salaires',3920,7);</v>
      </c>
      <c r="AR435" s="160" t="s">
        <v>2352</v>
      </c>
    </row>
    <row r="436" spans="6:44" ht="15.65" outlineLevel="1" thickBot="1" x14ac:dyDescent="0.35">
      <c r="F436" s="160">
        <f>F435+1</f>
        <v>2</v>
      </c>
      <c r="G436" s="160" t="s">
        <v>1904</v>
      </c>
      <c r="H436" s="329">
        <v>45048</v>
      </c>
      <c r="I436" s="160" t="s">
        <v>2505</v>
      </c>
      <c r="J436" s="160">
        <v>123</v>
      </c>
      <c r="K436" s="160">
        <f>K435</f>
        <v>7</v>
      </c>
      <c r="L436" s="329">
        <f t="shared" si="229"/>
        <v>45048</v>
      </c>
      <c r="S436" s="353" t="str">
        <f t="shared" si="211"/>
        <v>INSERT INTO COUTS(idCout, catCout, dateCout, descriptionCout, montantCout, idProjet) VALUES (2, Materiaux, 45048, planches, colles, agraffes, vissseries, consommables, 123, 7);</v>
      </c>
      <c r="T436" s="160" t="s">
        <v>1922</v>
      </c>
      <c r="U436" s="160" t="str">
        <f t="shared" si="212"/>
        <v>COUTS</v>
      </c>
      <c r="V436" s="160" t="s">
        <v>2088</v>
      </c>
      <c r="W436" s="234" t="s">
        <v>178</v>
      </c>
      <c r="X436" s="360" t="s">
        <v>2020</v>
      </c>
      <c r="Y436" s="234" t="s">
        <v>188</v>
      </c>
      <c r="Z436" s="360" t="s">
        <v>2020</v>
      </c>
      <c r="AA436" s="236" t="s">
        <v>263</v>
      </c>
      <c r="AB436" s="360" t="s">
        <v>2020</v>
      </c>
      <c r="AC436" s="236" t="s">
        <v>361</v>
      </c>
      <c r="AD436" s="360" t="s">
        <v>2020</v>
      </c>
      <c r="AE436" s="295" t="s">
        <v>287</v>
      </c>
      <c r="AF436" s="360" t="s">
        <v>2089</v>
      </c>
      <c r="AG436" s="160" t="str">
        <f t="shared" si="213"/>
        <v>Materiaux</v>
      </c>
      <c r="AH436" s="360" t="s">
        <v>2091</v>
      </c>
      <c r="AI436" s="329" t="str">
        <f t="shared" ca="1" si="214"/>
        <v>2023/05/02</v>
      </c>
      <c r="AJ436" s="360" t="s">
        <v>2091</v>
      </c>
      <c r="AK436" s="160" t="str">
        <f t="shared" si="215"/>
        <v>planches, colles, agraffes, vissseries, consommables</v>
      </c>
      <c r="AL436" s="360" t="s">
        <v>2093</v>
      </c>
      <c r="AM436" s="160">
        <f t="shared" si="216"/>
        <v>123</v>
      </c>
      <c r="AN436" s="360" t="s">
        <v>2020</v>
      </c>
      <c r="AO436" s="160">
        <f t="shared" si="217"/>
        <v>7</v>
      </c>
      <c r="AP436" s="160" t="s">
        <v>2021</v>
      </c>
      <c r="AQ436" s="160" t="str">
        <f t="shared" ca="1" si="218"/>
        <v>INSERT INTO COUTS(catCout,dateCout,descriptionCout,montantCout,idProjet) VALUES ('Materiaux','2023/05/02','planches, colles, agraffes, vissseries, consommables',123,7);</v>
      </c>
      <c r="AR436" s="160" t="s">
        <v>2512</v>
      </c>
    </row>
    <row r="437" spans="6:44" ht="15.65" outlineLevel="1" thickBot="1" x14ac:dyDescent="0.35">
      <c r="F437" s="160">
        <f t="shared" ref="F437:F438" si="232">F436+1</f>
        <v>3</v>
      </c>
      <c r="G437" s="160" t="s">
        <v>1905</v>
      </c>
      <c r="H437" s="329">
        <v>45048</v>
      </c>
      <c r="I437" s="160" t="s">
        <v>1909</v>
      </c>
      <c r="J437" s="160">
        <f>(300*12)/360*38</f>
        <v>380</v>
      </c>
      <c r="K437" s="160">
        <f t="shared" ref="K437:K438" si="233">K436</f>
        <v>7</v>
      </c>
      <c r="L437" s="329">
        <f t="shared" si="229"/>
        <v>45048</v>
      </c>
      <c r="S437" s="353" t="str">
        <f t="shared" si="211"/>
        <v>INSERT INTO COUTS(idCout, catCout, dateCout, descriptionCout, montantCout, idProjet) VALUES (3, Charges, 45048, electricité, 380, 7);</v>
      </c>
      <c r="T437" s="160" t="s">
        <v>1922</v>
      </c>
      <c r="U437" s="160" t="str">
        <f t="shared" si="212"/>
        <v>COUTS</v>
      </c>
      <c r="V437" s="160" t="s">
        <v>2088</v>
      </c>
      <c r="W437" s="234" t="s">
        <v>178</v>
      </c>
      <c r="X437" s="360" t="s">
        <v>2020</v>
      </c>
      <c r="Y437" s="234" t="s">
        <v>188</v>
      </c>
      <c r="Z437" s="360" t="s">
        <v>2020</v>
      </c>
      <c r="AA437" s="236" t="s">
        <v>263</v>
      </c>
      <c r="AB437" s="360" t="s">
        <v>2020</v>
      </c>
      <c r="AC437" s="236" t="s">
        <v>361</v>
      </c>
      <c r="AD437" s="360" t="s">
        <v>2020</v>
      </c>
      <c r="AE437" s="295" t="s">
        <v>287</v>
      </c>
      <c r="AF437" s="360" t="s">
        <v>2089</v>
      </c>
      <c r="AG437" s="160" t="str">
        <f t="shared" si="213"/>
        <v>Charges</v>
      </c>
      <c r="AH437" s="360" t="s">
        <v>2091</v>
      </c>
      <c r="AI437" s="329" t="str">
        <f t="shared" ca="1" si="214"/>
        <v>2023/05/02</v>
      </c>
      <c r="AJ437" s="360" t="s">
        <v>2091</v>
      </c>
      <c r="AK437" s="160" t="str">
        <f t="shared" si="215"/>
        <v>electricité</v>
      </c>
      <c r="AL437" s="360" t="s">
        <v>2093</v>
      </c>
      <c r="AM437" s="160">
        <f t="shared" si="216"/>
        <v>380</v>
      </c>
      <c r="AN437" s="360" t="s">
        <v>2020</v>
      </c>
      <c r="AO437" s="160">
        <f t="shared" si="217"/>
        <v>7</v>
      </c>
      <c r="AP437" s="160" t="s">
        <v>2021</v>
      </c>
      <c r="AQ437" s="160" t="str">
        <f t="shared" ca="1" si="218"/>
        <v>INSERT INTO COUTS(catCout,dateCout,descriptionCout,montantCout,idProjet) VALUES ('Charges','2023/05/02','electricité',380,7);</v>
      </c>
      <c r="AR437" s="160" t="s">
        <v>2350</v>
      </c>
    </row>
    <row r="438" spans="6:44" ht="15.65" outlineLevel="1" thickBot="1" x14ac:dyDescent="0.35">
      <c r="F438" s="160">
        <f t="shared" si="232"/>
        <v>4</v>
      </c>
      <c r="G438" s="160" t="s">
        <v>1906</v>
      </c>
      <c r="H438" s="329">
        <v>45048</v>
      </c>
      <c r="I438" s="160" t="s">
        <v>1910</v>
      </c>
      <c r="J438" s="160">
        <f>ROUNDUP(33*7/100*2,0)</f>
        <v>5</v>
      </c>
      <c r="K438" s="160">
        <f t="shared" si="233"/>
        <v>7</v>
      </c>
      <c r="L438" s="329">
        <f t="shared" si="229"/>
        <v>45048</v>
      </c>
      <c r="S438" s="353" t="str">
        <f t="shared" si="211"/>
        <v>INSERT INTO COUTS(idCout, catCout, dateCout, descriptionCout, montantCout, idProjet) VALUES (4, Frais, 45048, déplacement 33km (7L/100km), 5, 7);</v>
      </c>
      <c r="T438" s="160" t="s">
        <v>1922</v>
      </c>
      <c r="U438" s="160" t="str">
        <f t="shared" si="212"/>
        <v>COUTS</v>
      </c>
      <c r="V438" s="160" t="s">
        <v>2088</v>
      </c>
      <c r="W438" s="234" t="s">
        <v>178</v>
      </c>
      <c r="X438" s="360" t="s">
        <v>2020</v>
      </c>
      <c r="Y438" s="234" t="s">
        <v>188</v>
      </c>
      <c r="Z438" s="360" t="s">
        <v>2020</v>
      </c>
      <c r="AA438" s="236" t="s">
        <v>263</v>
      </c>
      <c r="AB438" s="360" t="s">
        <v>2020</v>
      </c>
      <c r="AC438" s="236" t="s">
        <v>361</v>
      </c>
      <c r="AD438" s="360" t="s">
        <v>2020</v>
      </c>
      <c r="AE438" s="295" t="s">
        <v>287</v>
      </c>
      <c r="AF438" s="360" t="s">
        <v>2089</v>
      </c>
      <c r="AG438" s="160" t="str">
        <f t="shared" si="213"/>
        <v>Frais</v>
      </c>
      <c r="AH438" s="360" t="s">
        <v>2091</v>
      </c>
      <c r="AI438" s="329" t="str">
        <f t="shared" ca="1" si="214"/>
        <v>2023/05/02</v>
      </c>
      <c r="AJ438" s="360" t="s">
        <v>2091</v>
      </c>
      <c r="AK438" s="160" t="str">
        <f t="shared" si="215"/>
        <v>déplacement 33km (7L/100km)</v>
      </c>
      <c r="AL438" s="360" t="s">
        <v>2093</v>
      </c>
      <c r="AM438" s="160">
        <f t="shared" si="216"/>
        <v>5</v>
      </c>
      <c r="AN438" s="360" t="s">
        <v>2020</v>
      </c>
      <c r="AO438" s="160">
        <f t="shared" si="217"/>
        <v>7</v>
      </c>
      <c r="AP438" s="160" t="s">
        <v>2021</v>
      </c>
      <c r="AQ438" s="160" t="str">
        <f t="shared" ca="1" si="218"/>
        <v>INSERT INTO COUTS(catCout,dateCout,descriptionCout,montantCout,idProjet) VALUES ('Frais','2023/05/02','déplacement 33km (7L/100km)',5,7);</v>
      </c>
      <c r="AR438" s="160" t="s">
        <v>2351</v>
      </c>
    </row>
    <row r="492" ht="58.7" customHeight="1" x14ac:dyDescent="0.3"/>
    <row r="493" ht="58.7" customHeight="1" x14ac:dyDescent="0.3"/>
    <row r="494" ht="58.7" customHeight="1" x14ac:dyDescent="0.3"/>
    <row r="495" ht="58.7" customHeight="1" x14ac:dyDescent="0.3"/>
    <row r="496" ht="58.7" customHeight="1" x14ac:dyDescent="0.3"/>
    <row r="497" ht="58.7" customHeight="1" x14ac:dyDescent="0.3"/>
  </sheetData>
  <mergeCells count="4">
    <mergeCell ref="H58:I58"/>
    <mergeCell ref="H59:I59"/>
    <mergeCell ref="H60:I60"/>
    <mergeCell ref="AW128:AW129"/>
  </mergeCells>
  <phoneticPr fontId="33" type="noConversion"/>
  <printOptions horizontalCentered="1"/>
  <pageMargins left="0" right="0" top="0.59055118110236227" bottom="0" header="0.31496062992125984" footer="0.31496062992125984"/>
  <pageSetup paperSize="9" scale="60" orientation="portrait" horizontalDpi="360" verticalDpi="36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4545E-04DC-4984-BCA7-9EACEC4067F7}">
  <dimension ref="B2:I25"/>
  <sheetViews>
    <sheetView workbookViewId="0">
      <selection activeCell="E24" sqref="E24"/>
    </sheetView>
  </sheetViews>
  <sheetFormatPr baseColWidth="10" defaultRowHeight="14.4" x14ac:dyDescent="0.25"/>
  <cols>
    <col min="1" max="4" width="11.5546875" style="4"/>
    <col min="5" max="5" width="57.21875" style="4" customWidth="1"/>
    <col min="6" max="6" width="24.6640625" style="4" customWidth="1"/>
    <col min="7" max="7" width="37.44140625" style="4" customWidth="1"/>
    <col min="8" max="8" width="11.5546875" style="4"/>
    <col min="9" max="9" width="29.6640625" style="4" customWidth="1"/>
    <col min="10" max="16384" width="11.5546875" style="4"/>
  </cols>
  <sheetData>
    <row r="2" spans="2:9" ht="15.65" thickBot="1" x14ac:dyDescent="0.3">
      <c r="B2" s="263" t="s">
        <v>271</v>
      </c>
      <c r="C2" s="263" t="s">
        <v>272</v>
      </c>
      <c r="D2" s="263" t="s">
        <v>273</v>
      </c>
      <c r="E2" s="263" t="s">
        <v>283</v>
      </c>
      <c r="F2" s="263" t="s">
        <v>240</v>
      </c>
      <c r="G2" s="263" t="s">
        <v>274</v>
      </c>
      <c r="H2" s="171" t="s">
        <v>79</v>
      </c>
      <c r="I2" s="254" t="s">
        <v>80</v>
      </c>
    </row>
    <row r="3" spans="2:9" x14ac:dyDescent="0.25">
      <c r="B3" s="159" t="s">
        <v>385</v>
      </c>
      <c r="C3" s="159" t="s">
        <v>387</v>
      </c>
      <c r="D3" s="159" t="s">
        <v>405</v>
      </c>
      <c r="E3" s="159" t="s">
        <v>415</v>
      </c>
      <c r="F3" s="159" t="s">
        <v>425</v>
      </c>
      <c r="G3" s="159" t="str">
        <f>B3&amp;"."&amp;C3&amp;"@"&amp;"gmal.com"</f>
        <v>Edgar.ATOI@gmal.com</v>
      </c>
      <c r="H3" s="8" t="str">
        <f>MID(B3,1,3)</f>
        <v>Edg</v>
      </c>
    </row>
    <row r="4" spans="2:9" x14ac:dyDescent="0.25">
      <c r="B4" s="159" t="s">
        <v>386</v>
      </c>
      <c r="C4" s="159" t="s">
        <v>388</v>
      </c>
      <c r="D4" s="159" t="s">
        <v>411</v>
      </c>
      <c r="E4" s="159" t="s">
        <v>416</v>
      </c>
      <c r="F4" s="159" t="s">
        <v>426</v>
      </c>
      <c r="G4" s="159" t="str">
        <f t="shared" ref="G4:G12" si="0">B4&amp;"."&amp;C4&amp;"@"&amp;"gmal.com"</f>
        <v>Edith.KELHEURETIL@gmal.com</v>
      </c>
      <c r="H4" s="8" t="str">
        <f t="shared" ref="H4:H12" si="1">MID(B4,1,3)</f>
        <v>Edi</v>
      </c>
    </row>
    <row r="5" spans="2:9" x14ac:dyDescent="0.25">
      <c r="B5" s="159" t="s">
        <v>389</v>
      </c>
      <c r="C5" s="159" t="s">
        <v>390</v>
      </c>
      <c r="D5" s="159" t="s">
        <v>410</v>
      </c>
      <c r="E5" s="159" t="s">
        <v>419</v>
      </c>
      <c r="F5" s="159" t="s">
        <v>427</v>
      </c>
      <c r="G5" s="159" t="str">
        <f t="shared" si="0"/>
        <v>Elise.ETMOI@gmal.com</v>
      </c>
      <c r="H5" s="8" t="str">
        <f t="shared" si="1"/>
        <v>Eli</v>
      </c>
    </row>
    <row r="6" spans="2:9" x14ac:dyDescent="0.25">
      <c r="B6" s="159" t="s">
        <v>391</v>
      </c>
      <c r="C6" s="159" t="s">
        <v>392</v>
      </c>
      <c r="D6" s="159" t="s">
        <v>409</v>
      </c>
      <c r="E6" s="159" t="s">
        <v>418</v>
      </c>
      <c r="F6" s="159" t="s">
        <v>428</v>
      </c>
      <c r="G6" s="159" t="str">
        <f t="shared" si="0"/>
        <v>Frank.NSTEIN@gmal.com</v>
      </c>
      <c r="H6" s="8" t="str">
        <f t="shared" si="1"/>
        <v>Fra</v>
      </c>
    </row>
    <row r="7" spans="2:9" x14ac:dyDescent="0.25">
      <c r="B7" s="159" t="s">
        <v>393</v>
      </c>
      <c r="C7" s="159" t="s">
        <v>394</v>
      </c>
      <c r="D7" s="159" t="s">
        <v>412</v>
      </c>
      <c r="E7" s="159" t="s">
        <v>417</v>
      </c>
      <c r="F7" s="159" t="s">
        <v>429</v>
      </c>
      <c r="G7" s="159" t="str">
        <f t="shared" si="0"/>
        <v>Flo.RISTE@gmal.com</v>
      </c>
      <c r="H7" s="8" t="str">
        <f t="shared" si="1"/>
        <v>Flo</v>
      </c>
    </row>
    <row r="8" spans="2:9" x14ac:dyDescent="0.25">
      <c r="B8" s="159" t="s">
        <v>395</v>
      </c>
      <c r="C8" s="159" t="s">
        <v>396</v>
      </c>
      <c r="D8" s="159" t="s">
        <v>406</v>
      </c>
      <c r="E8" s="296" t="s">
        <v>420</v>
      </c>
      <c r="F8" s="159" t="s">
        <v>430</v>
      </c>
      <c r="G8" s="159" t="str">
        <f t="shared" si="0"/>
        <v>Gerard.MENVUSSA@gmal.com</v>
      </c>
      <c r="H8" s="8" t="str">
        <f t="shared" si="1"/>
        <v>Ger</v>
      </c>
    </row>
    <row r="9" spans="2:9" x14ac:dyDescent="0.25">
      <c r="B9" s="159" t="s">
        <v>397</v>
      </c>
      <c r="C9" s="159" t="s">
        <v>398</v>
      </c>
      <c r="D9" s="159" t="s">
        <v>413</v>
      </c>
      <c r="E9" s="159" t="s">
        <v>421</v>
      </c>
      <c r="F9" s="159" t="s">
        <v>431</v>
      </c>
      <c r="G9" s="159" t="str">
        <f t="shared" si="0"/>
        <v>Walter.CLOSET@gmal.com</v>
      </c>
      <c r="H9" s="8" t="str">
        <f t="shared" si="1"/>
        <v>Wal</v>
      </c>
    </row>
    <row r="10" spans="2:9" x14ac:dyDescent="0.25">
      <c r="B10" s="159" t="s">
        <v>399</v>
      </c>
      <c r="C10" s="159" t="s">
        <v>400</v>
      </c>
      <c r="D10" s="159" t="s">
        <v>407</v>
      </c>
      <c r="E10" s="159" t="s">
        <v>422</v>
      </c>
      <c r="F10" s="159" t="s">
        <v>432</v>
      </c>
      <c r="G10" s="159" t="str">
        <f t="shared" si="0"/>
        <v>Noah.DESINJAC@gmal.com</v>
      </c>
      <c r="H10" s="8" t="str">
        <f t="shared" si="1"/>
        <v>Noa</v>
      </c>
    </row>
    <row r="11" spans="2:9" x14ac:dyDescent="0.25">
      <c r="B11" s="159" t="s">
        <v>401</v>
      </c>
      <c r="C11" s="159" t="s">
        <v>402</v>
      </c>
      <c r="D11" s="159" t="s">
        <v>414</v>
      </c>
      <c r="E11" s="159" t="s">
        <v>423</v>
      </c>
      <c r="F11" s="159" t="s">
        <v>433</v>
      </c>
      <c r="G11" s="159" t="str">
        <f t="shared" si="0"/>
        <v>Karl-Amel.MOU@gmal.com</v>
      </c>
      <c r="H11" s="8" t="str">
        <f t="shared" si="1"/>
        <v>Kar</v>
      </c>
    </row>
    <row r="12" spans="2:9" x14ac:dyDescent="0.25">
      <c r="B12" s="159" t="s">
        <v>403</v>
      </c>
      <c r="C12" s="159" t="s">
        <v>404</v>
      </c>
      <c r="D12" s="159" t="s">
        <v>408</v>
      </c>
      <c r="E12" s="159" t="s">
        <v>424</v>
      </c>
      <c r="F12" s="159" t="s">
        <v>425</v>
      </c>
      <c r="G12" s="159" t="str">
        <f t="shared" si="0"/>
        <v>Kentin.GENMILITERRE@gmal.com</v>
      </c>
      <c r="H12" s="8" t="str">
        <f t="shared" si="1"/>
        <v>Ken</v>
      </c>
    </row>
    <row r="13" spans="2:9" x14ac:dyDescent="0.25">
      <c r="E13" s="4" t="s">
        <v>1780</v>
      </c>
      <c r="F13" s="4" t="s">
        <v>434</v>
      </c>
    </row>
    <row r="14" spans="2:9" x14ac:dyDescent="0.25">
      <c r="E14" s="4" t="s">
        <v>1785</v>
      </c>
      <c r="F14" s="4" t="s">
        <v>435</v>
      </c>
    </row>
    <row r="15" spans="2:9" x14ac:dyDescent="0.25">
      <c r="E15" s="4" t="s">
        <v>1779</v>
      </c>
      <c r="F15" s="4" t="s">
        <v>436</v>
      </c>
    </row>
    <row r="16" spans="2:9" x14ac:dyDescent="0.25">
      <c r="E16" s="4" t="s">
        <v>1784</v>
      </c>
      <c r="F16" s="4" t="s">
        <v>437</v>
      </c>
    </row>
    <row r="17" spans="5:6" x14ac:dyDescent="0.25">
      <c r="E17" s="4" t="s">
        <v>1781</v>
      </c>
      <c r="F17" s="4" t="s">
        <v>438</v>
      </c>
    </row>
    <row r="18" spans="5:6" x14ac:dyDescent="0.25">
      <c r="E18" s="4" t="s">
        <v>1783</v>
      </c>
      <c r="F18" s="4" t="s">
        <v>439</v>
      </c>
    </row>
    <row r="19" spans="5:6" x14ac:dyDescent="0.25">
      <c r="E19" s="4" t="s">
        <v>1786</v>
      </c>
      <c r="F19" s="4" t="s">
        <v>440</v>
      </c>
    </row>
    <row r="20" spans="5:6" x14ac:dyDescent="0.25">
      <c r="E20" s="4" t="s">
        <v>1787</v>
      </c>
      <c r="F20" s="4" t="s">
        <v>441</v>
      </c>
    </row>
    <row r="21" spans="5:6" x14ac:dyDescent="0.25">
      <c r="E21" s="4" t="s">
        <v>1788</v>
      </c>
      <c r="F21" s="4" t="s">
        <v>442</v>
      </c>
    </row>
    <row r="22" spans="5:6" ht="18.8" customHeight="1" x14ac:dyDescent="0.25">
      <c r="E22" s="326" t="s">
        <v>1789</v>
      </c>
    </row>
    <row r="23" spans="5:6" x14ac:dyDescent="0.25">
      <c r="E23" s="4" t="s">
        <v>1790</v>
      </c>
    </row>
    <row r="24" spans="5:6" x14ac:dyDescent="0.25">
      <c r="E24" s="4" t="s">
        <v>1791</v>
      </c>
    </row>
    <row r="25" spans="5:6" x14ac:dyDescent="0.25">
      <c r="E25" s="4" t="s">
        <v>1782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F54C-6441-4229-9F23-A4AD04E300E7}">
  <dimension ref="B2:M28"/>
  <sheetViews>
    <sheetView topLeftCell="B1" workbookViewId="0">
      <selection activeCell="C25" sqref="C25:U44"/>
    </sheetView>
  </sheetViews>
  <sheetFormatPr baseColWidth="10" defaultRowHeight="15.05" x14ac:dyDescent="0.3"/>
  <cols>
    <col min="15" max="339" width="3.109375" customWidth="1"/>
  </cols>
  <sheetData>
    <row r="2" spans="2:13" ht="15.65" thickBot="1" x14ac:dyDescent="0.35">
      <c r="B2" s="263" t="s">
        <v>271</v>
      </c>
      <c r="C2" s="263" t="s">
        <v>272</v>
      </c>
      <c r="D2" s="263" t="s">
        <v>273</v>
      </c>
      <c r="E2" s="263" t="s">
        <v>283</v>
      </c>
      <c r="F2" s="263" t="s">
        <v>240</v>
      </c>
      <c r="G2" s="263" t="s">
        <v>274</v>
      </c>
      <c r="H2" s="171" t="s">
        <v>79</v>
      </c>
      <c r="I2" s="254" t="s">
        <v>80</v>
      </c>
      <c r="J2" s="324"/>
      <c r="K2" s="324"/>
      <c r="L2" s="324"/>
      <c r="M2" s="324"/>
    </row>
    <row r="3" spans="2:13" x14ac:dyDescent="0.3">
      <c r="B3" s="159" t="s">
        <v>385</v>
      </c>
      <c r="C3" s="159" t="s">
        <v>387</v>
      </c>
      <c r="D3" s="159" t="s">
        <v>405</v>
      </c>
      <c r="E3" s="159" t="s">
        <v>415</v>
      </c>
      <c r="F3" s="159" t="s">
        <v>425</v>
      </c>
      <c r="G3" s="159" t="str">
        <f>B3&amp;"."&amp;C3&amp;"@"&amp;"gmal.com"</f>
        <v>Edgar.ATOI@gmal.com</v>
      </c>
      <c r="H3" s="8" t="str">
        <f>MID(B3,1,3)</f>
        <v>Edg</v>
      </c>
      <c r="I3" s="4"/>
      <c r="J3" s="4"/>
      <c r="K3" s="4"/>
    </row>
    <row r="4" spans="2:13" x14ac:dyDescent="0.3">
      <c r="B4" s="159" t="s">
        <v>386</v>
      </c>
      <c r="C4" s="159" t="s">
        <v>388</v>
      </c>
      <c r="D4" s="159" t="s">
        <v>411</v>
      </c>
      <c r="E4" s="159" t="s">
        <v>416</v>
      </c>
      <c r="F4" s="159" t="s">
        <v>426</v>
      </c>
      <c r="G4" s="159" t="str">
        <f t="shared" ref="G4:G12" si="0">B4&amp;"."&amp;C4&amp;"@"&amp;"gmal.com"</f>
        <v>Edith.KELHEURETIL@gmal.com</v>
      </c>
      <c r="H4" s="8" t="str">
        <f t="shared" ref="H4:H12" si="1">MID(B4,1,3)</f>
        <v>Edi</v>
      </c>
      <c r="I4" s="4"/>
      <c r="J4" s="4"/>
      <c r="K4" s="4"/>
      <c r="L4" s="4"/>
      <c r="M4" s="4"/>
    </row>
    <row r="5" spans="2:13" x14ac:dyDescent="0.3">
      <c r="B5" s="159" t="s">
        <v>389</v>
      </c>
      <c r="C5" s="159" t="s">
        <v>390</v>
      </c>
      <c r="D5" s="159" t="s">
        <v>410</v>
      </c>
      <c r="E5" s="159" t="s">
        <v>419</v>
      </c>
      <c r="F5" s="159" t="s">
        <v>427</v>
      </c>
      <c r="G5" s="159" t="str">
        <f t="shared" si="0"/>
        <v>Elise.ETMOI@gmal.com</v>
      </c>
      <c r="H5" s="8" t="str">
        <f t="shared" si="1"/>
        <v>Eli</v>
      </c>
      <c r="I5" s="4"/>
      <c r="J5" s="4"/>
      <c r="K5" s="4"/>
      <c r="L5" s="4"/>
      <c r="M5" s="4"/>
    </row>
    <row r="6" spans="2:13" x14ac:dyDescent="0.3">
      <c r="B6" s="159" t="s">
        <v>391</v>
      </c>
      <c r="C6" s="159" t="s">
        <v>392</v>
      </c>
      <c r="D6" s="159" t="s">
        <v>409</v>
      </c>
      <c r="E6" s="159" t="s">
        <v>418</v>
      </c>
      <c r="F6" s="159" t="s">
        <v>428</v>
      </c>
      <c r="G6" s="159" t="str">
        <f t="shared" si="0"/>
        <v>Frank.NSTEIN@gmal.com</v>
      </c>
      <c r="H6" s="8" t="str">
        <f t="shared" si="1"/>
        <v>Fra</v>
      </c>
      <c r="I6" s="4"/>
      <c r="J6" s="4"/>
      <c r="K6" s="4"/>
      <c r="L6" s="4"/>
      <c r="M6" s="4"/>
    </row>
    <row r="7" spans="2:13" x14ac:dyDescent="0.3">
      <c r="B7" s="159" t="s">
        <v>393</v>
      </c>
      <c r="C7" s="159" t="s">
        <v>394</v>
      </c>
      <c r="D7" s="159" t="s">
        <v>412</v>
      </c>
      <c r="E7" s="159" t="s">
        <v>417</v>
      </c>
      <c r="F7" s="159" t="s">
        <v>429</v>
      </c>
      <c r="G7" s="159" t="str">
        <f t="shared" si="0"/>
        <v>Flo.RISTE@gmal.com</v>
      </c>
      <c r="H7" s="8" t="str">
        <f t="shared" si="1"/>
        <v>Flo</v>
      </c>
      <c r="I7" s="4"/>
      <c r="J7" s="4"/>
      <c r="K7" s="4"/>
      <c r="L7" s="4"/>
      <c r="M7" s="4"/>
    </row>
    <row r="8" spans="2:13" ht="57.6" x14ac:dyDescent="0.3">
      <c r="B8" s="159" t="s">
        <v>395</v>
      </c>
      <c r="C8" s="159" t="s">
        <v>396</v>
      </c>
      <c r="D8" s="159" t="s">
        <v>406</v>
      </c>
      <c r="E8" s="296" t="s">
        <v>420</v>
      </c>
      <c r="F8" s="159" t="s">
        <v>430</v>
      </c>
      <c r="G8" s="159" t="str">
        <f t="shared" si="0"/>
        <v>Gerard.MENVUSSA@gmal.com</v>
      </c>
      <c r="H8" s="8" t="str">
        <f t="shared" si="1"/>
        <v>Ger</v>
      </c>
      <c r="I8" s="4"/>
      <c r="J8" s="4"/>
      <c r="K8" s="4"/>
      <c r="L8" s="4"/>
      <c r="M8" s="4"/>
    </row>
    <row r="9" spans="2:13" x14ac:dyDescent="0.3">
      <c r="B9" s="159" t="s">
        <v>397</v>
      </c>
      <c r="C9" s="159" t="s">
        <v>398</v>
      </c>
      <c r="D9" s="159" t="s">
        <v>413</v>
      </c>
      <c r="E9" s="159" t="s">
        <v>421</v>
      </c>
      <c r="F9" s="159" t="s">
        <v>431</v>
      </c>
      <c r="G9" s="159" t="str">
        <f t="shared" si="0"/>
        <v>Walter.CLOSET@gmal.com</v>
      </c>
      <c r="H9" s="8" t="str">
        <f t="shared" si="1"/>
        <v>Wal</v>
      </c>
      <c r="I9" s="4"/>
      <c r="J9" s="4"/>
      <c r="K9" s="4"/>
      <c r="L9" s="4"/>
      <c r="M9" s="4"/>
    </row>
    <row r="10" spans="2:13" x14ac:dyDescent="0.3">
      <c r="B10" s="159" t="s">
        <v>399</v>
      </c>
      <c r="C10" s="159" t="s">
        <v>400</v>
      </c>
      <c r="D10" s="159" t="s">
        <v>407</v>
      </c>
      <c r="E10" s="159" t="s">
        <v>422</v>
      </c>
      <c r="F10" s="159" t="s">
        <v>432</v>
      </c>
      <c r="G10" s="159" t="str">
        <f t="shared" si="0"/>
        <v>Noah.DESINJAC@gmal.com</v>
      </c>
      <c r="H10" s="8" t="str">
        <f t="shared" si="1"/>
        <v>Noa</v>
      </c>
      <c r="I10" s="4"/>
      <c r="J10" s="4"/>
      <c r="K10" s="4"/>
      <c r="L10" s="4"/>
      <c r="M10" s="4"/>
    </row>
    <row r="11" spans="2:13" x14ac:dyDescent="0.3">
      <c r="B11" s="159" t="s">
        <v>401</v>
      </c>
      <c r="C11" s="159" t="s">
        <v>402</v>
      </c>
      <c r="D11" s="159" t="s">
        <v>414</v>
      </c>
      <c r="E11" s="159" t="s">
        <v>423</v>
      </c>
      <c r="F11" s="159" t="s">
        <v>433</v>
      </c>
      <c r="G11" s="159" t="str">
        <f t="shared" si="0"/>
        <v>Karl-Amel.MOU@gmal.com</v>
      </c>
      <c r="H11" s="8" t="str">
        <f t="shared" si="1"/>
        <v>Kar</v>
      </c>
      <c r="I11" s="4"/>
      <c r="J11" s="4"/>
      <c r="K11" s="4"/>
      <c r="L11" s="4"/>
      <c r="M11" s="4"/>
    </row>
    <row r="12" spans="2:13" x14ac:dyDescent="0.3">
      <c r="B12" s="159" t="s">
        <v>403</v>
      </c>
      <c r="C12" s="159" t="s">
        <v>404</v>
      </c>
      <c r="D12" s="159" t="s">
        <v>408</v>
      </c>
      <c r="E12" s="159" t="s">
        <v>424</v>
      </c>
      <c r="F12" s="159" t="s">
        <v>425</v>
      </c>
      <c r="G12" s="159" t="str">
        <f t="shared" si="0"/>
        <v>Kentin.GENMILITERRE@gmal.com</v>
      </c>
      <c r="H12" s="8" t="str">
        <f t="shared" si="1"/>
        <v>Ken</v>
      </c>
      <c r="I12" s="4"/>
      <c r="J12" s="4"/>
      <c r="K12" s="4"/>
      <c r="L12" s="4"/>
      <c r="M12" s="4"/>
    </row>
    <row r="13" spans="2:13" x14ac:dyDescent="0.3">
      <c r="B13" s="4"/>
      <c r="C13" s="4"/>
      <c r="D13" s="4"/>
      <c r="E13" s="4"/>
      <c r="F13" s="4" t="s">
        <v>434</v>
      </c>
      <c r="G13" s="4"/>
      <c r="H13" s="4"/>
      <c r="I13" s="4"/>
      <c r="J13" s="4"/>
      <c r="K13" s="4"/>
      <c r="L13" s="4"/>
      <c r="M13" s="4"/>
    </row>
    <row r="14" spans="2:13" x14ac:dyDescent="0.3">
      <c r="B14" s="4"/>
      <c r="C14" s="4"/>
      <c r="D14" s="4"/>
      <c r="E14" s="4"/>
      <c r="F14" s="4" t="s">
        <v>435</v>
      </c>
      <c r="G14" s="4"/>
      <c r="H14" s="4"/>
      <c r="I14" s="4"/>
      <c r="J14" s="4"/>
      <c r="K14" s="4"/>
      <c r="L14" s="4"/>
      <c r="M14" s="4"/>
    </row>
    <row r="15" spans="2:13" x14ac:dyDescent="0.3">
      <c r="B15" s="4"/>
      <c r="C15" s="4"/>
      <c r="D15" s="4"/>
      <c r="E15" s="4"/>
      <c r="F15" s="4" t="s">
        <v>436</v>
      </c>
      <c r="G15" s="4"/>
      <c r="H15" s="4"/>
      <c r="I15" s="4"/>
      <c r="J15" s="4"/>
      <c r="K15" s="4"/>
      <c r="L15" s="4"/>
      <c r="M15" s="4"/>
    </row>
    <row r="16" spans="2:13" x14ac:dyDescent="0.3">
      <c r="B16" s="4"/>
      <c r="C16" s="4"/>
      <c r="D16" s="4"/>
      <c r="E16" s="4"/>
      <c r="F16" s="4" t="s">
        <v>437</v>
      </c>
      <c r="G16" s="4"/>
      <c r="H16" s="4"/>
      <c r="I16" s="4"/>
      <c r="J16" s="4"/>
      <c r="K16" s="4"/>
      <c r="L16" s="4"/>
      <c r="M16" s="4"/>
    </row>
    <row r="17" spans="2:13" x14ac:dyDescent="0.3">
      <c r="B17" s="4"/>
      <c r="C17" s="4"/>
      <c r="D17" s="4"/>
      <c r="E17" s="4"/>
      <c r="F17" s="4" t="s">
        <v>438</v>
      </c>
      <c r="G17" s="4"/>
      <c r="H17" s="4"/>
      <c r="I17" s="4"/>
      <c r="J17" s="4"/>
      <c r="K17" s="4"/>
      <c r="L17" s="4"/>
      <c r="M17" s="4"/>
    </row>
    <row r="18" spans="2:13" x14ac:dyDescent="0.3">
      <c r="B18" s="4"/>
      <c r="C18" s="4"/>
      <c r="D18" s="4"/>
      <c r="E18" s="4"/>
      <c r="F18" s="4" t="s">
        <v>439</v>
      </c>
      <c r="G18" s="4"/>
      <c r="H18" s="4"/>
      <c r="I18" s="4"/>
      <c r="J18" s="4"/>
      <c r="K18" s="4"/>
      <c r="L18" s="4"/>
      <c r="M18" s="4"/>
    </row>
    <row r="19" spans="2:13" x14ac:dyDescent="0.3">
      <c r="B19" s="4"/>
      <c r="C19" s="4"/>
      <c r="D19" s="4"/>
      <c r="E19" s="4"/>
      <c r="F19" s="4" t="s">
        <v>440</v>
      </c>
      <c r="G19" s="4"/>
      <c r="H19" s="4"/>
      <c r="I19" s="4"/>
      <c r="J19" s="4"/>
      <c r="K19" s="4"/>
      <c r="L19" s="4"/>
      <c r="M19" s="4"/>
    </row>
    <row r="20" spans="2:13" x14ac:dyDescent="0.3">
      <c r="B20" s="4"/>
      <c r="C20" s="4"/>
      <c r="D20" s="4"/>
      <c r="E20" s="4"/>
      <c r="F20" s="4" t="s">
        <v>441</v>
      </c>
      <c r="G20" s="4"/>
      <c r="H20" s="4"/>
      <c r="I20" s="4"/>
      <c r="J20" s="4"/>
      <c r="K20" s="4"/>
      <c r="L20" s="4"/>
      <c r="M20" s="4"/>
    </row>
    <row r="21" spans="2:13" x14ac:dyDescent="0.3">
      <c r="B21" s="4"/>
      <c r="C21" s="4"/>
      <c r="D21" s="4"/>
      <c r="E21" s="4"/>
      <c r="F21" s="4" t="s">
        <v>442</v>
      </c>
      <c r="G21" s="4"/>
      <c r="H21" s="4"/>
      <c r="I21" s="4"/>
      <c r="J21" s="4"/>
      <c r="K21" s="4"/>
      <c r="L21" s="4"/>
      <c r="M21" s="4"/>
    </row>
    <row r="22" spans="2:13" x14ac:dyDescent="0.3">
      <c r="B22" s="4"/>
      <c r="C22" s="4"/>
      <c r="D22" s="4"/>
      <c r="E22" s="4"/>
      <c r="F22" s="4"/>
      <c r="G22" s="4"/>
      <c r="H22" s="4"/>
      <c r="I22" s="4"/>
      <c r="J22" s="4"/>
      <c r="K22" s="4"/>
      <c r="L22" s="4"/>
      <c r="M22" s="4"/>
    </row>
    <row r="23" spans="2:13" x14ac:dyDescent="0.3">
      <c r="B23" s="4"/>
      <c r="C23" s="4"/>
      <c r="D23" s="4"/>
      <c r="E23" s="4"/>
      <c r="F23" s="4"/>
      <c r="G23" s="4"/>
      <c r="H23" s="4"/>
      <c r="I23" s="4"/>
      <c r="J23" s="4"/>
      <c r="K23" s="4"/>
      <c r="L23" s="4"/>
      <c r="M23" s="4"/>
    </row>
    <row r="24" spans="2:13" x14ac:dyDescent="0.3">
      <c r="B24" s="4"/>
      <c r="C24" s="4"/>
      <c r="D24" s="4"/>
      <c r="E24" s="4"/>
      <c r="F24" s="4"/>
      <c r="G24" s="4"/>
      <c r="H24" s="4"/>
      <c r="I24" s="4"/>
      <c r="J24" s="4"/>
      <c r="K24" s="4"/>
      <c r="L24" s="4"/>
      <c r="M24" s="4"/>
    </row>
    <row r="25" spans="2:13" x14ac:dyDescent="0.3">
      <c r="B25" s="4"/>
      <c r="C25" s="4"/>
      <c r="D25" s="4"/>
      <c r="E25" s="4"/>
      <c r="F25" s="4"/>
      <c r="G25" s="4"/>
      <c r="H25" s="4"/>
      <c r="I25" s="4"/>
      <c r="J25" s="4"/>
      <c r="K25" s="4"/>
      <c r="L25" s="4"/>
      <c r="M25" s="4"/>
    </row>
    <row r="26" spans="2:13" x14ac:dyDescent="0.3">
      <c r="B26" s="4"/>
      <c r="C26" s="4"/>
      <c r="D26" s="4"/>
      <c r="F26" s="4"/>
      <c r="G26" s="4"/>
      <c r="H26" s="4"/>
      <c r="I26" s="4"/>
      <c r="J26" s="4"/>
      <c r="K26" s="4"/>
      <c r="L26" s="4"/>
      <c r="M26" s="4"/>
    </row>
    <row r="27" spans="2:13" x14ac:dyDescent="0.3">
      <c r="B27" s="4"/>
      <c r="C27" s="4"/>
      <c r="D27" s="4"/>
      <c r="E27" s="4"/>
      <c r="F27" s="4"/>
      <c r="G27" s="4"/>
      <c r="H27" s="4"/>
      <c r="I27" s="4"/>
      <c r="J27" s="4"/>
      <c r="K27" s="4"/>
      <c r="L27" s="4"/>
      <c r="M27" s="4"/>
    </row>
    <row r="28" spans="2:13" x14ac:dyDescent="0.3">
      <c r="B28" s="4"/>
      <c r="C28" s="4"/>
      <c r="D28" s="4"/>
      <c r="E28" s="4"/>
      <c r="F28" s="4"/>
      <c r="G28" s="4"/>
      <c r="H28" s="4"/>
      <c r="I28" s="4"/>
      <c r="J28" s="4"/>
      <c r="K28" s="4"/>
      <c r="L28" s="4"/>
      <c r="M28"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FAA12-9963-488B-BA9E-CF2967B8A5F6}">
  <dimension ref="F3:L34"/>
  <sheetViews>
    <sheetView topLeftCell="D1" workbookViewId="0">
      <selection activeCell="G4" sqref="G4"/>
    </sheetView>
  </sheetViews>
  <sheetFormatPr baseColWidth="10" defaultRowHeight="14.4" x14ac:dyDescent="0.25"/>
  <cols>
    <col min="1" max="5" width="11.5546875" style="4"/>
    <col min="6" max="6" width="14.44140625" style="4" customWidth="1"/>
    <col min="7" max="7" width="17.5546875" style="4" customWidth="1"/>
    <col min="8" max="8" width="67.5546875" style="4" customWidth="1"/>
    <col min="9" max="9" width="15" style="4" customWidth="1"/>
    <col min="10" max="11" width="23.5546875" style="4" customWidth="1"/>
    <col min="12" max="16384" width="11.5546875" style="4"/>
  </cols>
  <sheetData>
    <row r="3" spans="6:12" ht="15.05" thickBot="1" x14ac:dyDescent="0.3">
      <c r="F3" s="4" t="s">
        <v>22</v>
      </c>
      <c r="G3" s="4" t="s">
        <v>23</v>
      </c>
      <c r="H3" s="4" t="s">
        <v>24</v>
      </c>
      <c r="I3" s="13" t="s">
        <v>93</v>
      </c>
      <c r="J3" s="13" t="s">
        <v>91</v>
      </c>
      <c r="K3" s="13" t="s">
        <v>92</v>
      </c>
      <c r="L3" s="5" t="s">
        <v>181</v>
      </c>
    </row>
    <row r="4" spans="6:12" x14ac:dyDescent="0.25">
      <c r="F4" s="4" t="s">
        <v>25</v>
      </c>
      <c r="G4" s="4" t="s">
        <v>6</v>
      </c>
      <c r="H4" s="6" t="s">
        <v>16</v>
      </c>
      <c r="I4" s="8" t="s">
        <v>104</v>
      </c>
      <c r="J4" s="3" t="s">
        <v>95</v>
      </c>
      <c r="K4" s="3" t="s">
        <v>100</v>
      </c>
      <c r="L4" s="4" t="s">
        <v>182</v>
      </c>
    </row>
    <row r="5" spans="6:12" x14ac:dyDescent="0.25">
      <c r="F5" s="4" t="s">
        <v>31</v>
      </c>
      <c r="G5" s="4" t="s">
        <v>7</v>
      </c>
      <c r="H5" s="7" t="s">
        <v>17</v>
      </c>
      <c r="I5" s="8" t="s">
        <v>105</v>
      </c>
      <c r="J5" s="8" t="s">
        <v>96</v>
      </c>
      <c r="K5" s="8" t="s">
        <v>96</v>
      </c>
      <c r="L5" s="4" t="s">
        <v>183</v>
      </c>
    </row>
    <row r="6" spans="6:12" ht="18.8" customHeight="1" x14ac:dyDescent="0.25">
      <c r="F6" s="4" t="s">
        <v>32</v>
      </c>
      <c r="G6" s="4" t="s">
        <v>20</v>
      </c>
      <c r="H6" s="9" t="s">
        <v>56</v>
      </c>
      <c r="I6" s="8" t="s">
        <v>106</v>
      </c>
      <c r="J6" s="8" t="s">
        <v>97</v>
      </c>
      <c r="K6" s="8" t="s">
        <v>101</v>
      </c>
      <c r="L6" s="4" t="s">
        <v>184</v>
      </c>
    </row>
    <row r="7" spans="6:12" ht="18.8" customHeight="1" x14ac:dyDescent="0.25">
      <c r="F7" s="4" t="s">
        <v>33</v>
      </c>
      <c r="G7" s="4" t="s">
        <v>21</v>
      </c>
      <c r="H7" s="7" t="s">
        <v>18</v>
      </c>
      <c r="I7" s="8" t="s">
        <v>107</v>
      </c>
      <c r="J7" s="8" t="s">
        <v>98</v>
      </c>
      <c r="K7" s="8" t="s">
        <v>102</v>
      </c>
      <c r="L7" s="4" t="s">
        <v>185</v>
      </c>
    </row>
    <row r="8" spans="6:12" ht="18.8" customHeight="1" x14ac:dyDescent="0.25">
      <c r="F8" s="4" t="s">
        <v>34</v>
      </c>
      <c r="G8" s="4" t="s">
        <v>14</v>
      </c>
      <c r="H8" s="7" t="s">
        <v>19</v>
      </c>
      <c r="I8" s="8" t="s">
        <v>108</v>
      </c>
      <c r="J8" s="8" t="s">
        <v>99</v>
      </c>
      <c r="K8" s="8" t="s">
        <v>99</v>
      </c>
      <c r="L8" s="4" t="s">
        <v>186</v>
      </c>
    </row>
    <row r="9" spans="6:12" ht="18.8" customHeight="1" thickBot="1" x14ac:dyDescent="0.3">
      <c r="F9" s="4" t="s">
        <v>35</v>
      </c>
      <c r="G9" s="10" t="s">
        <v>53</v>
      </c>
      <c r="H9" s="11" t="s">
        <v>57</v>
      </c>
      <c r="I9" s="8" t="s">
        <v>109</v>
      </c>
      <c r="K9" s="8" t="s">
        <v>103</v>
      </c>
    </row>
    <row r="10" spans="6:12" ht="18.8" customHeight="1" x14ac:dyDescent="0.25">
      <c r="F10" s="4" t="s">
        <v>26</v>
      </c>
      <c r="G10" s="5" t="s">
        <v>93</v>
      </c>
      <c r="H10" s="12"/>
      <c r="I10" s="8" t="s">
        <v>110</v>
      </c>
    </row>
    <row r="11" spans="6:12" ht="18.8" customHeight="1" x14ac:dyDescent="0.25">
      <c r="G11" s="5" t="s">
        <v>336</v>
      </c>
      <c r="H11" s="12"/>
      <c r="I11" s="8"/>
    </row>
    <row r="12" spans="6:12" ht="18.8" customHeight="1" x14ac:dyDescent="0.25">
      <c r="F12" s="4" t="s">
        <v>36</v>
      </c>
      <c r="G12" s="10" t="s">
        <v>59</v>
      </c>
      <c r="H12" s="12"/>
      <c r="I12" s="8" t="s">
        <v>111</v>
      </c>
    </row>
    <row r="13" spans="6:12" ht="18.8" customHeight="1" x14ac:dyDescent="0.25">
      <c r="F13" s="4" t="s">
        <v>27</v>
      </c>
      <c r="G13" s="5" t="s">
        <v>91</v>
      </c>
      <c r="H13" s="12"/>
      <c r="I13" s="8" t="s">
        <v>112</v>
      </c>
    </row>
    <row r="14" spans="6:12" ht="18.8" customHeight="1" x14ac:dyDescent="0.25">
      <c r="F14" s="4" t="s">
        <v>37</v>
      </c>
      <c r="G14" s="5" t="s">
        <v>92</v>
      </c>
      <c r="H14" s="12"/>
      <c r="I14" s="8" t="s">
        <v>113</v>
      </c>
    </row>
    <row r="15" spans="6:12" ht="18.8" customHeight="1" x14ac:dyDescent="0.25">
      <c r="F15" s="4" t="s">
        <v>28</v>
      </c>
      <c r="G15" s="5" t="s">
        <v>181</v>
      </c>
      <c r="H15" s="12"/>
      <c r="I15" s="8"/>
    </row>
    <row r="16" spans="6:12" ht="18.8" customHeight="1" x14ac:dyDescent="0.25">
      <c r="F16" s="4" t="s">
        <v>38</v>
      </c>
      <c r="G16" s="10" t="s">
        <v>116</v>
      </c>
      <c r="H16" s="12"/>
      <c r="I16" s="8" t="s">
        <v>114</v>
      </c>
    </row>
    <row r="17" spans="6:9" ht="18.8" customHeight="1" x14ac:dyDescent="0.25">
      <c r="F17" s="4" t="s">
        <v>39</v>
      </c>
      <c r="G17" s="10" t="s">
        <v>117</v>
      </c>
      <c r="H17" s="12"/>
      <c r="I17" s="8" t="s">
        <v>115</v>
      </c>
    </row>
    <row r="18" spans="6:9" x14ac:dyDescent="0.25">
      <c r="F18" s="4" t="s">
        <v>29</v>
      </c>
      <c r="G18" s="10" t="s">
        <v>54</v>
      </c>
      <c r="I18" s="8"/>
    </row>
    <row r="19" spans="6:9" x14ac:dyDescent="0.25">
      <c r="F19" s="4" t="s">
        <v>40</v>
      </c>
      <c r="G19" s="10" t="s">
        <v>151</v>
      </c>
      <c r="I19" s="8"/>
    </row>
    <row r="20" spans="6:9" x14ac:dyDescent="0.25">
      <c r="F20" s="4" t="s">
        <v>46</v>
      </c>
      <c r="G20" s="4" t="s">
        <v>242</v>
      </c>
      <c r="I20" s="8"/>
    </row>
    <row r="21" spans="6:9" x14ac:dyDescent="0.25">
      <c r="F21" s="4" t="s">
        <v>47</v>
      </c>
      <c r="G21" s="4" t="s">
        <v>241</v>
      </c>
      <c r="I21" s="8"/>
    </row>
    <row r="22" spans="6:9" x14ac:dyDescent="0.25">
      <c r="F22" s="4" t="s">
        <v>48</v>
      </c>
      <c r="G22" s="4" t="s">
        <v>243</v>
      </c>
      <c r="I22" s="8"/>
    </row>
    <row r="23" spans="6:9" x14ac:dyDescent="0.25">
      <c r="F23" s="4" t="s">
        <v>49</v>
      </c>
      <c r="G23" s="4" t="s">
        <v>55</v>
      </c>
      <c r="I23" s="8"/>
    </row>
    <row r="24" spans="6:9" x14ac:dyDescent="0.25">
      <c r="F24" s="4" t="s">
        <v>50</v>
      </c>
      <c r="H24" s="3"/>
      <c r="I24" s="8"/>
    </row>
    <row r="25" spans="6:9" x14ac:dyDescent="0.25">
      <c r="F25" s="4" t="s">
        <v>51</v>
      </c>
      <c r="I25" s="8"/>
    </row>
    <row r="26" spans="6:9" x14ac:dyDescent="0.25">
      <c r="F26" s="4" t="s">
        <v>41</v>
      </c>
      <c r="I26" s="8"/>
    </row>
    <row r="27" spans="6:9" x14ac:dyDescent="0.25">
      <c r="F27" s="4" t="s">
        <v>30</v>
      </c>
      <c r="I27" s="8"/>
    </row>
    <row r="28" spans="6:9" x14ac:dyDescent="0.25">
      <c r="F28" s="4" t="s">
        <v>42</v>
      </c>
      <c r="I28" s="8"/>
    </row>
    <row r="29" spans="6:9" x14ac:dyDescent="0.25">
      <c r="F29" s="4" t="s">
        <v>43</v>
      </c>
      <c r="I29" s="8"/>
    </row>
    <row r="30" spans="6:9" x14ac:dyDescent="0.25">
      <c r="F30" s="4" t="s">
        <v>44</v>
      </c>
      <c r="I30" s="8"/>
    </row>
    <row r="31" spans="6:9" x14ac:dyDescent="0.25">
      <c r="F31" s="4" t="s">
        <v>248</v>
      </c>
      <c r="I31" s="8"/>
    </row>
    <row r="32" spans="6:9" x14ac:dyDescent="0.25">
      <c r="F32" s="4" t="s">
        <v>45</v>
      </c>
      <c r="I32" s="8"/>
    </row>
    <row r="33" spans="6:9" x14ac:dyDescent="0.25">
      <c r="F33" s="4" t="s">
        <v>52</v>
      </c>
      <c r="I33" s="8"/>
    </row>
    <row r="34" spans="6:9" x14ac:dyDescent="0.25">
      <c r="I34" s="8"/>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CDB3C-4D82-4FC0-BAC2-0585549D4D7F}">
  <dimension ref="B1:B1401"/>
  <sheetViews>
    <sheetView topLeftCell="A163" workbookViewId="0">
      <selection activeCell="B181" sqref="B181"/>
    </sheetView>
  </sheetViews>
  <sheetFormatPr baseColWidth="10" defaultRowHeight="20.85" customHeight="1" x14ac:dyDescent="0.25"/>
  <cols>
    <col min="1" max="1" width="11.5546875" style="4"/>
    <col min="2" max="2" width="170.21875" style="4" customWidth="1"/>
    <col min="3" max="16384" width="11.5546875" style="4"/>
  </cols>
  <sheetData>
    <row r="1" spans="2:2" ht="20.85" customHeight="1" thickBot="1" x14ac:dyDescent="0.3"/>
    <row r="2" spans="2:2" ht="20.85" customHeight="1" x14ac:dyDescent="0.25">
      <c r="B2" s="307" t="s">
        <v>443</v>
      </c>
    </row>
    <row r="3" spans="2:2" ht="20.85" customHeight="1" x14ac:dyDescent="0.25">
      <c r="B3" s="303" t="s">
        <v>444</v>
      </c>
    </row>
    <row r="4" spans="2:2" ht="20.85" customHeight="1" x14ac:dyDescent="0.25">
      <c r="B4" s="303" t="s">
        <v>445</v>
      </c>
    </row>
    <row r="5" spans="2:2" ht="20.85" customHeight="1" x14ac:dyDescent="0.25">
      <c r="B5" s="303" t="s">
        <v>446</v>
      </c>
    </row>
    <row r="6" spans="2:2" ht="20.85" customHeight="1" x14ac:dyDescent="0.25">
      <c r="B6" s="308" t="s">
        <v>447</v>
      </c>
    </row>
    <row r="7" spans="2:2" ht="20.85" customHeight="1" x14ac:dyDescent="0.25">
      <c r="B7" s="303" t="s">
        <v>448</v>
      </c>
    </row>
    <row r="8" spans="2:2" ht="20.85" customHeight="1" x14ac:dyDescent="0.25">
      <c r="B8" s="303" t="s">
        <v>449</v>
      </c>
    </row>
    <row r="9" spans="2:2" ht="20.85" customHeight="1" x14ac:dyDescent="0.25">
      <c r="B9" s="303" t="s">
        <v>1434</v>
      </c>
    </row>
    <row r="10" spans="2:2" ht="20.85" customHeight="1" x14ac:dyDescent="0.25">
      <c r="B10" s="303" t="s">
        <v>450</v>
      </c>
    </row>
    <row r="11" spans="2:2" ht="20.85" customHeight="1" x14ac:dyDescent="0.25">
      <c r="B11" s="303" t="s">
        <v>451</v>
      </c>
    </row>
    <row r="12" spans="2:2" ht="20.85" customHeight="1" x14ac:dyDescent="0.25">
      <c r="B12" s="303" t="s">
        <v>452</v>
      </c>
    </row>
    <row r="13" spans="2:2" ht="20.85" customHeight="1" x14ac:dyDescent="0.25">
      <c r="B13" s="303" t="s">
        <v>453</v>
      </c>
    </row>
    <row r="14" spans="2:2" ht="20.85" customHeight="1" x14ac:dyDescent="0.25">
      <c r="B14" s="303" t="s">
        <v>454</v>
      </c>
    </row>
    <row r="15" spans="2:2" ht="20.85" customHeight="1" x14ac:dyDescent="0.25">
      <c r="B15" s="303" t="s">
        <v>455</v>
      </c>
    </row>
    <row r="16" spans="2:2" ht="20.85" customHeight="1" x14ac:dyDescent="0.25">
      <c r="B16" s="303" t="s">
        <v>1435</v>
      </c>
    </row>
    <row r="17" spans="2:2" ht="20.85" customHeight="1" x14ac:dyDescent="0.25">
      <c r="B17" s="303" t="s">
        <v>1436</v>
      </c>
    </row>
    <row r="18" spans="2:2" ht="20.85" customHeight="1" x14ac:dyDescent="0.25">
      <c r="B18" s="303" t="s">
        <v>456</v>
      </c>
    </row>
    <row r="19" spans="2:2" ht="20.85" customHeight="1" x14ac:dyDescent="0.25">
      <c r="B19" s="303" t="s">
        <v>457</v>
      </c>
    </row>
    <row r="20" spans="2:2" ht="20.85" customHeight="1" x14ac:dyDescent="0.25">
      <c r="B20" s="303" t="s">
        <v>458</v>
      </c>
    </row>
    <row r="21" spans="2:2" ht="20.85" customHeight="1" x14ac:dyDescent="0.25">
      <c r="B21" s="303" t="s">
        <v>459</v>
      </c>
    </row>
    <row r="22" spans="2:2" ht="20.85" customHeight="1" x14ac:dyDescent="0.25">
      <c r="B22" s="303" t="s">
        <v>1437</v>
      </c>
    </row>
    <row r="23" spans="2:2" ht="20.85" customHeight="1" x14ac:dyDescent="0.25">
      <c r="B23" s="303" t="s">
        <v>460</v>
      </c>
    </row>
    <row r="24" spans="2:2" ht="20.85" customHeight="1" x14ac:dyDescent="0.25">
      <c r="B24" s="303" t="s">
        <v>1438</v>
      </c>
    </row>
    <row r="25" spans="2:2" ht="20.85" customHeight="1" x14ac:dyDescent="0.25">
      <c r="B25" s="297" t="s">
        <v>461</v>
      </c>
    </row>
    <row r="26" spans="2:2" ht="20.85" customHeight="1" x14ac:dyDescent="0.25">
      <c r="B26" s="303" t="s">
        <v>462</v>
      </c>
    </row>
    <row r="27" spans="2:2" ht="20.85" customHeight="1" x14ac:dyDescent="0.25">
      <c r="B27" s="303" t="s">
        <v>463</v>
      </c>
    </row>
    <row r="28" spans="2:2" ht="20.85" customHeight="1" x14ac:dyDescent="0.25">
      <c r="B28" s="303" t="s">
        <v>464</v>
      </c>
    </row>
    <row r="29" spans="2:2" ht="20.85" customHeight="1" x14ac:dyDescent="0.25">
      <c r="B29" s="297" t="s">
        <v>465</v>
      </c>
    </row>
    <row r="30" spans="2:2" ht="20.85" customHeight="1" x14ac:dyDescent="0.25">
      <c r="B30" s="303" t="s">
        <v>466</v>
      </c>
    </row>
    <row r="31" spans="2:2" ht="20.85" customHeight="1" x14ac:dyDescent="0.25">
      <c r="B31" s="303" t="s">
        <v>467</v>
      </c>
    </row>
    <row r="32" spans="2:2" ht="20.85" customHeight="1" x14ac:dyDescent="0.25">
      <c r="B32" s="297" t="s">
        <v>468</v>
      </c>
    </row>
    <row r="33" spans="2:2" ht="20.85" customHeight="1" x14ac:dyDescent="0.25">
      <c r="B33" s="303" t="s">
        <v>469</v>
      </c>
    </row>
    <row r="34" spans="2:2" ht="20.85" customHeight="1" x14ac:dyDescent="0.25">
      <c r="B34" s="303" t="s">
        <v>470</v>
      </c>
    </row>
    <row r="35" spans="2:2" ht="20.85" customHeight="1" x14ac:dyDescent="0.25">
      <c r="B35" s="303" t="s">
        <v>471</v>
      </c>
    </row>
    <row r="36" spans="2:2" ht="20.85" customHeight="1" x14ac:dyDescent="0.25">
      <c r="B36" s="303" t="s">
        <v>472</v>
      </c>
    </row>
    <row r="37" spans="2:2" ht="20.85" customHeight="1" x14ac:dyDescent="0.25">
      <c r="B37" s="303" t="s">
        <v>473</v>
      </c>
    </row>
    <row r="38" spans="2:2" ht="20.85" customHeight="1" x14ac:dyDescent="0.25">
      <c r="B38" s="308" t="s">
        <v>474</v>
      </c>
    </row>
    <row r="39" spans="2:2" ht="20.85" customHeight="1" x14ac:dyDescent="0.25">
      <c r="B39" s="303" t="s">
        <v>475</v>
      </c>
    </row>
    <row r="40" spans="2:2" ht="20.85" customHeight="1" x14ac:dyDescent="0.25">
      <c r="B40" s="303" t="s">
        <v>476</v>
      </c>
    </row>
    <row r="41" spans="2:2" ht="20.85" customHeight="1" x14ac:dyDescent="0.25">
      <c r="B41" s="303" t="s">
        <v>477</v>
      </c>
    </row>
    <row r="42" spans="2:2" ht="20.85" customHeight="1" x14ac:dyDescent="0.25">
      <c r="B42" s="303" t="s">
        <v>1439</v>
      </c>
    </row>
    <row r="43" spans="2:2" ht="20.85" customHeight="1" x14ac:dyDescent="0.25">
      <c r="B43" s="303" t="s">
        <v>478</v>
      </c>
    </row>
    <row r="44" spans="2:2" ht="20.85" customHeight="1" x14ac:dyDescent="0.25">
      <c r="B44" s="303" t="s">
        <v>479</v>
      </c>
    </row>
    <row r="45" spans="2:2" ht="20.85" customHeight="1" x14ac:dyDescent="0.25">
      <c r="B45" s="303" t="s">
        <v>480</v>
      </c>
    </row>
    <row r="46" spans="2:2" ht="20.85" customHeight="1" x14ac:dyDescent="0.25">
      <c r="B46" s="303" t="s">
        <v>481</v>
      </c>
    </row>
    <row r="47" spans="2:2" ht="20.85" customHeight="1" x14ac:dyDescent="0.25">
      <c r="B47" s="308" t="s">
        <v>482</v>
      </c>
    </row>
    <row r="48" spans="2:2" ht="20.85" customHeight="1" x14ac:dyDescent="0.25">
      <c r="B48" s="303" t="s">
        <v>483</v>
      </c>
    </row>
    <row r="49" spans="2:2" ht="20.85" customHeight="1" x14ac:dyDescent="0.25">
      <c r="B49" s="303" t="s">
        <v>484</v>
      </c>
    </row>
    <row r="50" spans="2:2" ht="20.85" customHeight="1" x14ac:dyDescent="0.25">
      <c r="B50" s="303" t="s">
        <v>1440</v>
      </c>
    </row>
    <row r="51" spans="2:2" ht="20.85" customHeight="1" x14ac:dyDescent="0.25">
      <c r="B51" s="303" t="s">
        <v>1441</v>
      </c>
    </row>
    <row r="52" spans="2:2" ht="20.85" customHeight="1" x14ac:dyDescent="0.25">
      <c r="B52" s="303" t="s">
        <v>485</v>
      </c>
    </row>
    <row r="53" spans="2:2" ht="20.85" customHeight="1" x14ac:dyDescent="0.25">
      <c r="B53" s="303" t="s">
        <v>486</v>
      </c>
    </row>
    <row r="54" spans="2:2" ht="20.85" customHeight="1" x14ac:dyDescent="0.25">
      <c r="B54" s="303" t="s">
        <v>487</v>
      </c>
    </row>
    <row r="55" spans="2:2" ht="20.85" customHeight="1" x14ac:dyDescent="0.25">
      <c r="B55" s="297" t="s">
        <v>488</v>
      </c>
    </row>
    <row r="56" spans="2:2" ht="20.85" customHeight="1" x14ac:dyDescent="0.25">
      <c r="B56" s="303" t="s">
        <v>489</v>
      </c>
    </row>
    <row r="57" spans="2:2" ht="20.85" customHeight="1" x14ac:dyDescent="0.25">
      <c r="B57" s="303" t="s">
        <v>490</v>
      </c>
    </row>
    <row r="58" spans="2:2" ht="20.85" customHeight="1" x14ac:dyDescent="0.25">
      <c r="B58" s="308" t="s">
        <v>491</v>
      </c>
    </row>
    <row r="59" spans="2:2" ht="20.85" customHeight="1" x14ac:dyDescent="0.25">
      <c r="B59" s="303" t="s">
        <v>492</v>
      </c>
    </row>
    <row r="60" spans="2:2" ht="20.85" customHeight="1" x14ac:dyDescent="0.25">
      <c r="B60" s="303" t="s">
        <v>493</v>
      </c>
    </row>
    <row r="61" spans="2:2" ht="20.85" customHeight="1" x14ac:dyDescent="0.25">
      <c r="B61" s="303" t="s">
        <v>494</v>
      </c>
    </row>
    <row r="62" spans="2:2" ht="20.85" customHeight="1" x14ac:dyDescent="0.25">
      <c r="B62" s="303" t="s">
        <v>495</v>
      </c>
    </row>
    <row r="63" spans="2:2" ht="20.85" customHeight="1" x14ac:dyDescent="0.25">
      <c r="B63" s="303" t="s">
        <v>496</v>
      </c>
    </row>
    <row r="64" spans="2:2" ht="20.85" customHeight="1" x14ac:dyDescent="0.25">
      <c r="B64" s="303" t="s">
        <v>497</v>
      </c>
    </row>
    <row r="65" spans="2:2" ht="20.85" customHeight="1" x14ac:dyDescent="0.25">
      <c r="B65" s="303" t="s">
        <v>498</v>
      </c>
    </row>
    <row r="66" spans="2:2" ht="20.85" customHeight="1" x14ac:dyDescent="0.25">
      <c r="B66" s="303" t="s">
        <v>499</v>
      </c>
    </row>
    <row r="67" spans="2:2" ht="20.85" customHeight="1" x14ac:dyDescent="0.25">
      <c r="B67" s="303" t="s">
        <v>1442</v>
      </c>
    </row>
    <row r="68" spans="2:2" ht="20.85" customHeight="1" x14ac:dyDescent="0.25">
      <c r="B68" s="303" t="s">
        <v>500</v>
      </c>
    </row>
    <row r="69" spans="2:2" ht="20.85" customHeight="1" x14ac:dyDescent="0.25">
      <c r="B69" s="303" t="s">
        <v>501</v>
      </c>
    </row>
    <row r="70" spans="2:2" ht="20.85" customHeight="1" x14ac:dyDescent="0.25">
      <c r="B70" s="303" t="s">
        <v>502</v>
      </c>
    </row>
    <row r="71" spans="2:2" ht="20.85" customHeight="1" x14ac:dyDescent="0.25">
      <c r="B71" s="303" t="s">
        <v>1443</v>
      </c>
    </row>
    <row r="72" spans="2:2" ht="20.85" customHeight="1" x14ac:dyDescent="0.25">
      <c r="B72" s="303" t="s">
        <v>503</v>
      </c>
    </row>
    <row r="73" spans="2:2" ht="20.85" customHeight="1" x14ac:dyDescent="0.25">
      <c r="B73" s="308" t="s">
        <v>504</v>
      </c>
    </row>
    <row r="74" spans="2:2" ht="20.85" customHeight="1" x14ac:dyDescent="0.25">
      <c r="B74" s="303" t="s">
        <v>505</v>
      </c>
    </row>
    <row r="75" spans="2:2" ht="20.85" customHeight="1" x14ac:dyDescent="0.25">
      <c r="B75" s="303" t="s">
        <v>506</v>
      </c>
    </row>
    <row r="76" spans="2:2" ht="20.85" customHeight="1" x14ac:dyDescent="0.25">
      <c r="B76" s="303" t="s">
        <v>507</v>
      </c>
    </row>
    <row r="77" spans="2:2" ht="20.85" customHeight="1" x14ac:dyDescent="0.25">
      <c r="B77" s="303" t="s">
        <v>508</v>
      </c>
    </row>
    <row r="78" spans="2:2" ht="20.85" customHeight="1" x14ac:dyDescent="0.25">
      <c r="B78" s="303" t="s">
        <v>1444</v>
      </c>
    </row>
    <row r="79" spans="2:2" ht="20.85" customHeight="1" x14ac:dyDescent="0.25">
      <c r="B79" s="303" t="s">
        <v>1445</v>
      </c>
    </row>
    <row r="80" spans="2:2" ht="20.85" customHeight="1" x14ac:dyDescent="0.25">
      <c r="B80" s="303" t="s">
        <v>509</v>
      </c>
    </row>
    <row r="81" spans="2:2" ht="20.85" customHeight="1" x14ac:dyDescent="0.25">
      <c r="B81" s="303" t="s">
        <v>510</v>
      </c>
    </row>
    <row r="82" spans="2:2" ht="20.85" customHeight="1" x14ac:dyDescent="0.25">
      <c r="B82" s="308" t="s">
        <v>511</v>
      </c>
    </row>
    <row r="83" spans="2:2" ht="20.85" customHeight="1" x14ac:dyDescent="0.25">
      <c r="B83" s="303" t="s">
        <v>512</v>
      </c>
    </row>
    <row r="84" spans="2:2" ht="20.85" customHeight="1" x14ac:dyDescent="0.25">
      <c r="B84" s="303" t="s">
        <v>513</v>
      </c>
    </row>
    <row r="85" spans="2:2" ht="20.85" customHeight="1" x14ac:dyDescent="0.25">
      <c r="B85" s="303" t="s">
        <v>514</v>
      </c>
    </row>
    <row r="86" spans="2:2" ht="20.85" customHeight="1" x14ac:dyDescent="0.25">
      <c r="B86" s="303" t="s">
        <v>515</v>
      </c>
    </row>
    <row r="87" spans="2:2" ht="20.85" customHeight="1" x14ac:dyDescent="0.25">
      <c r="B87" s="303" t="s">
        <v>516</v>
      </c>
    </row>
    <row r="88" spans="2:2" ht="20.85" customHeight="1" x14ac:dyDescent="0.25">
      <c r="B88" s="297" t="s">
        <v>517</v>
      </c>
    </row>
    <row r="89" spans="2:2" ht="20.85" customHeight="1" x14ac:dyDescent="0.25">
      <c r="B89" s="297" t="s">
        <v>518</v>
      </c>
    </row>
    <row r="90" spans="2:2" ht="20.85" customHeight="1" x14ac:dyDescent="0.25">
      <c r="B90" s="303" t="s">
        <v>519</v>
      </c>
    </row>
    <row r="91" spans="2:2" ht="20.85" customHeight="1" x14ac:dyDescent="0.25">
      <c r="B91" s="303" t="s">
        <v>520</v>
      </c>
    </row>
    <row r="92" spans="2:2" ht="20.85" customHeight="1" x14ac:dyDescent="0.25">
      <c r="B92" s="303" t="s">
        <v>1446</v>
      </c>
    </row>
    <row r="93" spans="2:2" ht="20.85" customHeight="1" x14ac:dyDescent="0.25">
      <c r="B93" s="303" t="s">
        <v>1447</v>
      </c>
    </row>
    <row r="94" spans="2:2" ht="20.85" customHeight="1" x14ac:dyDescent="0.25">
      <c r="B94" s="303" t="s">
        <v>1448</v>
      </c>
    </row>
    <row r="95" spans="2:2" ht="20.85" customHeight="1" x14ac:dyDescent="0.25">
      <c r="B95" s="303" t="s">
        <v>1449</v>
      </c>
    </row>
    <row r="96" spans="2:2" ht="20.85" customHeight="1" x14ac:dyDescent="0.25">
      <c r="B96" s="303" t="s">
        <v>521</v>
      </c>
    </row>
    <row r="97" spans="2:2" ht="20.85" customHeight="1" x14ac:dyDescent="0.25">
      <c r="B97" s="303" t="s">
        <v>1450</v>
      </c>
    </row>
    <row r="98" spans="2:2" ht="20.85" customHeight="1" x14ac:dyDescent="0.25">
      <c r="B98" s="303" t="s">
        <v>1451</v>
      </c>
    </row>
    <row r="99" spans="2:2" ht="20.85" customHeight="1" x14ac:dyDescent="0.25">
      <c r="B99" s="303" t="s">
        <v>1452</v>
      </c>
    </row>
    <row r="100" spans="2:2" ht="20.85" customHeight="1" x14ac:dyDescent="0.25">
      <c r="B100" s="308" t="s">
        <v>522</v>
      </c>
    </row>
    <row r="101" spans="2:2" ht="20.85" customHeight="1" x14ac:dyDescent="0.25">
      <c r="B101" s="303" t="s">
        <v>523</v>
      </c>
    </row>
    <row r="102" spans="2:2" ht="20.85" customHeight="1" x14ac:dyDescent="0.25">
      <c r="B102" s="303" t="s">
        <v>524</v>
      </c>
    </row>
    <row r="103" spans="2:2" ht="20.85" customHeight="1" x14ac:dyDescent="0.25">
      <c r="B103" s="303" t="s">
        <v>525</v>
      </c>
    </row>
    <row r="104" spans="2:2" ht="20.85" customHeight="1" x14ac:dyDescent="0.25">
      <c r="B104" s="308" t="s">
        <v>526</v>
      </c>
    </row>
    <row r="105" spans="2:2" ht="20.85" customHeight="1" x14ac:dyDescent="0.25">
      <c r="B105" s="303" t="s">
        <v>527</v>
      </c>
    </row>
    <row r="106" spans="2:2" ht="20.85" customHeight="1" x14ac:dyDescent="0.25">
      <c r="B106" s="303" t="s">
        <v>528</v>
      </c>
    </row>
    <row r="107" spans="2:2" ht="20.85" customHeight="1" x14ac:dyDescent="0.25">
      <c r="B107" s="297" t="s">
        <v>529</v>
      </c>
    </row>
    <row r="108" spans="2:2" ht="20.85" customHeight="1" x14ac:dyDescent="0.25">
      <c r="B108" s="303" t="s">
        <v>1453</v>
      </c>
    </row>
    <row r="109" spans="2:2" ht="20.85" customHeight="1" x14ac:dyDescent="0.25">
      <c r="B109" s="303" t="s">
        <v>530</v>
      </c>
    </row>
    <row r="110" spans="2:2" ht="20.85" customHeight="1" x14ac:dyDescent="0.25">
      <c r="B110" s="308" t="s">
        <v>531</v>
      </c>
    </row>
    <row r="111" spans="2:2" ht="20.85" customHeight="1" x14ac:dyDescent="0.25">
      <c r="B111" s="303" t="s">
        <v>1454</v>
      </c>
    </row>
    <row r="112" spans="2:2" ht="20.85" customHeight="1" x14ac:dyDescent="0.25">
      <c r="B112" s="303" t="s">
        <v>532</v>
      </c>
    </row>
    <row r="113" spans="2:2" ht="20.85" customHeight="1" x14ac:dyDescent="0.25">
      <c r="B113" s="303" t="s">
        <v>533</v>
      </c>
    </row>
    <row r="114" spans="2:2" ht="20.85" customHeight="1" x14ac:dyDescent="0.25">
      <c r="B114" s="303" t="s">
        <v>1455</v>
      </c>
    </row>
    <row r="115" spans="2:2" ht="20.85" customHeight="1" x14ac:dyDescent="0.25">
      <c r="B115" s="303" t="s">
        <v>1456</v>
      </c>
    </row>
    <row r="116" spans="2:2" ht="20.85" customHeight="1" x14ac:dyDescent="0.25">
      <c r="B116" s="297" t="s">
        <v>534</v>
      </c>
    </row>
    <row r="117" spans="2:2" ht="20.85" customHeight="1" x14ac:dyDescent="0.25">
      <c r="B117" s="303" t="s">
        <v>535</v>
      </c>
    </row>
    <row r="118" spans="2:2" ht="20.85" customHeight="1" x14ac:dyDescent="0.25">
      <c r="B118" s="303" t="s">
        <v>536</v>
      </c>
    </row>
    <row r="119" spans="2:2" ht="20.85" customHeight="1" x14ac:dyDescent="0.25">
      <c r="B119" s="303" t="s">
        <v>1457</v>
      </c>
    </row>
    <row r="120" spans="2:2" ht="20.85" customHeight="1" x14ac:dyDescent="0.25">
      <c r="B120" s="303" t="s">
        <v>1458</v>
      </c>
    </row>
    <row r="121" spans="2:2" ht="20.85" customHeight="1" x14ac:dyDescent="0.25">
      <c r="B121" s="303" t="s">
        <v>537</v>
      </c>
    </row>
    <row r="122" spans="2:2" ht="20.85" customHeight="1" x14ac:dyDescent="0.25">
      <c r="B122" s="303" t="s">
        <v>538</v>
      </c>
    </row>
    <row r="123" spans="2:2" ht="20.85" customHeight="1" x14ac:dyDescent="0.25">
      <c r="B123" s="308" t="s">
        <v>539</v>
      </c>
    </row>
    <row r="124" spans="2:2" ht="20.85" customHeight="1" x14ac:dyDescent="0.25">
      <c r="B124" s="309" t="s">
        <v>540</v>
      </c>
    </row>
    <row r="125" spans="2:2" ht="20.85" customHeight="1" x14ac:dyDescent="0.25">
      <c r="B125" s="303" t="s">
        <v>541</v>
      </c>
    </row>
    <row r="126" spans="2:2" ht="20.85" customHeight="1" x14ac:dyDescent="0.25">
      <c r="B126" s="303" t="s">
        <v>542</v>
      </c>
    </row>
    <row r="127" spans="2:2" ht="20.85" customHeight="1" x14ac:dyDescent="0.25">
      <c r="B127" s="303" t="s">
        <v>543</v>
      </c>
    </row>
    <row r="128" spans="2:2" ht="20.85" customHeight="1" x14ac:dyDescent="0.25">
      <c r="B128" s="303" t="s">
        <v>544</v>
      </c>
    </row>
    <row r="129" spans="2:2" ht="20.85" customHeight="1" x14ac:dyDescent="0.25">
      <c r="B129" s="303" t="s">
        <v>545</v>
      </c>
    </row>
    <row r="130" spans="2:2" ht="20.85" customHeight="1" x14ac:dyDescent="0.25">
      <c r="B130" s="303" t="s">
        <v>546</v>
      </c>
    </row>
    <row r="131" spans="2:2" ht="20.85" customHeight="1" x14ac:dyDescent="0.25">
      <c r="B131" s="308" t="s">
        <v>547</v>
      </c>
    </row>
    <row r="132" spans="2:2" ht="20.85" customHeight="1" x14ac:dyDescent="0.25">
      <c r="B132" s="303" t="s">
        <v>548</v>
      </c>
    </row>
    <row r="133" spans="2:2" ht="20.85" customHeight="1" x14ac:dyDescent="0.25">
      <c r="B133" s="303" t="s">
        <v>549</v>
      </c>
    </row>
    <row r="134" spans="2:2" ht="20.85" customHeight="1" x14ac:dyDescent="0.25">
      <c r="B134" s="303" t="s">
        <v>550</v>
      </c>
    </row>
    <row r="135" spans="2:2" ht="20.85" customHeight="1" x14ac:dyDescent="0.25">
      <c r="B135" s="308" t="s">
        <v>551</v>
      </c>
    </row>
    <row r="136" spans="2:2" ht="20.85" customHeight="1" x14ac:dyDescent="0.25">
      <c r="B136" s="303" t="s">
        <v>552</v>
      </c>
    </row>
    <row r="137" spans="2:2" ht="20.85" customHeight="1" x14ac:dyDescent="0.25">
      <c r="B137" s="303" t="s">
        <v>553</v>
      </c>
    </row>
    <row r="138" spans="2:2" ht="20.85" customHeight="1" x14ac:dyDescent="0.25">
      <c r="B138" s="303" t="s">
        <v>1459</v>
      </c>
    </row>
    <row r="139" spans="2:2" ht="20.85" customHeight="1" x14ac:dyDescent="0.25">
      <c r="B139" s="297" t="s">
        <v>554</v>
      </c>
    </row>
    <row r="140" spans="2:2" ht="20.85" customHeight="1" x14ac:dyDescent="0.25">
      <c r="B140" s="303" t="s">
        <v>1460</v>
      </c>
    </row>
    <row r="141" spans="2:2" ht="20.85" customHeight="1" x14ac:dyDescent="0.25">
      <c r="B141" s="303" t="s">
        <v>555</v>
      </c>
    </row>
    <row r="142" spans="2:2" ht="20.85" customHeight="1" x14ac:dyDescent="0.25">
      <c r="B142" s="303" t="s">
        <v>1461</v>
      </c>
    </row>
    <row r="143" spans="2:2" ht="20.85" customHeight="1" thickBot="1" x14ac:dyDescent="0.3">
      <c r="B143" s="310" t="s">
        <v>1462</v>
      </c>
    </row>
    <row r="144" spans="2:2" ht="20.85" customHeight="1" x14ac:dyDescent="0.25">
      <c r="B144" s="311"/>
    </row>
    <row r="145" spans="2:2" ht="20.85" customHeight="1" thickBot="1" x14ac:dyDescent="0.3">
      <c r="B145" s="311"/>
    </row>
    <row r="146" spans="2:2" ht="20.85" customHeight="1" x14ac:dyDescent="0.25">
      <c r="B146" s="307" t="s">
        <v>1463</v>
      </c>
    </row>
    <row r="147" spans="2:2" ht="20.85" customHeight="1" x14ac:dyDescent="0.25">
      <c r="B147" s="303" t="s">
        <v>1464</v>
      </c>
    </row>
    <row r="148" spans="2:2" ht="20.85" customHeight="1" x14ac:dyDescent="0.25">
      <c r="B148" s="303" t="s">
        <v>1465</v>
      </c>
    </row>
    <row r="149" spans="2:2" ht="20.85" customHeight="1" x14ac:dyDescent="0.25">
      <c r="B149" s="303" t="s">
        <v>1466</v>
      </c>
    </row>
    <row r="150" spans="2:2" ht="20.85" customHeight="1" x14ac:dyDescent="0.25">
      <c r="B150" s="303" t="s">
        <v>1467</v>
      </c>
    </row>
    <row r="151" spans="2:2" ht="20.85" customHeight="1" x14ac:dyDescent="0.25">
      <c r="B151" s="303" t="s">
        <v>1468</v>
      </c>
    </row>
    <row r="152" spans="2:2" ht="20.85" customHeight="1" x14ac:dyDescent="0.25">
      <c r="B152" s="297" t="s">
        <v>556</v>
      </c>
    </row>
    <row r="153" spans="2:2" ht="20.85" customHeight="1" x14ac:dyDescent="0.25">
      <c r="B153" s="303" t="s">
        <v>557</v>
      </c>
    </row>
    <row r="154" spans="2:2" ht="20.85" customHeight="1" x14ac:dyDescent="0.25">
      <c r="B154" s="303" t="s">
        <v>1469</v>
      </c>
    </row>
    <row r="155" spans="2:2" ht="20.85" customHeight="1" x14ac:dyDescent="0.25">
      <c r="B155" s="308" t="s">
        <v>558</v>
      </c>
    </row>
    <row r="156" spans="2:2" ht="20.85" customHeight="1" x14ac:dyDescent="0.25">
      <c r="B156" s="303" t="s">
        <v>1470</v>
      </c>
    </row>
    <row r="157" spans="2:2" ht="20.85" customHeight="1" x14ac:dyDescent="0.25">
      <c r="B157" s="303" t="s">
        <v>559</v>
      </c>
    </row>
    <row r="158" spans="2:2" ht="20.85" customHeight="1" x14ac:dyDescent="0.25">
      <c r="B158" s="297" t="s">
        <v>560</v>
      </c>
    </row>
    <row r="159" spans="2:2" ht="20.85" customHeight="1" x14ac:dyDescent="0.25">
      <c r="B159" s="303" t="s">
        <v>561</v>
      </c>
    </row>
    <row r="160" spans="2:2" ht="20.85" customHeight="1" x14ac:dyDescent="0.25">
      <c r="B160" s="303" t="s">
        <v>562</v>
      </c>
    </row>
    <row r="161" spans="2:2" ht="20.85" customHeight="1" x14ac:dyDescent="0.25">
      <c r="B161" s="303" t="s">
        <v>1471</v>
      </c>
    </row>
    <row r="162" spans="2:2" ht="20.85" customHeight="1" x14ac:dyDescent="0.25">
      <c r="B162" s="303" t="s">
        <v>1472</v>
      </c>
    </row>
    <row r="163" spans="2:2" ht="20.85" customHeight="1" x14ac:dyDescent="0.25">
      <c r="B163" s="303" t="s">
        <v>563</v>
      </c>
    </row>
    <row r="164" spans="2:2" ht="20.85" customHeight="1" x14ac:dyDescent="0.25">
      <c r="B164" s="303" t="s">
        <v>564</v>
      </c>
    </row>
    <row r="165" spans="2:2" ht="20.85" customHeight="1" x14ac:dyDescent="0.25">
      <c r="B165" s="308" t="s">
        <v>565</v>
      </c>
    </row>
    <row r="166" spans="2:2" ht="20.85" customHeight="1" x14ac:dyDescent="0.25">
      <c r="B166" s="303" t="s">
        <v>566</v>
      </c>
    </row>
    <row r="167" spans="2:2" ht="20.85" customHeight="1" x14ac:dyDescent="0.25">
      <c r="B167" s="303" t="s">
        <v>567</v>
      </c>
    </row>
    <row r="168" spans="2:2" ht="20.85" customHeight="1" x14ac:dyDescent="0.25">
      <c r="B168" s="303" t="s">
        <v>568</v>
      </c>
    </row>
    <row r="169" spans="2:2" ht="20.85" customHeight="1" x14ac:dyDescent="0.25">
      <c r="B169" s="303" t="s">
        <v>569</v>
      </c>
    </row>
    <row r="170" spans="2:2" ht="20.85" customHeight="1" x14ac:dyDescent="0.25">
      <c r="B170" s="303" t="s">
        <v>570</v>
      </c>
    </row>
    <row r="171" spans="2:2" ht="20.85" customHeight="1" x14ac:dyDescent="0.25">
      <c r="B171" s="303" t="s">
        <v>1473</v>
      </c>
    </row>
    <row r="172" spans="2:2" ht="20.85" customHeight="1" x14ac:dyDescent="0.25">
      <c r="B172" s="303" t="s">
        <v>571</v>
      </c>
    </row>
    <row r="173" spans="2:2" ht="20.85" customHeight="1" x14ac:dyDescent="0.25">
      <c r="B173" s="303" t="s">
        <v>1474</v>
      </c>
    </row>
    <row r="174" spans="2:2" ht="20.85" customHeight="1" x14ac:dyDescent="0.25">
      <c r="B174" s="303" t="s">
        <v>1475</v>
      </c>
    </row>
    <row r="175" spans="2:2" ht="20.85" customHeight="1" x14ac:dyDescent="0.25">
      <c r="B175" s="303" t="s">
        <v>1476</v>
      </c>
    </row>
    <row r="176" spans="2:2" ht="20.85" customHeight="1" x14ac:dyDescent="0.25">
      <c r="B176" s="303" t="s">
        <v>1477</v>
      </c>
    </row>
    <row r="177" spans="2:2" ht="20.85" customHeight="1" x14ac:dyDescent="0.25">
      <c r="B177" s="308" t="s">
        <v>572</v>
      </c>
    </row>
    <row r="178" spans="2:2" ht="20.85" customHeight="1" x14ac:dyDescent="0.25">
      <c r="B178" s="303" t="s">
        <v>573</v>
      </c>
    </row>
    <row r="179" spans="2:2" ht="20.85" customHeight="1" x14ac:dyDescent="0.25">
      <c r="B179" s="303" t="s">
        <v>1478</v>
      </c>
    </row>
    <row r="180" spans="2:2" ht="20.85" customHeight="1" x14ac:dyDescent="0.25">
      <c r="B180" s="303" t="s">
        <v>1479</v>
      </c>
    </row>
    <row r="181" spans="2:2" ht="20.85" customHeight="1" x14ac:dyDescent="0.25">
      <c r="B181" s="303" t="s">
        <v>574</v>
      </c>
    </row>
    <row r="182" spans="2:2" ht="20.85" customHeight="1" x14ac:dyDescent="0.25">
      <c r="B182" s="297" t="s">
        <v>575</v>
      </c>
    </row>
    <row r="183" spans="2:2" ht="20.85" customHeight="1" x14ac:dyDescent="0.25">
      <c r="B183" s="303" t="s">
        <v>576</v>
      </c>
    </row>
    <row r="184" spans="2:2" ht="20.85" customHeight="1" thickBot="1" x14ac:dyDescent="0.3">
      <c r="B184" s="312" t="s">
        <v>577</v>
      </c>
    </row>
    <row r="185" spans="2:2" ht="20.85" customHeight="1" x14ac:dyDescent="0.25">
      <c r="B185" s="311"/>
    </row>
    <row r="187" spans="2:2" ht="20.85" customHeight="1" thickBot="1" x14ac:dyDescent="0.3">
      <c r="B187" s="298"/>
    </row>
    <row r="188" spans="2:2" ht="20.85" customHeight="1" x14ac:dyDescent="0.25">
      <c r="B188" s="313" t="s">
        <v>1480</v>
      </c>
    </row>
    <row r="189" spans="2:2" ht="20.85" customHeight="1" x14ac:dyDescent="0.25">
      <c r="B189" s="303" t="s">
        <v>578</v>
      </c>
    </row>
    <row r="190" spans="2:2" ht="20.85" customHeight="1" x14ac:dyDescent="0.25">
      <c r="B190" s="303" t="s">
        <v>1481</v>
      </c>
    </row>
    <row r="191" spans="2:2" ht="20.85" customHeight="1" x14ac:dyDescent="0.25">
      <c r="B191" s="303" t="s">
        <v>579</v>
      </c>
    </row>
    <row r="192" spans="2:2" ht="20.85" customHeight="1" x14ac:dyDescent="0.25">
      <c r="B192" s="303" t="s">
        <v>580</v>
      </c>
    </row>
    <row r="193" spans="2:2" ht="20.85" customHeight="1" x14ac:dyDescent="0.25">
      <c r="B193" s="303" t="s">
        <v>1482</v>
      </c>
    </row>
    <row r="194" spans="2:2" ht="20.85" customHeight="1" x14ac:dyDescent="0.25">
      <c r="B194" s="303" t="s">
        <v>1483</v>
      </c>
    </row>
    <row r="195" spans="2:2" ht="20.85" customHeight="1" x14ac:dyDescent="0.25">
      <c r="B195" s="303" t="s">
        <v>581</v>
      </c>
    </row>
    <row r="196" spans="2:2" ht="20.85" customHeight="1" x14ac:dyDescent="0.25">
      <c r="B196" s="303" t="s">
        <v>1484</v>
      </c>
    </row>
    <row r="197" spans="2:2" ht="20.85" customHeight="1" x14ac:dyDescent="0.25">
      <c r="B197" s="303" t="s">
        <v>1485</v>
      </c>
    </row>
    <row r="198" spans="2:2" ht="20.85" customHeight="1" x14ac:dyDescent="0.25">
      <c r="B198" s="303" t="s">
        <v>1486</v>
      </c>
    </row>
    <row r="199" spans="2:2" ht="20.85" customHeight="1" x14ac:dyDescent="0.25">
      <c r="B199" s="303" t="s">
        <v>582</v>
      </c>
    </row>
    <row r="200" spans="2:2" ht="20.85" customHeight="1" x14ac:dyDescent="0.25">
      <c r="B200" s="303" t="s">
        <v>583</v>
      </c>
    </row>
    <row r="201" spans="2:2" ht="20.85" customHeight="1" x14ac:dyDescent="0.25">
      <c r="B201" s="303" t="s">
        <v>584</v>
      </c>
    </row>
    <row r="202" spans="2:2" ht="20.85" customHeight="1" x14ac:dyDescent="0.25">
      <c r="B202" s="308" t="s">
        <v>585</v>
      </c>
    </row>
    <row r="203" spans="2:2" ht="20.85" customHeight="1" x14ac:dyDescent="0.25">
      <c r="B203" s="303" t="s">
        <v>586</v>
      </c>
    </row>
    <row r="204" spans="2:2" ht="20.85" customHeight="1" x14ac:dyDescent="0.25">
      <c r="B204" s="303" t="s">
        <v>587</v>
      </c>
    </row>
    <row r="205" spans="2:2" ht="20.85" customHeight="1" x14ac:dyDescent="0.25">
      <c r="B205" s="308" t="s">
        <v>588</v>
      </c>
    </row>
    <row r="206" spans="2:2" ht="20.85" customHeight="1" x14ac:dyDescent="0.25">
      <c r="B206" s="308" t="s">
        <v>589</v>
      </c>
    </row>
    <row r="207" spans="2:2" ht="20.85" customHeight="1" x14ac:dyDescent="0.25">
      <c r="B207" s="308" t="s">
        <v>590</v>
      </c>
    </row>
    <row r="208" spans="2:2" ht="20.85" customHeight="1" x14ac:dyDescent="0.25">
      <c r="B208" s="303" t="s">
        <v>1487</v>
      </c>
    </row>
    <row r="209" spans="2:2" ht="20.85" customHeight="1" x14ac:dyDescent="0.25">
      <c r="B209" s="314"/>
    </row>
    <row r="210" spans="2:2" ht="20.85" customHeight="1" x14ac:dyDescent="0.25">
      <c r="B210" s="299"/>
    </row>
    <row r="211" spans="2:2" ht="20.85" customHeight="1" x14ac:dyDescent="0.25">
      <c r="B211" s="299"/>
    </row>
    <row r="212" spans="2:2" ht="20.85" customHeight="1" x14ac:dyDescent="0.25">
      <c r="B212" s="299"/>
    </row>
    <row r="213" spans="2:2" ht="20.85" customHeight="1" x14ac:dyDescent="0.25">
      <c r="B213" s="299"/>
    </row>
    <row r="214" spans="2:2" ht="20.85" customHeight="1" x14ac:dyDescent="0.25">
      <c r="B214" s="299"/>
    </row>
    <row r="215" spans="2:2" ht="20.85" customHeight="1" x14ac:dyDescent="0.25">
      <c r="B215" s="299"/>
    </row>
    <row r="216" spans="2:2" ht="20.85" customHeight="1" x14ac:dyDescent="0.25">
      <c r="B216" s="299"/>
    </row>
    <row r="217" spans="2:2" ht="20.85" customHeight="1" x14ac:dyDescent="0.25">
      <c r="B217" s="299"/>
    </row>
    <row r="218" spans="2:2" ht="20.85" customHeight="1" x14ac:dyDescent="0.25">
      <c r="B218" s="299"/>
    </row>
    <row r="219" spans="2:2" ht="20.85" customHeight="1" x14ac:dyDescent="0.25">
      <c r="B219" s="300"/>
    </row>
    <row r="220" spans="2:2" ht="20.85" customHeight="1" x14ac:dyDescent="0.25">
      <c r="B220" s="301" t="s">
        <v>591</v>
      </c>
    </row>
    <row r="221" spans="2:2" ht="20.85" customHeight="1" x14ac:dyDescent="0.25">
      <c r="B221" s="303" t="s">
        <v>1488</v>
      </c>
    </row>
    <row r="222" spans="2:2" ht="20.85" customHeight="1" x14ac:dyDescent="0.25">
      <c r="B222" s="308" t="s">
        <v>1489</v>
      </c>
    </row>
    <row r="223" spans="2:2" ht="20.85" customHeight="1" x14ac:dyDescent="0.25">
      <c r="B223" s="303" t="s">
        <v>1490</v>
      </c>
    </row>
    <row r="224" spans="2:2" ht="20.85" customHeight="1" x14ac:dyDescent="0.25">
      <c r="B224" s="297" t="s">
        <v>592</v>
      </c>
    </row>
    <row r="225" spans="2:2" ht="20.85" customHeight="1" x14ac:dyDescent="0.25">
      <c r="B225" s="303" t="s">
        <v>1491</v>
      </c>
    </row>
    <row r="226" spans="2:2" ht="20.85" customHeight="1" x14ac:dyDescent="0.25">
      <c r="B226" s="303" t="s">
        <v>593</v>
      </c>
    </row>
    <row r="227" spans="2:2" ht="20.85" customHeight="1" x14ac:dyDescent="0.25">
      <c r="B227" s="303" t="s">
        <v>1492</v>
      </c>
    </row>
    <row r="228" spans="2:2" ht="20.85" customHeight="1" x14ac:dyDescent="0.25">
      <c r="B228" s="302" t="s">
        <v>594</v>
      </c>
    </row>
    <row r="229" spans="2:2" ht="20.85" customHeight="1" x14ac:dyDescent="0.25">
      <c r="B229" s="303" t="s">
        <v>1493</v>
      </c>
    </row>
    <row r="230" spans="2:2" ht="20.85" customHeight="1" x14ac:dyDescent="0.25">
      <c r="B230" s="303" t="s">
        <v>595</v>
      </c>
    </row>
    <row r="231" spans="2:2" ht="20.85" customHeight="1" x14ac:dyDescent="0.25">
      <c r="B231" s="303" t="s">
        <v>1494</v>
      </c>
    </row>
    <row r="232" spans="2:2" ht="20.85" customHeight="1" x14ac:dyDescent="0.25">
      <c r="B232" s="303" t="s">
        <v>1495</v>
      </c>
    </row>
    <row r="233" spans="2:2" ht="20.85" customHeight="1" x14ac:dyDescent="0.25">
      <c r="B233" s="303" t="s">
        <v>1496</v>
      </c>
    </row>
    <row r="234" spans="2:2" ht="20.85" customHeight="1" x14ac:dyDescent="0.25">
      <c r="B234" s="303" t="s">
        <v>596</v>
      </c>
    </row>
    <row r="235" spans="2:2" ht="20.85" customHeight="1" x14ac:dyDescent="0.25">
      <c r="B235" s="303" t="s">
        <v>597</v>
      </c>
    </row>
    <row r="236" spans="2:2" ht="20.85" customHeight="1" x14ac:dyDescent="0.25">
      <c r="B236" s="303" t="s">
        <v>1497</v>
      </c>
    </row>
    <row r="237" spans="2:2" ht="20.85" customHeight="1" x14ac:dyDescent="0.25">
      <c r="B237" s="308" t="s">
        <v>598</v>
      </c>
    </row>
    <row r="238" spans="2:2" ht="20.85" customHeight="1" x14ac:dyDescent="0.25">
      <c r="B238" s="303" t="s">
        <v>1498</v>
      </c>
    </row>
    <row r="239" spans="2:2" ht="20.85" customHeight="1" x14ac:dyDescent="0.25">
      <c r="B239" s="303" t="s">
        <v>599</v>
      </c>
    </row>
    <row r="240" spans="2:2" ht="20.85" customHeight="1" x14ac:dyDescent="0.25">
      <c r="B240" s="303" t="s">
        <v>600</v>
      </c>
    </row>
    <row r="241" spans="2:2" ht="20.85" customHeight="1" x14ac:dyDescent="0.25">
      <c r="B241" s="303" t="s">
        <v>601</v>
      </c>
    </row>
    <row r="242" spans="2:2" ht="20.85" customHeight="1" x14ac:dyDescent="0.25">
      <c r="B242" s="303" t="s">
        <v>602</v>
      </c>
    </row>
    <row r="243" spans="2:2" ht="20.85" customHeight="1" x14ac:dyDescent="0.25">
      <c r="B243" s="303" t="s">
        <v>1499</v>
      </c>
    </row>
    <row r="244" spans="2:2" ht="20.85" customHeight="1" x14ac:dyDescent="0.25">
      <c r="B244" s="308" t="s">
        <v>603</v>
      </c>
    </row>
    <row r="245" spans="2:2" ht="20.85" customHeight="1" x14ac:dyDescent="0.25">
      <c r="B245" s="303" t="s">
        <v>604</v>
      </c>
    </row>
    <row r="246" spans="2:2" ht="20.85" customHeight="1" x14ac:dyDescent="0.25">
      <c r="B246" s="303" t="s">
        <v>605</v>
      </c>
    </row>
    <row r="247" spans="2:2" ht="20.85" customHeight="1" x14ac:dyDescent="0.25">
      <c r="B247" s="303" t="s">
        <v>1500</v>
      </c>
    </row>
    <row r="248" spans="2:2" ht="20.85" customHeight="1" x14ac:dyDescent="0.25">
      <c r="B248" s="303" t="s">
        <v>1501</v>
      </c>
    </row>
    <row r="249" spans="2:2" ht="20.85" customHeight="1" x14ac:dyDescent="0.25">
      <c r="B249" s="303" t="s">
        <v>1502</v>
      </c>
    </row>
    <row r="250" spans="2:2" ht="20.85" customHeight="1" x14ac:dyDescent="0.25">
      <c r="B250" s="303" t="s">
        <v>1503</v>
      </c>
    </row>
    <row r="251" spans="2:2" ht="20.85" customHeight="1" x14ac:dyDescent="0.25">
      <c r="B251" s="303" t="s">
        <v>606</v>
      </c>
    </row>
    <row r="252" spans="2:2" ht="20.85" customHeight="1" x14ac:dyDescent="0.25">
      <c r="B252" s="303" t="s">
        <v>1504</v>
      </c>
    </row>
    <row r="253" spans="2:2" ht="20.85" customHeight="1" x14ac:dyDescent="0.25">
      <c r="B253" s="303" t="s">
        <v>607</v>
      </c>
    </row>
    <row r="254" spans="2:2" ht="20.85" customHeight="1" x14ac:dyDescent="0.25">
      <c r="B254" s="297" t="s">
        <v>608</v>
      </c>
    </row>
    <row r="255" spans="2:2" ht="20.85" customHeight="1" x14ac:dyDescent="0.25">
      <c r="B255" s="303" t="s">
        <v>1505</v>
      </c>
    </row>
    <row r="256" spans="2:2" ht="20.85" customHeight="1" x14ac:dyDescent="0.25">
      <c r="B256" s="303" t="s">
        <v>609</v>
      </c>
    </row>
    <row r="257" spans="2:2" ht="20.85" customHeight="1" x14ac:dyDescent="0.25">
      <c r="B257" s="303" t="s">
        <v>610</v>
      </c>
    </row>
    <row r="258" spans="2:2" ht="20.85" customHeight="1" x14ac:dyDescent="0.25">
      <c r="B258" s="308" t="s">
        <v>611</v>
      </c>
    </row>
    <row r="259" spans="2:2" ht="20.85" customHeight="1" x14ac:dyDescent="0.25">
      <c r="B259" s="308" t="s">
        <v>612</v>
      </c>
    </row>
    <row r="260" spans="2:2" ht="20.85" customHeight="1" x14ac:dyDescent="0.25">
      <c r="B260" s="303" t="s">
        <v>613</v>
      </c>
    </row>
    <row r="261" spans="2:2" ht="20.85" customHeight="1" x14ac:dyDescent="0.25">
      <c r="B261" s="303" t="s">
        <v>614</v>
      </c>
    </row>
    <row r="262" spans="2:2" ht="20.85" customHeight="1" x14ac:dyDescent="0.25">
      <c r="B262" s="303" t="s">
        <v>615</v>
      </c>
    </row>
    <row r="263" spans="2:2" ht="20.85" customHeight="1" x14ac:dyDescent="0.25">
      <c r="B263" s="303" t="s">
        <v>616</v>
      </c>
    </row>
    <row r="264" spans="2:2" ht="20.85" customHeight="1" x14ac:dyDescent="0.25">
      <c r="B264" s="303" t="s">
        <v>1506</v>
      </c>
    </row>
    <row r="265" spans="2:2" ht="20.85" customHeight="1" thickBot="1" x14ac:dyDescent="0.3">
      <c r="B265" s="312" t="s">
        <v>1507</v>
      </c>
    </row>
    <row r="266" spans="2:2" ht="20.85" customHeight="1" x14ac:dyDescent="0.25">
      <c r="B266" s="311"/>
    </row>
    <row r="267" spans="2:2" ht="20.85" customHeight="1" thickBot="1" x14ac:dyDescent="0.3">
      <c r="B267" s="311"/>
    </row>
    <row r="268" spans="2:2" ht="20.85" customHeight="1" x14ac:dyDescent="0.25">
      <c r="B268" s="307" t="s">
        <v>1508</v>
      </c>
    </row>
    <row r="269" spans="2:2" ht="20.85" customHeight="1" x14ac:dyDescent="0.25">
      <c r="B269" s="303" t="s">
        <v>617</v>
      </c>
    </row>
    <row r="270" spans="2:2" ht="20.85" customHeight="1" x14ac:dyDescent="0.25">
      <c r="B270" s="303" t="s">
        <v>618</v>
      </c>
    </row>
    <row r="271" spans="2:2" ht="20.85" customHeight="1" x14ac:dyDescent="0.25">
      <c r="B271" s="303" t="s">
        <v>619</v>
      </c>
    </row>
    <row r="272" spans="2:2" ht="20.85" customHeight="1" x14ac:dyDescent="0.25">
      <c r="B272" s="303" t="s">
        <v>1509</v>
      </c>
    </row>
    <row r="273" spans="2:2" ht="20.85" customHeight="1" x14ac:dyDescent="0.25">
      <c r="B273" s="303" t="s">
        <v>620</v>
      </c>
    </row>
    <row r="274" spans="2:2" ht="20.85" customHeight="1" x14ac:dyDescent="0.25">
      <c r="B274" s="303" t="s">
        <v>621</v>
      </c>
    </row>
    <row r="275" spans="2:2" ht="20.85" customHeight="1" x14ac:dyDescent="0.25">
      <c r="B275" s="308" t="s">
        <v>622</v>
      </c>
    </row>
    <row r="276" spans="2:2" ht="20.85" customHeight="1" x14ac:dyDescent="0.25">
      <c r="B276" s="308" t="s">
        <v>623</v>
      </c>
    </row>
    <row r="277" spans="2:2" ht="20.85" customHeight="1" x14ac:dyDescent="0.25">
      <c r="B277" s="303" t="s">
        <v>1510</v>
      </c>
    </row>
    <row r="278" spans="2:2" ht="20.85" customHeight="1" x14ac:dyDescent="0.25">
      <c r="B278" s="303" t="s">
        <v>624</v>
      </c>
    </row>
    <row r="279" spans="2:2" ht="20.85" customHeight="1" x14ac:dyDescent="0.25">
      <c r="B279" s="303" t="s">
        <v>625</v>
      </c>
    </row>
    <row r="280" spans="2:2" ht="20.85" customHeight="1" x14ac:dyDescent="0.25">
      <c r="B280" s="303" t="s">
        <v>626</v>
      </c>
    </row>
    <row r="281" spans="2:2" ht="20.85" customHeight="1" x14ac:dyDescent="0.25">
      <c r="B281" s="303" t="s">
        <v>1511</v>
      </c>
    </row>
    <row r="282" spans="2:2" ht="20.85" customHeight="1" x14ac:dyDescent="0.25">
      <c r="B282" s="297" t="s">
        <v>627</v>
      </c>
    </row>
    <row r="283" spans="2:2" ht="20.85" customHeight="1" x14ac:dyDescent="0.25">
      <c r="B283" s="303" t="s">
        <v>1512</v>
      </c>
    </row>
    <row r="284" spans="2:2" ht="20.85" customHeight="1" x14ac:dyDescent="0.25">
      <c r="B284" s="303" t="s">
        <v>628</v>
      </c>
    </row>
    <row r="285" spans="2:2" ht="20.85" customHeight="1" x14ac:dyDescent="0.25">
      <c r="B285" s="303" t="s">
        <v>629</v>
      </c>
    </row>
    <row r="286" spans="2:2" ht="20.85" customHeight="1" x14ac:dyDescent="0.25">
      <c r="B286" s="308" t="s">
        <v>630</v>
      </c>
    </row>
    <row r="287" spans="2:2" ht="20.85" customHeight="1" x14ac:dyDescent="0.25">
      <c r="B287" s="297" t="s">
        <v>631</v>
      </c>
    </row>
    <row r="288" spans="2:2" ht="20.85" customHeight="1" x14ac:dyDescent="0.25">
      <c r="B288" s="303" t="s">
        <v>632</v>
      </c>
    </row>
    <row r="289" spans="2:2" ht="20.85" customHeight="1" x14ac:dyDescent="0.25">
      <c r="B289" s="303" t="s">
        <v>1513</v>
      </c>
    </row>
    <row r="290" spans="2:2" ht="20.85" customHeight="1" x14ac:dyDescent="0.25">
      <c r="B290" s="297" t="s">
        <v>633</v>
      </c>
    </row>
    <row r="291" spans="2:2" ht="20.85" customHeight="1" x14ac:dyDescent="0.25">
      <c r="B291" s="308" t="s">
        <v>1514</v>
      </c>
    </row>
    <row r="292" spans="2:2" ht="20.85" customHeight="1" x14ac:dyDescent="0.25">
      <c r="B292" s="303" t="s">
        <v>634</v>
      </c>
    </row>
    <row r="293" spans="2:2" ht="20.85" customHeight="1" x14ac:dyDescent="0.25">
      <c r="B293" s="297" t="s">
        <v>635</v>
      </c>
    </row>
    <row r="294" spans="2:2" ht="20.85" customHeight="1" x14ac:dyDescent="0.25">
      <c r="B294" s="303" t="s">
        <v>636</v>
      </c>
    </row>
    <row r="295" spans="2:2" ht="20.85" customHeight="1" x14ac:dyDescent="0.25">
      <c r="B295" s="303" t="s">
        <v>1515</v>
      </c>
    </row>
    <row r="296" spans="2:2" ht="20.85" customHeight="1" x14ac:dyDescent="0.25">
      <c r="B296" s="297" t="s">
        <v>637</v>
      </c>
    </row>
    <row r="297" spans="2:2" ht="20.85" customHeight="1" x14ac:dyDescent="0.25">
      <c r="B297" s="303" t="s">
        <v>1516</v>
      </c>
    </row>
    <row r="298" spans="2:2" ht="20.85" customHeight="1" x14ac:dyDescent="0.25">
      <c r="B298" s="308" t="s">
        <v>638</v>
      </c>
    </row>
    <row r="299" spans="2:2" ht="20.85" customHeight="1" x14ac:dyDescent="0.25">
      <c r="B299" s="303" t="s">
        <v>639</v>
      </c>
    </row>
    <row r="300" spans="2:2" ht="20.85" customHeight="1" x14ac:dyDescent="0.25">
      <c r="B300" s="303" t="s">
        <v>1517</v>
      </c>
    </row>
    <row r="301" spans="2:2" ht="20.85" customHeight="1" x14ac:dyDescent="0.25">
      <c r="B301" s="303" t="s">
        <v>640</v>
      </c>
    </row>
    <row r="302" spans="2:2" ht="20.85" customHeight="1" x14ac:dyDescent="0.25">
      <c r="B302" s="303" t="s">
        <v>641</v>
      </c>
    </row>
    <row r="303" spans="2:2" ht="20.85" customHeight="1" x14ac:dyDescent="0.25">
      <c r="B303" s="303" t="s">
        <v>642</v>
      </c>
    </row>
    <row r="304" spans="2:2" ht="20.85" customHeight="1" x14ac:dyDescent="0.25">
      <c r="B304" s="308" t="s">
        <v>643</v>
      </c>
    </row>
    <row r="305" spans="2:2" ht="20.85" customHeight="1" x14ac:dyDescent="0.25">
      <c r="B305" s="303" t="s">
        <v>1518</v>
      </c>
    </row>
    <row r="306" spans="2:2" ht="20.85" customHeight="1" x14ac:dyDescent="0.25">
      <c r="B306" s="303" t="s">
        <v>644</v>
      </c>
    </row>
    <row r="307" spans="2:2" ht="20.85" customHeight="1" x14ac:dyDescent="0.25">
      <c r="B307" s="303" t="s">
        <v>645</v>
      </c>
    </row>
    <row r="308" spans="2:2" ht="20.85" customHeight="1" x14ac:dyDescent="0.25">
      <c r="B308" s="303" t="s">
        <v>646</v>
      </c>
    </row>
    <row r="309" spans="2:2" ht="20.85" customHeight="1" x14ac:dyDescent="0.25">
      <c r="B309" s="303" t="s">
        <v>647</v>
      </c>
    </row>
    <row r="310" spans="2:2" ht="20.85" customHeight="1" x14ac:dyDescent="0.25">
      <c r="B310" s="303" t="s">
        <v>648</v>
      </c>
    </row>
    <row r="311" spans="2:2" ht="20.85" customHeight="1" x14ac:dyDescent="0.25">
      <c r="B311" s="303" t="s">
        <v>1519</v>
      </c>
    </row>
    <row r="312" spans="2:2" ht="20.85" customHeight="1" x14ac:dyDescent="0.25">
      <c r="B312" s="303" t="s">
        <v>649</v>
      </c>
    </row>
    <row r="313" spans="2:2" ht="20.85" customHeight="1" x14ac:dyDescent="0.25">
      <c r="B313" s="303" t="s">
        <v>650</v>
      </c>
    </row>
    <row r="314" spans="2:2" ht="20.85" customHeight="1" x14ac:dyDescent="0.25">
      <c r="B314" s="303" t="s">
        <v>651</v>
      </c>
    </row>
    <row r="315" spans="2:2" ht="20.85" customHeight="1" x14ac:dyDescent="0.25">
      <c r="B315" s="303" t="s">
        <v>1520</v>
      </c>
    </row>
    <row r="316" spans="2:2" ht="20.85" customHeight="1" x14ac:dyDescent="0.25">
      <c r="B316" s="303" t="s">
        <v>652</v>
      </c>
    </row>
    <row r="317" spans="2:2" ht="20.85" customHeight="1" x14ac:dyDescent="0.25">
      <c r="B317" s="303" t="s">
        <v>653</v>
      </c>
    </row>
    <row r="318" spans="2:2" ht="20.85" customHeight="1" x14ac:dyDescent="0.25">
      <c r="B318" s="303" t="s">
        <v>654</v>
      </c>
    </row>
    <row r="319" spans="2:2" ht="20.85" customHeight="1" x14ac:dyDescent="0.25">
      <c r="B319" s="303" t="s">
        <v>1521</v>
      </c>
    </row>
    <row r="320" spans="2:2" ht="20.85" customHeight="1" x14ac:dyDescent="0.25">
      <c r="B320" s="297" t="s">
        <v>655</v>
      </c>
    </row>
    <row r="321" spans="2:2" ht="20.85" customHeight="1" x14ac:dyDescent="0.25">
      <c r="B321" s="303" t="s">
        <v>656</v>
      </c>
    </row>
    <row r="322" spans="2:2" ht="20.85" customHeight="1" x14ac:dyDescent="0.25">
      <c r="B322" s="303" t="s">
        <v>657</v>
      </c>
    </row>
    <row r="323" spans="2:2" ht="20.85" customHeight="1" x14ac:dyDescent="0.25">
      <c r="B323" s="303" t="s">
        <v>658</v>
      </c>
    </row>
    <row r="324" spans="2:2" ht="20.85" customHeight="1" x14ac:dyDescent="0.25">
      <c r="B324" s="303" t="s">
        <v>659</v>
      </c>
    </row>
    <row r="325" spans="2:2" ht="20.85" customHeight="1" x14ac:dyDescent="0.25">
      <c r="B325" s="308" t="s">
        <v>660</v>
      </c>
    </row>
    <row r="326" spans="2:2" ht="20.85" customHeight="1" x14ac:dyDescent="0.25">
      <c r="B326" s="303" t="s">
        <v>1522</v>
      </c>
    </row>
    <row r="327" spans="2:2" ht="20.85" customHeight="1" x14ac:dyDescent="0.25">
      <c r="B327" s="303" t="s">
        <v>661</v>
      </c>
    </row>
    <row r="328" spans="2:2" ht="20.85" customHeight="1" x14ac:dyDescent="0.25">
      <c r="B328" s="303" t="s">
        <v>662</v>
      </c>
    </row>
    <row r="329" spans="2:2" ht="20.85" customHeight="1" x14ac:dyDescent="0.25">
      <c r="B329" s="303" t="s">
        <v>663</v>
      </c>
    </row>
    <row r="330" spans="2:2" ht="20.85" customHeight="1" x14ac:dyDescent="0.25">
      <c r="B330" s="303" t="s">
        <v>664</v>
      </c>
    </row>
    <row r="331" spans="2:2" ht="20.85" customHeight="1" x14ac:dyDescent="0.25">
      <c r="B331" s="303" t="s">
        <v>665</v>
      </c>
    </row>
    <row r="332" spans="2:2" ht="20.85" customHeight="1" x14ac:dyDescent="0.25">
      <c r="B332" s="303" t="s">
        <v>666</v>
      </c>
    </row>
    <row r="333" spans="2:2" ht="20.85" customHeight="1" x14ac:dyDescent="0.25">
      <c r="B333" s="303" t="s">
        <v>667</v>
      </c>
    </row>
    <row r="334" spans="2:2" ht="20.85" customHeight="1" x14ac:dyDescent="0.25">
      <c r="B334" s="303" t="s">
        <v>668</v>
      </c>
    </row>
    <row r="335" spans="2:2" ht="20.85" customHeight="1" x14ac:dyDescent="0.25">
      <c r="B335" s="303" t="s">
        <v>669</v>
      </c>
    </row>
    <row r="336" spans="2:2" ht="20.85" customHeight="1" x14ac:dyDescent="0.25">
      <c r="B336" s="303" t="s">
        <v>670</v>
      </c>
    </row>
    <row r="337" spans="2:2" ht="20.85" customHeight="1" x14ac:dyDescent="0.25">
      <c r="B337" s="303" t="s">
        <v>1523</v>
      </c>
    </row>
    <row r="338" spans="2:2" ht="20.85" customHeight="1" x14ac:dyDescent="0.25">
      <c r="B338" s="303" t="s">
        <v>1524</v>
      </c>
    </row>
    <row r="339" spans="2:2" ht="20.85" customHeight="1" x14ac:dyDescent="0.25">
      <c r="B339" s="303" t="s">
        <v>1525</v>
      </c>
    </row>
    <row r="340" spans="2:2" ht="20.85" customHeight="1" x14ac:dyDescent="0.25">
      <c r="B340" s="297" t="s">
        <v>671</v>
      </c>
    </row>
    <row r="341" spans="2:2" ht="20.85" customHeight="1" x14ac:dyDescent="0.25">
      <c r="B341" s="303" t="s">
        <v>1526</v>
      </c>
    </row>
    <row r="342" spans="2:2" ht="20.85" customHeight="1" x14ac:dyDescent="0.25">
      <c r="B342" s="303" t="s">
        <v>672</v>
      </c>
    </row>
    <row r="343" spans="2:2" ht="20.85" customHeight="1" thickBot="1" x14ac:dyDescent="0.3">
      <c r="B343" s="312" t="s">
        <v>673</v>
      </c>
    </row>
    <row r="344" spans="2:2" ht="20.85" customHeight="1" x14ac:dyDescent="0.25">
      <c r="B344" s="311"/>
    </row>
    <row r="345" spans="2:2" ht="20.85" customHeight="1" thickBot="1" x14ac:dyDescent="0.3">
      <c r="B345" s="311"/>
    </row>
    <row r="346" spans="2:2" ht="20.85" customHeight="1" x14ac:dyDescent="0.25">
      <c r="B346" s="307" t="s">
        <v>1527</v>
      </c>
    </row>
    <row r="347" spans="2:2" ht="20.85" customHeight="1" x14ac:dyDescent="0.25">
      <c r="B347" s="303" t="s">
        <v>1528</v>
      </c>
    </row>
    <row r="348" spans="2:2" ht="20.85" customHeight="1" x14ac:dyDescent="0.25">
      <c r="B348" s="303" t="s">
        <v>674</v>
      </c>
    </row>
    <row r="349" spans="2:2" ht="20.85" customHeight="1" x14ac:dyDescent="0.25">
      <c r="B349" s="303" t="s">
        <v>675</v>
      </c>
    </row>
    <row r="350" spans="2:2" ht="20.85" customHeight="1" x14ac:dyDescent="0.25">
      <c r="B350" s="303" t="s">
        <v>1529</v>
      </c>
    </row>
    <row r="351" spans="2:2" ht="20.85" customHeight="1" x14ac:dyDescent="0.25">
      <c r="B351" s="303" t="s">
        <v>676</v>
      </c>
    </row>
    <row r="352" spans="2:2" ht="20.85" customHeight="1" x14ac:dyDescent="0.25">
      <c r="B352" s="303" t="s">
        <v>677</v>
      </c>
    </row>
    <row r="353" spans="2:2" ht="20.85" customHeight="1" x14ac:dyDescent="0.25">
      <c r="B353" s="303" t="s">
        <v>678</v>
      </c>
    </row>
    <row r="354" spans="2:2" ht="20.85" customHeight="1" x14ac:dyDescent="0.25">
      <c r="B354" s="303" t="s">
        <v>679</v>
      </c>
    </row>
    <row r="355" spans="2:2" ht="20.85" customHeight="1" x14ac:dyDescent="0.25">
      <c r="B355" s="303" t="s">
        <v>680</v>
      </c>
    </row>
    <row r="356" spans="2:2" ht="20.85" customHeight="1" x14ac:dyDescent="0.25">
      <c r="B356" s="303" t="s">
        <v>681</v>
      </c>
    </row>
    <row r="357" spans="2:2" ht="20.85" customHeight="1" x14ac:dyDescent="0.25">
      <c r="B357" s="303" t="s">
        <v>682</v>
      </c>
    </row>
    <row r="358" spans="2:2" ht="20.85" customHeight="1" x14ac:dyDescent="0.25">
      <c r="B358" s="303" t="s">
        <v>683</v>
      </c>
    </row>
    <row r="359" spans="2:2" ht="20.85" customHeight="1" x14ac:dyDescent="0.25">
      <c r="B359" s="303" t="s">
        <v>684</v>
      </c>
    </row>
    <row r="360" spans="2:2" ht="20.85" customHeight="1" x14ac:dyDescent="0.25">
      <c r="B360" s="303" t="s">
        <v>685</v>
      </c>
    </row>
    <row r="361" spans="2:2" ht="20.85" customHeight="1" x14ac:dyDescent="0.25">
      <c r="B361" s="303" t="s">
        <v>1530</v>
      </c>
    </row>
    <row r="362" spans="2:2" ht="20.85" customHeight="1" x14ac:dyDescent="0.25">
      <c r="B362" s="303" t="s">
        <v>1531</v>
      </c>
    </row>
    <row r="363" spans="2:2" ht="20.85" customHeight="1" x14ac:dyDescent="0.25">
      <c r="B363" s="303" t="s">
        <v>1532</v>
      </c>
    </row>
    <row r="364" spans="2:2" ht="20.85" customHeight="1" x14ac:dyDescent="0.25">
      <c r="B364" s="303" t="s">
        <v>686</v>
      </c>
    </row>
    <row r="365" spans="2:2" ht="20.85" customHeight="1" x14ac:dyDescent="0.25">
      <c r="B365" s="308" t="s">
        <v>687</v>
      </c>
    </row>
    <row r="366" spans="2:2" ht="20.85" customHeight="1" x14ac:dyDescent="0.25">
      <c r="B366" s="303" t="s">
        <v>688</v>
      </c>
    </row>
    <row r="367" spans="2:2" ht="20.85" customHeight="1" x14ac:dyDescent="0.25">
      <c r="B367" s="303" t="s">
        <v>689</v>
      </c>
    </row>
    <row r="368" spans="2:2" ht="20.85" customHeight="1" x14ac:dyDescent="0.25">
      <c r="B368" s="303" t="s">
        <v>690</v>
      </c>
    </row>
    <row r="369" spans="2:2" ht="20.85" customHeight="1" x14ac:dyDescent="0.25">
      <c r="B369" s="303" t="s">
        <v>691</v>
      </c>
    </row>
    <row r="370" spans="2:2" ht="20.85" customHeight="1" thickBot="1" x14ac:dyDescent="0.3">
      <c r="B370" s="312" t="s">
        <v>692</v>
      </c>
    </row>
    <row r="371" spans="2:2" ht="20.85" customHeight="1" x14ac:dyDescent="0.25">
      <c r="B371" s="311"/>
    </row>
    <row r="373" spans="2:2" ht="20.85" customHeight="1" thickBot="1" x14ac:dyDescent="0.3">
      <c r="B373" s="298"/>
    </row>
    <row r="374" spans="2:2" ht="20.85" customHeight="1" x14ac:dyDescent="0.25">
      <c r="B374" s="307" t="s">
        <v>693</v>
      </c>
    </row>
    <row r="375" spans="2:2" ht="20.85" customHeight="1" x14ac:dyDescent="0.25">
      <c r="B375" s="303" t="s">
        <v>694</v>
      </c>
    </row>
    <row r="376" spans="2:2" ht="20.85" customHeight="1" x14ac:dyDescent="0.25">
      <c r="B376" s="303" t="s">
        <v>695</v>
      </c>
    </row>
    <row r="377" spans="2:2" ht="20.85" customHeight="1" x14ac:dyDescent="0.25">
      <c r="B377" s="303" t="s">
        <v>1533</v>
      </c>
    </row>
    <row r="378" spans="2:2" ht="20.85" customHeight="1" x14ac:dyDescent="0.25">
      <c r="B378" s="303" t="s">
        <v>1534</v>
      </c>
    </row>
    <row r="379" spans="2:2" ht="20.85" customHeight="1" x14ac:dyDescent="0.25">
      <c r="B379" s="303" t="s">
        <v>696</v>
      </c>
    </row>
    <row r="380" spans="2:2" ht="20.85" customHeight="1" x14ac:dyDescent="0.25">
      <c r="B380" s="303" t="s">
        <v>1535</v>
      </c>
    </row>
    <row r="381" spans="2:2" ht="20.85" customHeight="1" x14ac:dyDescent="0.25">
      <c r="B381" s="303" t="s">
        <v>697</v>
      </c>
    </row>
    <row r="382" spans="2:2" ht="20.85" customHeight="1" x14ac:dyDescent="0.25">
      <c r="B382" s="303" t="s">
        <v>698</v>
      </c>
    </row>
    <row r="383" spans="2:2" ht="20.85" customHeight="1" x14ac:dyDescent="0.25">
      <c r="B383" s="303" t="s">
        <v>699</v>
      </c>
    </row>
    <row r="384" spans="2:2" ht="20.85" customHeight="1" x14ac:dyDescent="0.25">
      <c r="B384" s="303" t="s">
        <v>700</v>
      </c>
    </row>
    <row r="385" spans="2:2" ht="20.85" customHeight="1" x14ac:dyDescent="0.25">
      <c r="B385" s="303" t="s">
        <v>701</v>
      </c>
    </row>
    <row r="386" spans="2:2" ht="20.85" customHeight="1" x14ac:dyDescent="0.25">
      <c r="B386" s="303" t="s">
        <v>702</v>
      </c>
    </row>
    <row r="387" spans="2:2" ht="20.85" customHeight="1" x14ac:dyDescent="0.25">
      <c r="B387" s="303" t="s">
        <v>703</v>
      </c>
    </row>
    <row r="388" spans="2:2" ht="20.85" customHeight="1" x14ac:dyDescent="0.25">
      <c r="B388" s="303" t="s">
        <v>1536</v>
      </c>
    </row>
    <row r="389" spans="2:2" ht="20.85" customHeight="1" x14ac:dyDescent="0.25">
      <c r="B389" s="308" t="s">
        <v>1537</v>
      </c>
    </row>
    <row r="390" spans="2:2" ht="20.85" customHeight="1" x14ac:dyDescent="0.25">
      <c r="B390" s="303" t="s">
        <v>704</v>
      </c>
    </row>
    <row r="391" spans="2:2" ht="20.85" customHeight="1" x14ac:dyDescent="0.25">
      <c r="B391" s="303" t="s">
        <v>705</v>
      </c>
    </row>
    <row r="392" spans="2:2" ht="20.85" customHeight="1" x14ac:dyDescent="0.25">
      <c r="B392" s="303" t="s">
        <v>1538</v>
      </c>
    </row>
    <row r="393" spans="2:2" ht="20.85" customHeight="1" x14ac:dyDescent="0.25">
      <c r="B393" s="303" t="s">
        <v>706</v>
      </c>
    </row>
    <row r="394" spans="2:2" ht="20.85" customHeight="1" x14ac:dyDescent="0.25">
      <c r="B394" s="297" t="s">
        <v>707</v>
      </c>
    </row>
    <row r="395" spans="2:2" ht="20.85" customHeight="1" x14ac:dyDescent="0.25">
      <c r="B395" s="297" t="s">
        <v>708</v>
      </c>
    </row>
    <row r="396" spans="2:2" ht="20.85" customHeight="1" x14ac:dyDescent="0.25">
      <c r="B396" s="303" t="s">
        <v>709</v>
      </c>
    </row>
    <row r="397" spans="2:2" ht="20.85" customHeight="1" x14ac:dyDescent="0.25">
      <c r="B397" s="297" t="s">
        <v>710</v>
      </c>
    </row>
    <row r="398" spans="2:2" ht="20.85" customHeight="1" x14ac:dyDescent="0.25">
      <c r="B398" s="303" t="s">
        <v>711</v>
      </c>
    </row>
    <row r="399" spans="2:2" ht="20.85" customHeight="1" x14ac:dyDescent="0.25">
      <c r="B399" s="303" t="s">
        <v>1539</v>
      </c>
    </row>
    <row r="400" spans="2:2" ht="20.85" customHeight="1" x14ac:dyDescent="0.25">
      <c r="B400" s="303" t="s">
        <v>712</v>
      </c>
    </row>
    <row r="401" spans="2:2" ht="20.85" customHeight="1" x14ac:dyDescent="0.25">
      <c r="B401" s="303" t="s">
        <v>713</v>
      </c>
    </row>
    <row r="402" spans="2:2" ht="20.85" customHeight="1" x14ac:dyDescent="0.25">
      <c r="B402" s="303"/>
    </row>
    <row r="403" spans="2:2" ht="20.85" customHeight="1" x14ac:dyDescent="0.25">
      <c r="B403" s="303"/>
    </row>
    <row r="404" spans="2:2" ht="20.85" customHeight="1" x14ac:dyDescent="0.25">
      <c r="B404" s="303"/>
    </row>
    <row r="405" spans="2:2" ht="20.85" customHeight="1" x14ac:dyDescent="0.25">
      <c r="B405" s="303"/>
    </row>
    <row r="406" spans="2:2" ht="20.85" customHeight="1" x14ac:dyDescent="0.25">
      <c r="B406" s="303"/>
    </row>
    <row r="407" spans="2:2" ht="20.85" customHeight="1" x14ac:dyDescent="0.25">
      <c r="B407" s="303"/>
    </row>
    <row r="408" spans="2:2" ht="20.85" customHeight="1" x14ac:dyDescent="0.25">
      <c r="B408" s="303"/>
    </row>
    <row r="409" spans="2:2" ht="20.85" customHeight="1" x14ac:dyDescent="0.25">
      <c r="B409" s="303"/>
    </row>
    <row r="410" spans="2:2" ht="20.85" customHeight="1" x14ac:dyDescent="0.25">
      <c r="B410" s="303" t="s">
        <v>714</v>
      </c>
    </row>
    <row r="411" spans="2:2" ht="20.85" customHeight="1" x14ac:dyDescent="0.25">
      <c r="B411" s="303" t="s">
        <v>715</v>
      </c>
    </row>
    <row r="412" spans="2:2" ht="20.85" customHeight="1" x14ac:dyDescent="0.25">
      <c r="B412" s="303" t="s">
        <v>716</v>
      </c>
    </row>
    <row r="413" spans="2:2" ht="20.85" customHeight="1" x14ac:dyDescent="0.25">
      <c r="B413" s="303" t="s">
        <v>717</v>
      </c>
    </row>
    <row r="414" spans="2:2" ht="20.85" customHeight="1" x14ac:dyDescent="0.25">
      <c r="B414" s="303" t="s">
        <v>718</v>
      </c>
    </row>
    <row r="415" spans="2:2" ht="20.85" customHeight="1" x14ac:dyDescent="0.25">
      <c r="B415" s="303" t="s">
        <v>719</v>
      </c>
    </row>
    <row r="416" spans="2:2" ht="20.85" customHeight="1" x14ac:dyDescent="0.25">
      <c r="B416" s="303" t="s">
        <v>720</v>
      </c>
    </row>
    <row r="417" spans="2:2" ht="20.85" customHeight="1" x14ac:dyDescent="0.25">
      <c r="B417" s="303" t="s">
        <v>721</v>
      </c>
    </row>
    <row r="418" spans="2:2" ht="20.85" customHeight="1" x14ac:dyDescent="0.25">
      <c r="B418" s="308" t="s">
        <v>722</v>
      </c>
    </row>
    <row r="419" spans="2:2" ht="20.85" customHeight="1" x14ac:dyDescent="0.25">
      <c r="B419" s="303" t="s">
        <v>723</v>
      </c>
    </row>
    <row r="420" spans="2:2" ht="20.85" customHeight="1" x14ac:dyDescent="0.25">
      <c r="B420" s="303" t="s">
        <v>1540</v>
      </c>
    </row>
    <row r="421" spans="2:2" ht="20.85" customHeight="1" x14ac:dyDescent="0.25">
      <c r="B421" s="303" t="s">
        <v>724</v>
      </c>
    </row>
    <row r="422" spans="2:2" ht="20.85" customHeight="1" x14ac:dyDescent="0.25">
      <c r="B422" s="303" t="s">
        <v>725</v>
      </c>
    </row>
    <row r="423" spans="2:2" ht="20.85" customHeight="1" x14ac:dyDescent="0.25">
      <c r="B423" s="303" t="s">
        <v>726</v>
      </c>
    </row>
    <row r="424" spans="2:2" ht="20.85" customHeight="1" x14ac:dyDescent="0.25">
      <c r="B424" s="303" t="s">
        <v>727</v>
      </c>
    </row>
    <row r="425" spans="2:2" ht="20.85" customHeight="1" x14ac:dyDescent="0.25">
      <c r="B425" s="303" t="s">
        <v>728</v>
      </c>
    </row>
    <row r="426" spans="2:2" ht="20.85" customHeight="1" x14ac:dyDescent="0.25">
      <c r="B426" s="303" t="s">
        <v>1541</v>
      </c>
    </row>
    <row r="427" spans="2:2" ht="20.85" customHeight="1" x14ac:dyDescent="0.25">
      <c r="B427" s="303" t="s">
        <v>729</v>
      </c>
    </row>
    <row r="428" spans="2:2" ht="20.85" customHeight="1" x14ac:dyDescent="0.25">
      <c r="B428" s="303" t="s">
        <v>730</v>
      </c>
    </row>
    <row r="429" spans="2:2" ht="20.85" customHeight="1" x14ac:dyDescent="0.25">
      <c r="B429" s="303" t="s">
        <v>1542</v>
      </c>
    </row>
    <row r="430" spans="2:2" ht="20.85" customHeight="1" x14ac:dyDescent="0.25">
      <c r="B430" s="303" t="s">
        <v>731</v>
      </c>
    </row>
    <row r="431" spans="2:2" ht="20.85" customHeight="1" x14ac:dyDescent="0.25">
      <c r="B431" s="303" t="s">
        <v>732</v>
      </c>
    </row>
    <row r="432" spans="2:2" ht="20.85" customHeight="1" x14ac:dyDescent="0.25">
      <c r="B432" s="303" t="s">
        <v>733</v>
      </c>
    </row>
    <row r="433" spans="2:2" ht="20.85" customHeight="1" x14ac:dyDescent="0.25">
      <c r="B433" s="303" t="s">
        <v>734</v>
      </c>
    </row>
    <row r="434" spans="2:2" ht="20.85" customHeight="1" x14ac:dyDescent="0.25">
      <c r="B434" s="297" t="s">
        <v>735</v>
      </c>
    </row>
    <row r="435" spans="2:2" ht="20.85" customHeight="1" x14ac:dyDescent="0.25">
      <c r="B435" s="303" t="s">
        <v>736</v>
      </c>
    </row>
    <row r="436" spans="2:2" ht="20.85" customHeight="1" x14ac:dyDescent="0.25">
      <c r="B436" s="303" t="s">
        <v>737</v>
      </c>
    </row>
    <row r="437" spans="2:2" ht="20.85" customHeight="1" x14ac:dyDescent="0.25">
      <c r="B437" s="303" t="s">
        <v>738</v>
      </c>
    </row>
    <row r="438" spans="2:2" ht="20.85" customHeight="1" x14ac:dyDescent="0.25">
      <c r="B438" s="303" t="s">
        <v>739</v>
      </c>
    </row>
    <row r="439" spans="2:2" ht="20.85" customHeight="1" x14ac:dyDescent="0.25">
      <c r="B439" s="303" t="s">
        <v>740</v>
      </c>
    </row>
    <row r="440" spans="2:2" ht="20.85" customHeight="1" x14ac:dyDescent="0.25">
      <c r="B440" s="303" t="s">
        <v>741</v>
      </c>
    </row>
    <row r="441" spans="2:2" ht="20.85" customHeight="1" x14ac:dyDescent="0.25">
      <c r="B441" s="303" t="s">
        <v>1543</v>
      </c>
    </row>
    <row r="442" spans="2:2" ht="20.85" customHeight="1" x14ac:dyDescent="0.25">
      <c r="B442" s="303" t="s">
        <v>742</v>
      </c>
    </row>
    <row r="443" spans="2:2" ht="20.85" customHeight="1" x14ac:dyDescent="0.25">
      <c r="B443" s="303" t="s">
        <v>743</v>
      </c>
    </row>
    <row r="444" spans="2:2" ht="20.85" customHeight="1" x14ac:dyDescent="0.25">
      <c r="B444" s="303" t="s">
        <v>744</v>
      </c>
    </row>
    <row r="445" spans="2:2" ht="20.85" customHeight="1" x14ac:dyDescent="0.25">
      <c r="B445" s="303" t="s">
        <v>745</v>
      </c>
    </row>
    <row r="446" spans="2:2" ht="20.85" customHeight="1" x14ac:dyDescent="0.25">
      <c r="B446" s="303" t="s">
        <v>746</v>
      </c>
    </row>
    <row r="447" spans="2:2" ht="20.85" customHeight="1" x14ac:dyDescent="0.25">
      <c r="B447" s="308" t="s">
        <v>747</v>
      </c>
    </row>
    <row r="448" spans="2:2" ht="20.85" customHeight="1" x14ac:dyDescent="0.25">
      <c r="B448" s="303" t="s">
        <v>748</v>
      </c>
    </row>
    <row r="449" spans="2:2" ht="20.85" customHeight="1" x14ac:dyDescent="0.25">
      <c r="B449" s="303" t="s">
        <v>1544</v>
      </c>
    </row>
    <row r="450" spans="2:2" ht="20.85" customHeight="1" x14ac:dyDescent="0.25">
      <c r="B450" s="297" t="s">
        <v>749</v>
      </c>
    </row>
    <row r="451" spans="2:2" ht="20.85" customHeight="1" x14ac:dyDescent="0.25">
      <c r="B451" s="303" t="s">
        <v>750</v>
      </c>
    </row>
    <row r="452" spans="2:2" ht="20.85" customHeight="1" x14ac:dyDescent="0.25">
      <c r="B452" s="303" t="s">
        <v>751</v>
      </c>
    </row>
    <row r="453" spans="2:2" ht="20.85" customHeight="1" x14ac:dyDescent="0.25">
      <c r="B453" s="303" t="s">
        <v>752</v>
      </c>
    </row>
    <row r="454" spans="2:2" ht="20.85" customHeight="1" x14ac:dyDescent="0.25">
      <c r="B454" s="303" t="s">
        <v>1545</v>
      </c>
    </row>
    <row r="455" spans="2:2" ht="20.85" customHeight="1" x14ac:dyDescent="0.25">
      <c r="B455" s="303" t="s">
        <v>1546</v>
      </c>
    </row>
    <row r="456" spans="2:2" ht="20.85" customHeight="1" x14ac:dyDescent="0.25">
      <c r="B456" s="303" t="s">
        <v>753</v>
      </c>
    </row>
    <row r="457" spans="2:2" ht="20.85" customHeight="1" x14ac:dyDescent="0.25">
      <c r="B457" s="303" t="s">
        <v>754</v>
      </c>
    </row>
    <row r="458" spans="2:2" ht="20.85" customHeight="1" x14ac:dyDescent="0.25">
      <c r="B458" s="303" t="s">
        <v>755</v>
      </c>
    </row>
    <row r="459" spans="2:2" ht="20.85" customHeight="1" x14ac:dyDescent="0.25">
      <c r="B459" s="308" t="s">
        <v>756</v>
      </c>
    </row>
    <row r="460" spans="2:2" ht="20.85" customHeight="1" x14ac:dyDescent="0.25">
      <c r="B460" s="303" t="s">
        <v>1547</v>
      </c>
    </row>
    <row r="461" spans="2:2" ht="20.85" customHeight="1" x14ac:dyDescent="0.25">
      <c r="B461" s="303" t="s">
        <v>757</v>
      </c>
    </row>
    <row r="462" spans="2:2" ht="20.85" customHeight="1" x14ac:dyDescent="0.25">
      <c r="B462" s="303" t="s">
        <v>758</v>
      </c>
    </row>
    <row r="463" spans="2:2" ht="20.85" customHeight="1" x14ac:dyDescent="0.25">
      <c r="B463" s="303" t="s">
        <v>759</v>
      </c>
    </row>
    <row r="464" spans="2:2" ht="20.85" customHeight="1" x14ac:dyDescent="0.25">
      <c r="B464" s="303" t="s">
        <v>760</v>
      </c>
    </row>
    <row r="465" spans="2:2" ht="20.85" customHeight="1" x14ac:dyDescent="0.25">
      <c r="B465" s="303" t="s">
        <v>761</v>
      </c>
    </row>
    <row r="466" spans="2:2" ht="20.85" customHeight="1" x14ac:dyDescent="0.25">
      <c r="B466" s="303" t="s">
        <v>1548</v>
      </c>
    </row>
    <row r="467" spans="2:2" ht="20.85" customHeight="1" x14ac:dyDescent="0.25">
      <c r="B467" s="303" t="s">
        <v>762</v>
      </c>
    </row>
    <row r="468" spans="2:2" ht="20.85" customHeight="1" x14ac:dyDescent="0.25">
      <c r="B468" s="308" t="s">
        <v>1549</v>
      </c>
    </row>
    <row r="469" spans="2:2" ht="20.85" customHeight="1" x14ac:dyDescent="0.25">
      <c r="B469" s="303" t="s">
        <v>763</v>
      </c>
    </row>
    <row r="470" spans="2:2" ht="20.85" customHeight="1" x14ac:dyDescent="0.25">
      <c r="B470" s="303" t="s">
        <v>764</v>
      </c>
    </row>
    <row r="471" spans="2:2" ht="20.85" customHeight="1" x14ac:dyDescent="0.25">
      <c r="B471" s="303" t="s">
        <v>765</v>
      </c>
    </row>
    <row r="472" spans="2:2" ht="20.85" customHeight="1" x14ac:dyDescent="0.25">
      <c r="B472" s="303" t="s">
        <v>1550</v>
      </c>
    </row>
    <row r="473" spans="2:2" ht="20.85" customHeight="1" x14ac:dyDescent="0.25">
      <c r="B473" s="303" t="s">
        <v>766</v>
      </c>
    </row>
    <row r="474" spans="2:2" ht="20.85" customHeight="1" x14ac:dyDescent="0.25">
      <c r="B474" s="303" t="s">
        <v>767</v>
      </c>
    </row>
    <row r="475" spans="2:2" ht="20.85" customHeight="1" x14ac:dyDescent="0.25">
      <c r="B475" s="303" t="s">
        <v>768</v>
      </c>
    </row>
    <row r="476" spans="2:2" ht="20.85" customHeight="1" x14ac:dyDescent="0.25">
      <c r="B476" s="303" t="s">
        <v>769</v>
      </c>
    </row>
    <row r="477" spans="2:2" ht="20.85" customHeight="1" x14ac:dyDescent="0.25">
      <c r="B477" s="303" t="s">
        <v>770</v>
      </c>
    </row>
    <row r="478" spans="2:2" ht="20.85" customHeight="1" x14ac:dyDescent="0.25">
      <c r="B478" s="308" t="s">
        <v>771</v>
      </c>
    </row>
    <row r="479" spans="2:2" ht="20.85" customHeight="1" x14ac:dyDescent="0.25">
      <c r="B479" s="297" t="s">
        <v>772</v>
      </c>
    </row>
    <row r="480" spans="2:2" ht="20.85" customHeight="1" x14ac:dyDescent="0.25">
      <c r="B480" s="303" t="s">
        <v>773</v>
      </c>
    </row>
    <row r="481" spans="2:2" ht="20.85" customHeight="1" x14ac:dyDescent="0.25">
      <c r="B481" s="303" t="s">
        <v>774</v>
      </c>
    </row>
    <row r="482" spans="2:2" ht="20.85" customHeight="1" x14ac:dyDescent="0.25">
      <c r="B482" s="303" t="s">
        <v>1551</v>
      </c>
    </row>
    <row r="483" spans="2:2" ht="20.85" customHeight="1" x14ac:dyDescent="0.25">
      <c r="B483" s="303" t="s">
        <v>775</v>
      </c>
    </row>
    <row r="484" spans="2:2" ht="20.85" customHeight="1" x14ac:dyDescent="0.25">
      <c r="B484" s="303" t="s">
        <v>776</v>
      </c>
    </row>
    <row r="485" spans="2:2" ht="20.85" customHeight="1" x14ac:dyDescent="0.25">
      <c r="B485" s="303" t="s">
        <v>1552</v>
      </c>
    </row>
    <row r="486" spans="2:2" ht="20.85" customHeight="1" x14ac:dyDescent="0.25">
      <c r="B486" s="303" t="s">
        <v>777</v>
      </c>
    </row>
    <row r="487" spans="2:2" ht="20.85" customHeight="1" x14ac:dyDescent="0.25">
      <c r="B487" s="303" t="s">
        <v>1553</v>
      </c>
    </row>
    <row r="488" spans="2:2" ht="20.85" customHeight="1" x14ac:dyDescent="0.25">
      <c r="B488" s="303" t="s">
        <v>778</v>
      </c>
    </row>
    <row r="489" spans="2:2" ht="20.85" customHeight="1" x14ac:dyDescent="0.25">
      <c r="B489" s="303" t="s">
        <v>1554</v>
      </c>
    </row>
    <row r="490" spans="2:2" ht="20.85" customHeight="1" x14ac:dyDescent="0.25">
      <c r="B490" s="303" t="s">
        <v>779</v>
      </c>
    </row>
    <row r="491" spans="2:2" ht="20.85" customHeight="1" x14ac:dyDescent="0.25">
      <c r="B491" s="303" t="s">
        <v>780</v>
      </c>
    </row>
    <row r="492" spans="2:2" ht="20.85" customHeight="1" x14ac:dyDescent="0.25">
      <c r="B492" s="303" t="s">
        <v>781</v>
      </c>
    </row>
    <row r="493" spans="2:2" ht="20.85" customHeight="1" x14ac:dyDescent="0.25">
      <c r="B493" s="303" t="s">
        <v>782</v>
      </c>
    </row>
    <row r="494" spans="2:2" ht="20.85" customHeight="1" x14ac:dyDescent="0.25">
      <c r="B494" s="303" t="s">
        <v>1555</v>
      </c>
    </row>
    <row r="495" spans="2:2" ht="20.85" customHeight="1" x14ac:dyDescent="0.25">
      <c r="B495" s="303" t="s">
        <v>783</v>
      </c>
    </row>
    <row r="496" spans="2:2" ht="20.85" customHeight="1" x14ac:dyDescent="0.25">
      <c r="B496" s="303" t="s">
        <v>784</v>
      </c>
    </row>
    <row r="497" spans="2:2" ht="20.85" customHeight="1" x14ac:dyDescent="0.25">
      <c r="B497" s="303" t="s">
        <v>1556</v>
      </c>
    </row>
    <row r="498" spans="2:2" ht="20.85" customHeight="1" x14ac:dyDescent="0.25">
      <c r="B498" s="303" t="s">
        <v>785</v>
      </c>
    </row>
    <row r="499" spans="2:2" ht="20.85" customHeight="1" x14ac:dyDescent="0.25">
      <c r="B499" s="303" t="s">
        <v>786</v>
      </c>
    </row>
    <row r="500" spans="2:2" ht="20.85" customHeight="1" x14ac:dyDescent="0.25">
      <c r="B500" s="303" t="s">
        <v>787</v>
      </c>
    </row>
    <row r="501" spans="2:2" ht="20.85" customHeight="1" x14ac:dyDescent="0.25">
      <c r="B501" s="303" t="s">
        <v>788</v>
      </c>
    </row>
    <row r="502" spans="2:2" ht="20.85" customHeight="1" x14ac:dyDescent="0.25">
      <c r="B502" s="303" t="s">
        <v>789</v>
      </c>
    </row>
    <row r="503" spans="2:2" ht="20.85" customHeight="1" x14ac:dyDescent="0.25">
      <c r="B503" s="303" t="s">
        <v>1557</v>
      </c>
    </row>
    <row r="504" spans="2:2" ht="20.85" customHeight="1" x14ac:dyDescent="0.25">
      <c r="B504" s="303" t="s">
        <v>790</v>
      </c>
    </row>
    <row r="505" spans="2:2" ht="20.85" customHeight="1" x14ac:dyDescent="0.25">
      <c r="B505" s="303" t="s">
        <v>791</v>
      </c>
    </row>
    <row r="506" spans="2:2" ht="20.85" customHeight="1" x14ac:dyDescent="0.25">
      <c r="B506" s="303" t="s">
        <v>1558</v>
      </c>
    </row>
    <row r="507" spans="2:2" ht="20.85" customHeight="1" x14ac:dyDescent="0.25">
      <c r="B507" s="308" t="s">
        <v>792</v>
      </c>
    </row>
    <row r="508" spans="2:2" ht="20.85" customHeight="1" thickBot="1" x14ac:dyDescent="0.3">
      <c r="B508" s="310" t="s">
        <v>793</v>
      </c>
    </row>
    <row r="509" spans="2:2" ht="20.85" customHeight="1" x14ac:dyDescent="0.25">
      <c r="B509" s="311"/>
    </row>
    <row r="510" spans="2:2" ht="20.85" customHeight="1" x14ac:dyDescent="0.25">
      <c r="B510" s="315" t="s">
        <v>794</v>
      </c>
    </row>
    <row r="511" spans="2:2" ht="20.85" customHeight="1" x14ac:dyDescent="0.25">
      <c r="B511" s="311"/>
    </row>
    <row r="512" spans="2:2" ht="20.85" customHeight="1" x14ac:dyDescent="0.25">
      <c r="B512" s="304"/>
    </row>
    <row r="513" spans="2:2" ht="20.85" customHeight="1" x14ac:dyDescent="0.25">
      <c r="B513" s="304"/>
    </row>
    <row r="514" spans="2:2" ht="20.85" customHeight="1" x14ac:dyDescent="0.25">
      <c r="B514" s="304"/>
    </row>
    <row r="515" spans="2:2" ht="20.85" customHeight="1" x14ac:dyDescent="0.25">
      <c r="B515" s="304"/>
    </row>
    <row r="516" spans="2:2" ht="20.85" customHeight="1" x14ac:dyDescent="0.25">
      <c r="B516" s="304"/>
    </row>
    <row r="517" spans="2:2" ht="20.85" customHeight="1" x14ac:dyDescent="0.25">
      <c r="B517" s="304"/>
    </row>
    <row r="519" spans="2:2" ht="20.85" customHeight="1" x14ac:dyDescent="0.25">
      <c r="B519" s="305" t="s">
        <v>795</v>
      </c>
    </row>
    <row r="520" spans="2:2" ht="20.85" customHeight="1" x14ac:dyDescent="0.25">
      <c r="B520" s="311"/>
    </row>
    <row r="521" spans="2:2" ht="20.85" customHeight="1" thickBot="1" x14ac:dyDescent="0.3">
      <c r="B521" s="311"/>
    </row>
    <row r="522" spans="2:2" ht="20.85" customHeight="1" x14ac:dyDescent="0.25">
      <c r="B522" s="307" t="s">
        <v>796</v>
      </c>
    </row>
    <row r="523" spans="2:2" ht="20.85" customHeight="1" x14ac:dyDescent="0.25">
      <c r="B523" s="303" t="s">
        <v>797</v>
      </c>
    </row>
    <row r="524" spans="2:2" ht="20.85" customHeight="1" x14ac:dyDescent="0.25">
      <c r="B524" s="303" t="s">
        <v>1559</v>
      </c>
    </row>
    <row r="525" spans="2:2" ht="20.85" customHeight="1" x14ac:dyDescent="0.25">
      <c r="B525" s="303" t="s">
        <v>798</v>
      </c>
    </row>
    <row r="526" spans="2:2" ht="20.85" customHeight="1" x14ac:dyDescent="0.25">
      <c r="B526" s="303" t="s">
        <v>799</v>
      </c>
    </row>
    <row r="527" spans="2:2" ht="20.85" customHeight="1" x14ac:dyDescent="0.25">
      <c r="B527" s="303" t="s">
        <v>800</v>
      </c>
    </row>
    <row r="528" spans="2:2" ht="20.85" customHeight="1" x14ac:dyDescent="0.25">
      <c r="B528" s="308" t="s">
        <v>801</v>
      </c>
    </row>
    <row r="529" spans="2:2" ht="20.85" customHeight="1" x14ac:dyDescent="0.25">
      <c r="B529" s="303" t="s">
        <v>802</v>
      </c>
    </row>
    <row r="530" spans="2:2" ht="20.85" customHeight="1" x14ac:dyDescent="0.25">
      <c r="B530" s="303" t="s">
        <v>803</v>
      </c>
    </row>
    <row r="531" spans="2:2" ht="20.85" customHeight="1" x14ac:dyDescent="0.25">
      <c r="B531" s="303" t="s">
        <v>1560</v>
      </c>
    </row>
    <row r="532" spans="2:2" ht="20.85" customHeight="1" x14ac:dyDescent="0.25">
      <c r="B532" s="303" t="s">
        <v>804</v>
      </c>
    </row>
    <row r="533" spans="2:2" ht="20.85" customHeight="1" x14ac:dyDescent="0.25">
      <c r="B533" s="303" t="s">
        <v>805</v>
      </c>
    </row>
    <row r="534" spans="2:2" ht="20.85" customHeight="1" x14ac:dyDescent="0.25">
      <c r="B534" s="303" t="s">
        <v>806</v>
      </c>
    </row>
    <row r="535" spans="2:2" ht="20.85" customHeight="1" x14ac:dyDescent="0.25">
      <c r="B535" s="303" t="s">
        <v>807</v>
      </c>
    </row>
    <row r="536" spans="2:2" ht="20.85" customHeight="1" x14ac:dyDescent="0.25">
      <c r="B536" s="303" t="s">
        <v>808</v>
      </c>
    </row>
    <row r="537" spans="2:2" ht="20.85" customHeight="1" x14ac:dyDescent="0.25">
      <c r="B537" s="303" t="s">
        <v>809</v>
      </c>
    </row>
    <row r="538" spans="2:2" ht="20.85" customHeight="1" x14ac:dyDescent="0.25">
      <c r="B538" s="303" t="s">
        <v>810</v>
      </c>
    </row>
    <row r="539" spans="2:2" ht="20.85" customHeight="1" x14ac:dyDescent="0.25">
      <c r="B539" s="303" t="s">
        <v>811</v>
      </c>
    </row>
    <row r="540" spans="2:2" ht="20.85" customHeight="1" x14ac:dyDescent="0.25">
      <c r="B540" s="297" t="s">
        <v>812</v>
      </c>
    </row>
    <row r="541" spans="2:2" ht="20.85" customHeight="1" x14ac:dyDescent="0.25">
      <c r="B541" s="303" t="s">
        <v>813</v>
      </c>
    </row>
    <row r="542" spans="2:2" ht="20.85" customHeight="1" x14ac:dyDescent="0.25">
      <c r="B542" s="308" t="s">
        <v>814</v>
      </c>
    </row>
    <row r="543" spans="2:2" ht="20.85" customHeight="1" x14ac:dyDescent="0.25">
      <c r="B543" s="303" t="s">
        <v>815</v>
      </c>
    </row>
    <row r="544" spans="2:2" ht="20.85" customHeight="1" x14ac:dyDescent="0.25">
      <c r="B544" s="303" t="s">
        <v>816</v>
      </c>
    </row>
    <row r="545" spans="2:2" ht="20.85" customHeight="1" x14ac:dyDescent="0.25">
      <c r="B545" s="303" t="s">
        <v>817</v>
      </c>
    </row>
    <row r="546" spans="2:2" ht="20.85" customHeight="1" x14ac:dyDescent="0.25">
      <c r="B546" s="303" t="s">
        <v>818</v>
      </c>
    </row>
    <row r="547" spans="2:2" ht="20.85" customHeight="1" x14ac:dyDescent="0.25">
      <c r="B547" s="303" t="s">
        <v>819</v>
      </c>
    </row>
    <row r="548" spans="2:2" ht="20.85" customHeight="1" x14ac:dyDescent="0.25">
      <c r="B548" s="303" t="s">
        <v>820</v>
      </c>
    </row>
    <row r="549" spans="2:2" ht="20.85" customHeight="1" thickBot="1" x14ac:dyDescent="0.3">
      <c r="B549" s="312" t="s">
        <v>821</v>
      </c>
    </row>
    <row r="550" spans="2:2" ht="20.85" customHeight="1" x14ac:dyDescent="0.25">
      <c r="B550" s="311"/>
    </row>
    <row r="551" spans="2:2" ht="20.85" customHeight="1" thickBot="1" x14ac:dyDescent="0.3">
      <c r="B551" s="311"/>
    </row>
    <row r="552" spans="2:2" ht="20.85" customHeight="1" x14ac:dyDescent="0.25">
      <c r="B552" s="307" t="s">
        <v>822</v>
      </c>
    </row>
    <row r="553" spans="2:2" ht="20.85" customHeight="1" x14ac:dyDescent="0.25">
      <c r="B553" s="303" t="s">
        <v>1561</v>
      </c>
    </row>
    <row r="554" spans="2:2" ht="20.85" customHeight="1" x14ac:dyDescent="0.25">
      <c r="B554" s="316" t="s">
        <v>823</v>
      </c>
    </row>
    <row r="555" spans="2:2" ht="20.85" customHeight="1" x14ac:dyDescent="0.25">
      <c r="B555" s="303" t="s">
        <v>824</v>
      </c>
    </row>
    <row r="556" spans="2:2" ht="20.85" customHeight="1" x14ac:dyDescent="0.25">
      <c r="B556" s="308" t="s">
        <v>1562</v>
      </c>
    </row>
    <row r="557" spans="2:2" ht="20.85" customHeight="1" x14ac:dyDescent="0.25">
      <c r="B557" s="303" t="s">
        <v>825</v>
      </c>
    </row>
    <row r="558" spans="2:2" ht="20.85" customHeight="1" x14ac:dyDescent="0.25">
      <c r="B558" s="303" t="s">
        <v>826</v>
      </c>
    </row>
    <row r="559" spans="2:2" ht="20.85" customHeight="1" x14ac:dyDescent="0.25">
      <c r="B559" s="303" t="s">
        <v>1563</v>
      </c>
    </row>
    <row r="560" spans="2:2" ht="20.85" customHeight="1" x14ac:dyDescent="0.25">
      <c r="B560" s="303" t="s">
        <v>827</v>
      </c>
    </row>
    <row r="561" spans="2:2" ht="20.85" customHeight="1" x14ac:dyDescent="0.25">
      <c r="B561" s="303" t="s">
        <v>828</v>
      </c>
    </row>
    <row r="562" spans="2:2" ht="20.85" customHeight="1" x14ac:dyDescent="0.25">
      <c r="B562" s="303" t="s">
        <v>829</v>
      </c>
    </row>
    <row r="563" spans="2:2" ht="20.85" customHeight="1" x14ac:dyDescent="0.25">
      <c r="B563" s="303" t="s">
        <v>830</v>
      </c>
    </row>
    <row r="564" spans="2:2" ht="20.85" customHeight="1" x14ac:dyDescent="0.25">
      <c r="B564" s="303" t="s">
        <v>831</v>
      </c>
    </row>
    <row r="565" spans="2:2" ht="20.85" customHeight="1" x14ac:dyDescent="0.25">
      <c r="B565" s="303" t="s">
        <v>832</v>
      </c>
    </row>
    <row r="566" spans="2:2" ht="20.85" customHeight="1" x14ac:dyDescent="0.25">
      <c r="B566" s="303" t="s">
        <v>833</v>
      </c>
    </row>
    <row r="567" spans="2:2" ht="20.85" customHeight="1" x14ac:dyDescent="0.25">
      <c r="B567" s="303" t="s">
        <v>834</v>
      </c>
    </row>
    <row r="568" spans="2:2" ht="20.85" customHeight="1" x14ac:dyDescent="0.25">
      <c r="B568" s="303" t="s">
        <v>835</v>
      </c>
    </row>
    <row r="569" spans="2:2" ht="20.85" customHeight="1" x14ac:dyDescent="0.25">
      <c r="B569" s="303" t="s">
        <v>836</v>
      </c>
    </row>
    <row r="570" spans="2:2" ht="20.85" customHeight="1" x14ac:dyDescent="0.25">
      <c r="B570" s="303" t="s">
        <v>837</v>
      </c>
    </row>
    <row r="571" spans="2:2" ht="20.85" customHeight="1" x14ac:dyDescent="0.25">
      <c r="B571" s="303" t="s">
        <v>838</v>
      </c>
    </row>
    <row r="572" spans="2:2" ht="20.85" customHeight="1" x14ac:dyDescent="0.25">
      <c r="B572" s="303" t="s">
        <v>839</v>
      </c>
    </row>
    <row r="573" spans="2:2" ht="20.85" customHeight="1" x14ac:dyDescent="0.25">
      <c r="B573" s="303" t="s">
        <v>840</v>
      </c>
    </row>
    <row r="574" spans="2:2" ht="20.85" customHeight="1" x14ac:dyDescent="0.25">
      <c r="B574" s="308" t="s">
        <v>841</v>
      </c>
    </row>
    <row r="575" spans="2:2" ht="20.85" customHeight="1" x14ac:dyDescent="0.25">
      <c r="B575" s="303" t="s">
        <v>842</v>
      </c>
    </row>
    <row r="576" spans="2:2" ht="20.85" customHeight="1" x14ac:dyDescent="0.25">
      <c r="B576" s="303" t="s">
        <v>843</v>
      </c>
    </row>
    <row r="577" spans="2:2" ht="20.85" customHeight="1" x14ac:dyDescent="0.25">
      <c r="B577" s="303" t="s">
        <v>844</v>
      </c>
    </row>
    <row r="578" spans="2:2" ht="20.85" customHeight="1" x14ac:dyDescent="0.25">
      <c r="B578" s="297" t="s">
        <v>845</v>
      </c>
    </row>
    <row r="579" spans="2:2" ht="20.85" customHeight="1" x14ac:dyDescent="0.25">
      <c r="B579" s="303" t="s">
        <v>846</v>
      </c>
    </row>
    <row r="580" spans="2:2" ht="20.85" customHeight="1" x14ac:dyDescent="0.25">
      <c r="B580" s="303" t="s">
        <v>847</v>
      </c>
    </row>
    <row r="581" spans="2:2" ht="20.85" customHeight="1" x14ac:dyDescent="0.25">
      <c r="B581" s="303" t="s">
        <v>848</v>
      </c>
    </row>
    <row r="582" spans="2:2" ht="20.85" customHeight="1" x14ac:dyDescent="0.25">
      <c r="B582" s="303" t="s">
        <v>849</v>
      </c>
    </row>
    <row r="583" spans="2:2" ht="20.85" customHeight="1" x14ac:dyDescent="0.25">
      <c r="B583" s="303" t="s">
        <v>850</v>
      </c>
    </row>
    <row r="584" spans="2:2" ht="20.85" customHeight="1" x14ac:dyDescent="0.25">
      <c r="B584" s="303" t="s">
        <v>851</v>
      </c>
    </row>
    <row r="585" spans="2:2" ht="20.85" customHeight="1" x14ac:dyDescent="0.25">
      <c r="B585" s="303" t="s">
        <v>852</v>
      </c>
    </row>
    <row r="586" spans="2:2" ht="20.85" customHeight="1" x14ac:dyDescent="0.25">
      <c r="B586" s="303" t="s">
        <v>853</v>
      </c>
    </row>
    <row r="587" spans="2:2" ht="20.85" customHeight="1" x14ac:dyDescent="0.25">
      <c r="B587" s="303" t="s">
        <v>854</v>
      </c>
    </row>
    <row r="588" spans="2:2" ht="20.85" customHeight="1" x14ac:dyDescent="0.25">
      <c r="B588" s="303" t="s">
        <v>1564</v>
      </c>
    </row>
    <row r="589" spans="2:2" ht="20.85" customHeight="1" x14ac:dyDescent="0.25">
      <c r="B589" s="303" t="s">
        <v>855</v>
      </c>
    </row>
    <row r="590" spans="2:2" ht="20.85" customHeight="1" x14ac:dyDescent="0.25">
      <c r="B590" s="303" t="s">
        <v>856</v>
      </c>
    </row>
    <row r="591" spans="2:2" ht="20.85" customHeight="1" x14ac:dyDescent="0.25">
      <c r="B591" s="303" t="s">
        <v>1565</v>
      </c>
    </row>
    <row r="592" spans="2:2" ht="20.85" customHeight="1" x14ac:dyDescent="0.25">
      <c r="B592" s="308" t="s">
        <v>857</v>
      </c>
    </row>
    <row r="593" spans="2:2" ht="20.85" customHeight="1" x14ac:dyDescent="0.25">
      <c r="B593" s="297" t="s">
        <v>858</v>
      </c>
    </row>
    <row r="594" spans="2:2" ht="20.85" customHeight="1" x14ac:dyDescent="0.25">
      <c r="B594" s="303" t="s">
        <v>859</v>
      </c>
    </row>
    <row r="595" spans="2:2" ht="20.85" customHeight="1" x14ac:dyDescent="0.25">
      <c r="B595" s="303" t="s">
        <v>860</v>
      </c>
    </row>
    <row r="596" spans="2:2" ht="20.85" customHeight="1" x14ac:dyDescent="0.25">
      <c r="B596" s="303" t="s">
        <v>861</v>
      </c>
    </row>
    <row r="597" spans="2:2" ht="20.85" customHeight="1" x14ac:dyDescent="0.25">
      <c r="B597" s="308" t="s">
        <v>862</v>
      </c>
    </row>
    <row r="598" spans="2:2" ht="20.85" customHeight="1" x14ac:dyDescent="0.25">
      <c r="B598" s="303" t="s">
        <v>863</v>
      </c>
    </row>
    <row r="599" spans="2:2" ht="20.85" customHeight="1" x14ac:dyDescent="0.25">
      <c r="B599" s="297" t="s">
        <v>864</v>
      </c>
    </row>
    <row r="600" spans="2:2" ht="20.85" customHeight="1" x14ac:dyDescent="0.25">
      <c r="B600" s="303" t="s">
        <v>865</v>
      </c>
    </row>
    <row r="601" spans="2:2" ht="20.85" customHeight="1" x14ac:dyDescent="0.25">
      <c r="B601" s="303" t="s">
        <v>866</v>
      </c>
    </row>
    <row r="602" spans="2:2" ht="20.85" customHeight="1" x14ac:dyDescent="0.25">
      <c r="B602" s="303" t="s">
        <v>867</v>
      </c>
    </row>
    <row r="603" spans="2:2" ht="20.85" customHeight="1" x14ac:dyDescent="0.25">
      <c r="B603" s="303" t="s">
        <v>868</v>
      </c>
    </row>
    <row r="604" spans="2:2" ht="20.85" customHeight="1" x14ac:dyDescent="0.25">
      <c r="B604" s="303" t="s">
        <v>869</v>
      </c>
    </row>
    <row r="605" spans="2:2" ht="20.85" customHeight="1" x14ac:dyDescent="0.25">
      <c r="B605" s="308" t="s">
        <v>870</v>
      </c>
    </row>
    <row r="606" spans="2:2" ht="20.85" customHeight="1" x14ac:dyDescent="0.25">
      <c r="B606" s="303" t="s">
        <v>871</v>
      </c>
    </row>
    <row r="607" spans="2:2" ht="20.85" customHeight="1" x14ac:dyDescent="0.25">
      <c r="B607" s="303" t="s">
        <v>1566</v>
      </c>
    </row>
    <row r="608" spans="2:2" ht="20.85" customHeight="1" x14ac:dyDescent="0.25">
      <c r="B608" s="303" t="s">
        <v>872</v>
      </c>
    </row>
    <row r="609" spans="2:2" ht="20.85" customHeight="1" x14ac:dyDescent="0.25">
      <c r="B609" s="303" t="s">
        <v>873</v>
      </c>
    </row>
    <row r="610" spans="2:2" ht="20.85" customHeight="1" x14ac:dyDescent="0.25">
      <c r="B610" s="303" t="s">
        <v>874</v>
      </c>
    </row>
    <row r="611" spans="2:2" ht="20.85" customHeight="1" x14ac:dyDescent="0.25">
      <c r="B611" s="297" t="s">
        <v>875</v>
      </c>
    </row>
    <row r="612" spans="2:2" ht="20.85" customHeight="1" x14ac:dyDescent="0.25">
      <c r="B612" s="303" t="s">
        <v>1567</v>
      </c>
    </row>
    <row r="613" spans="2:2" ht="20.85" customHeight="1" x14ac:dyDescent="0.25">
      <c r="B613" s="303" t="s">
        <v>876</v>
      </c>
    </row>
    <row r="614" spans="2:2" ht="20.85" customHeight="1" x14ac:dyDescent="0.25">
      <c r="B614" s="303" t="s">
        <v>877</v>
      </c>
    </row>
    <row r="615" spans="2:2" ht="20.85" customHeight="1" x14ac:dyDescent="0.25">
      <c r="B615" s="303" t="s">
        <v>878</v>
      </c>
    </row>
    <row r="616" spans="2:2" ht="20.85" customHeight="1" x14ac:dyDescent="0.25">
      <c r="B616" s="303" t="s">
        <v>879</v>
      </c>
    </row>
    <row r="617" spans="2:2" ht="20.85" customHeight="1" x14ac:dyDescent="0.25">
      <c r="B617" s="303" t="s">
        <v>880</v>
      </c>
    </row>
    <row r="618" spans="2:2" ht="20.85" customHeight="1" x14ac:dyDescent="0.25">
      <c r="B618" s="297" t="s">
        <v>881</v>
      </c>
    </row>
    <row r="619" spans="2:2" ht="20.85" customHeight="1" x14ac:dyDescent="0.25">
      <c r="B619" s="303" t="s">
        <v>882</v>
      </c>
    </row>
    <row r="620" spans="2:2" ht="20.85" customHeight="1" x14ac:dyDescent="0.25">
      <c r="B620" s="303" t="s">
        <v>883</v>
      </c>
    </row>
    <row r="621" spans="2:2" ht="20.85" customHeight="1" x14ac:dyDescent="0.25">
      <c r="B621" s="303" t="s">
        <v>884</v>
      </c>
    </row>
    <row r="622" spans="2:2" ht="20.85" customHeight="1" x14ac:dyDescent="0.25">
      <c r="B622" s="303" t="s">
        <v>885</v>
      </c>
    </row>
    <row r="623" spans="2:2" ht="20.85" customHeight="1" x14ac:dyDescent="0.25">
      <c r="B623" s="303" t="s">
        <v>886</v>
      </c>
    </row>
    <row r="624" spans="2:2" ht="20.85" customHeight="1" x14ac:dyDescent="0.25">
      <c r="B624" s="303" t="s">
        <v>887</v>
      </c>
    </row>
    <row r="625" spans="2:2" ht="20.85" customHeight="1" x14ac:dyDescent="0.25">
      <c r="B625" s="303" t="s">
        <v>1568</v>
      </c>
    </row>
    <row r="626" spans="2:2" ht="20.85" customHeight="1" x14ac:dyDescent="0.25">
      <c r="B626" s="297" t="s">
        <v>888</v>
      </c>
    </row>
    <row r="627" spans="2:2" ht="20.85" customHeight="1" x14ac:dyDescent="0.25">
      <c r="B627" s="308" t="s">
        <v>889</v>
      </c>
    </row>
    <row r="628" spans="2:2" ht="20.85" customHeight="1" x14ac:dyDescent="0.25">
      <c r="B628" s="303" t="s">
        <v>890</v>
      </c>
    </row>
    <row r="629" spans="2:2" ht="20.85" customHeight="1" x14ac:dyDescent="0.25">
      <c r="B629" s="303" t="s">
        <v>891</v>
      </c>
    </row>
    <row r="630" spans="2:2" ht="20.85" customHeight="1" x14ac:dyDescent="0.25">
      <c r="B630" s="303" t="s">
        <v>892</v>
      </c>
    </row>
    <row r="631" spans="2:2" ht="20.85" customHeight="1" x14ac:dyDescent="0.25">
      <c r="B631" s="308" t="s">
        <v>893</v>
      </c>
    </row>
    <row r="632" spans="2:2" ht="20.85" customHeight="1" x14ac:dyDescent="0.25">
      <c r="B632" s="303" t="s">
        <v>894</v>
      </c>
    </row>
    <row r="633" spans="2:2" ht="20.85" customHeight="1" x14ac:dyDescent="0.25">
      <c r="B633" s="308" t="s">
        <v>895</v>
      </c>
    </row>
    <row r="634" spans="2:2" ht="20.85" customHeight="1" x14ac:dyDescent="0.25">
      <c r="B634" s="303" t="s">
        <v>896</v>
      </c>
    </row>
    <row r="635" spans="2:2" ht="20.85" customHeight="1" x14ac:dyDescent="0.25">
      <c r="B635" s="303" t="s">
        <v>897</v>
      </c>
    </row>
    <row r="636" spans="2:2" ht="20.85" customHeight="1" x14ac:dyDescent="0.25">
      <c r="B636" s="303" t="s">
        <v>898</v>
      </c>
    </row>
    <row r="637" spans="2:2" ht="20.85" customHeight="1" x14ac:dyDescent="0.25">
      <c r="B637" s="303" t="s">
        <v>899</v>
      </c>
    </row>
    <row r="638" spans="2:2" ht="20.85" customHeight="1" x14ac:dyDescent="0.25">
      <c r="B638" s="303" t="s">
        <v>900</v>
      </c>
    </row>
    <row r="639" spans="2:2" ht="20.85" customHeight="1" x14ac:dyDescent="0.25">
      <c r="B639" s="303" t="s">
        <v>901</v>
      </c>
    </row>
    <row r="640" spans="2:2" ht="20.85" customHeight="1" x14ac:dyDescent="0.25">
      <c r="B640" s="303" t="s">
        <v>1569</v>
      </c>
    </row>
    <row r="641" spans="2:2" ht="20.85" customHeight="1" x14ac:dyDescent="0.25">
      <c r="B641" s="303" t="s">
        <v>1570</v>
      </c>
    </row>
    <row r="642" spans="2:2" ht="20.85" customHeight="1" x14ac:dyDescent="0.25">
      <c r="B642" s="303" t="s">
        <v>1571</v>
      </c>
    </row>
    <row r="643" spans="2:2" ht="20.85" customHeight="1" x14ac:dyDescent="0.25">
      <c r="B643" s="303" t="s">
        <v>902</v>
      </c>
    </row>
    <row r="644" spans="2:2" ht="20.85" customHeight="1" x14ac:dyDescent="0.25">
      <c r="B644" s="303" t="s">
        <v>903</v>
      </c>
    </row>
    <row r="645" spans="2:2" ht="20.85" customHeight="1" x14ac:dyDescent="0.25">
      <c r="B645" s="303" t="s">
        <v>904</v>
      </c>
    </row>
    <row r="646" spans="2:2" ht="20.85" customHeight="1" x14ac:dyDescent="0.25">
      <c r="B646" s="308" t="s">
        <v>905</v>
      </c>
    </row>
    <row r="647" spans="2:2" ht="20.85" customHeight="1" x14ac:dyDescent="0.25">
      <c r="B647" s="303" t="s">
        <v>906</v>
      </c>
    </row>
    <row r="648" spans="2:2" ht="20.85" customHeight="1" x14ac:dyDescent="0.25">
      <c r="B648" s="303" t="s">
        <v>907</v>
      </c>
    </row>
    <row r="649" spans="2:2" ht="20.85" customHeight="1" x14ac:dyDescent="0.25">
      <c r="B649" s="303" t="s">
        <v>908</v>
      </c>
    </row>
    <row r="650" spans="2:2" ht="20.85" customHeight="1" x14ac:dyDescent="0.25">
      <c r="B650" s="303" t="s">
        <v>1572</v>
      </c>
    </row>
    <row r="651" spans="2:2" ht="20.85" customHeight="1" x14ac:dyDescent="0.25">
      <c r="B651" s="308" t="s">
        <v>909</v>
      </c>
    </row>
    <row r="652" spans="2:2" ht="20.85" customHeight="1" x14ac:dyDescent="0.25">
      <c r="B652" s="303" t="s">
        <v>1573</v>
      </c>
    </row>
    <row r="653" spans="2:2" ht="20.85" customHeight="1" x14ac:dyDescent="0.25">
      <c r="B653" s="303" t="s">
        <v>910</v>
      </c>
    </row>
    <row r="654" spans="2:2" ht="20.85" customHeight="1" x14ac:dyDescent="0.25">
      <c r="B654" s="303" t="s">
        <v>911</v>
      </c>
    </row>
    <row r="655" spans="2:2" ht="20.85" customHeight="1" x14ac:dyDescent="0.25">
      <c r="B655" s="303" t="s">
        <v>912</v>
      </c>
    </row>
    <row r="656" spans="2:2" ht="20.85" customHeight="1" x14ac:dyDescent="0.25">
      <c r="B656" s="303" t="s">
        <v>913</v>
      </c>
    </row>
    <row r="657" spans="2:2" ht="20.85" customHeight="1" x14ac:dyDescent="0.25">
      <c r="B657" s="303" t="s">
        <v>914</v>
      </c>
    </row>
    <row r="658" spans="2:2" ht="20.85" customHeight="1" x14ac:dyDescent="0.25">
      <c r="B658" s="303" t="s">
        <v>1574</v>
      </c>
    </row>
    <row r="659" spans="2:2" ht="20.85" customHeight="1" x14ac:dyDescent="0.25">
      <c r="B659" s="303" t="s">
        <v>1575</v>
      </c>
    </row>
    <row r="660" spans="2:2" ht="20.85" customHeight="1" x14ac:dyDescent="0.25">
      <c r="B660" s="303" t="s">
        <v>915</v>
      </c>
    </row>
    <row r="661" spans="2:2" ht="20.85" customHeight="1" x14ac:dyDescent="0.25">
      <c r="B661" s="303" t="s">
        <v>916</v>
      </c>
    </row>
    <row r="662" spans="2:2" ht="20.85" customHeight="1" x14ac:dyDescent="0.25">
      <c r="B662" s="303" t="s">
        <v>917</v>
      </c>
    </row>
    <row r="663" spans="2:2" ht="20.85" customHeight="1" x14ac:dyDescent="0.25">
      <c r="B663" s="303" t="s">
        <v>918</v>
      </c>
    </row>
    <row r="664" spans="2:2" ht="20.85" customHeight="1" x14ac:dyDescent="0.25">
      <c r="B664" s="303" t="s">
        <v>1576</v>
      </c>
    </row>
    <row r="665" spans="2:2" ht="20.85" customHeight="1" x14ac:dyDescent="0.25">
      <c r="B665" s="303" t="s">
        <v>919</v>
      </c>
    </row>
    <row r="666" spans="2:2" ht="20.85" customHeight="1" x14ac:dyDescent="0.25">
      <c r="B666" s="297" t="s">
        <v>920</v>
      </c>
    </row>
    <row r="667" spans="2:2" ht="20.85" customHeight="1" x14ac:dyDescent="0.25">
      <c r="B667" s="303" t="s">
        <v>921</v>
      </c>
    </row>
    <row r="668" spans="2:2" ht="20.85" customHeight="1" x14ac:dyDescent="0.25">
      <c r="B668" s="303" t="s">
        <v>1577</v>
      </c>
    </row>
    <row r="669" spans="2:2" ht="20.85" customHeight="1" x14ac:dyDescent="0.25">
      <c r="B669" s="303" t="s">
        <v>922</v>
      </c>
    </row>
    <row r="670" spans="2:2" ht="20.85" customHeight="1" x14ac:dyDescent="0.25">
      <c r="B670" s="303" t="s">
        <v>1578</v>
      </c>
    </row>
    <row r="671" spans="2:2" ht="20.85" customHeight="1" x14ac:dyDescent="0.25">
      <c r="B671" s="308" t="s">
        <v>1579</v>
      </c>
    </row>
    <row r="672" spans="2:2" ht="20.85" customHeight="1" x14ac:dyDescent="0.25">
      <c r="B672" s="303" t="s">
        <v>923</v>
      </c>
    </row>
    <row r="673" spans="2:2" ht="20.85" customHeight="1" x14ac:dyDescent="0.25">
      <c r="B673" s="303" t="s">
        <v>924</v>
      </c>
    </row>
    <row r="674" spans="2:2" ht="20.85" customHeight="1" x14ac:dyDescent="0.25">
      <c r="B674" s="303" t="s">
        <v>925</v>
      </c>
    </row>
    <row r="675" spans="2:2" ht="20.85" customHeight="1" x14ac:dyDescent="0.25">
      <c r="B675" s="303" t="s">
        <v>926</v>
      </c>
    </row>
    <row r="676" spans="2:2" ht="20.85" customHeight="1" x14ac:dyDescent="0.25">
      <c r="B676" s="297" t="s">
        <v>927</v>
      </c>
    </row>
    <row r="677" spans="2:2" ht="20.85" customHeight="1" x14ac:dyDescent="0.25">
      <c r="B677" s="297" t="s">
        <v>928</v>
      </c>
    </row>
    <row r="678" spans="2:2" ht="20.85" customHeight="1" x14ac:dyDescent="0.25">
      <c r="B678" s="303" t="s">
        <v>929</v>
      </c>
    </row>
    <row r="679" spans="2:2" ht="20.85" customHeight="1" x14ac:dyDescent="0.25">
      <c r="B679" s="308" t="s">
        <v>1580</v>
      </c>
    </row>
    <row r="680" spans="2:2" ht="20.85" customHeight="1" x14ac:dyDescent="0.25">
      <c r="B680" s="303" t="s">
        <v>930</v>
      </c>
    </row>
    <row r="681" spans="2:2" ht="20.85" customHeight="1" x14ac:dyDescent="0.25">
      <c r="B681" s="297" t="s">
        <v>931</v>
      </c>
    </row>
    <row r="682" spans="2:2" ht="20.85" customHeight="1" x14ac:dyDescent="0.25">
      <c r="B682" s="297" t="s">
        <v>932</v>
      </c>
    </row>
    <row r="683" spans="2:2" ht="20.85" customHeight="1" thickBot="1" x14ac:dyDescent="0.3">
      <c r="B683" s="312" t="s">
        <v>1581</v>
      </c>
    </row>
    <row r="684" spans="2:2" ht="20.85" customHeight="1" x14ac:dyDescent="0.25">
      <c r="B684" s="311"/>
    </row>
    <row r="686" spans="2:2" ht="20.85" customHeight="1" thickBot="1" x14ac:dyDescent="0.3">
      <c r="B686" s="317"/>
    </row>
    <row r="687" spans="2:2" ht="20.85" customHeight="1" x14ac:dyDescent="0.25">
      <c r="B687" s="307" t="s">
        <v>933</v>
      </c>
    </row>
    <row r="688" spans="2:2" ht="20.85" customHeight="1" x14ac:dyDescent="0.25">
      <c r="B688" s="303" t="s">
        <v>934</v>
      </c>
    </row>
    <row r="689" spans="2:2" ht="20.85" customHeight="1" x14ac:dyDescent="0.25">
      <c r="B689" s="303" t="s">
        <v>935</v>
      </c>
    </row>
    <row r="690" spans="2:2" ht="20.85" customHeight="1" x14ac:dyDescent="0.25">
      <c r="B690" s="303" t="s">
        <v>936</v>
      </c>
    </row>
    <row r="691" spans="2:2" ht="20.85" customHeight="1" x14ac:dyDescent="0.25">
      <c r="B691" s="303" t="s">
        <v>1582</v>
      </c>
    </row>
    <row r="692" spans="2:2" ht="20.85" customHeight="1" x14ac:dyDescent="0.25">
      <c r="B692" s="303" t="s">
        <v>937</v>
      </c>
    </row>
    <row r="693" spans="2:2" ht="20.85" customHeight="1" x14ac:dyDescent="0.25">
      <c r="B693" s="303" t="s">
        <v>938</v>
      </c>
    </row>
    <row r="694" spans="2:2" ht="20.85" customHeight="1" x14ac:dyDescent="0.25">
      <c r="B694" s="297" t="s">
        <v>939</v>
      </c>
    </row>
    <row r="695" spans="2:2" ht="20.85" customHeight="1" x14ac:dyDescent="0.25">
      <c r="B695" s="303" t="s">
        <v>1583</v>
      </c>
    </row>
    <row r="696" spans="2:2" ht="20.85" customHeight="1" x14ac:dyDescent="0.25">
      <c r="B696" s="303" t="s">
        <v>940</v>
      </c>
    </row>
    <row r="697" spans="2:2" ht="20.85" customHeight="1" x14ac:dyDescent="0.25">
      <c r="B697" s="303" t="s">
        <v>941</v>
      </c>
    </row>
    <row r="698" spans="2:2" ht="20.85" customHeight="1" x14ac:dyDescent="0.25">
      <c r="B698" s="303" t="s">
        <v>1584</v>
      </c>
    </row>
    <row r="699" spans="2:2" ht="20.85" customHeight="1" x14ac:dyDescent="0.25">
      <c r="B699" s="303" t="s">
        <v>942</v>
      </c>
    </row>
    <row r="700" spans="2:2" ht="20.85" customHeight="1" x14ac:dyDescent="0.25">
      <c r="B700" s="303" t="s">
        <v>943</v>
      </c>
    </row>
    <row r="701" spans="2:2" ht="20.85" customHeight="1" x14ac:dyDescent="0.25">
      <c r="B701" s="303" t="s">
        <v>1585</v>
      </c>
    </row>
    <row r="702" spans="2:2" ht="20.85" customHeight="1" x14ac:dyDescent="0.25">
      <c r="B702" s="303" t="s">
        <v>944</v>
      </c>
    </row>
    <row r="703" spans="2:2" ht="20.85" customHeight="1" x14ac:dyDescent="0.25">
      <c r="B703" s="303" t="s">
        <v>945</v>
      </c>
    </row>
    <row r="704" spans="2:2" ht="20.85" customHeight="1" x14ac:dyDescent="0.25">
      <c r="B704" s="303" t="s">
        <v>946</v>
      </c>
    </row>
    <row r="705" spans="2:2" ht="20.85" customHeight="1" x14ac:dyDescent="0.25">
      <c r="B705" s="303" t="s">
        <v>947</v>
      </c>
    </row>
    <row r="706" spans="2:2" ht="20.85" customHeight="1" x14ac:dyDescent="0.25">
      <c r="B706" s="303" t="s">
        <v>1586</v>
      </c>
    </row>
    <row r="707" spans="2:2" ht="20.85" customHeight="1" x14ac:dyDescent="0.25">
      <c r="B707" s="303" t="s">
        <v>948</v>
      </c>
    </row>
    <row r="708" spans="2:2" ht="20.85" customHeight="1" x14ac:dyDescent="0.25">
      <c r="B708" s="303" t="s">
        <v>949</v>
      </c>
    </row>
    <row r="709" spans="2:2" ht="20.85" customHeight="1" x14ac:dyDescent="0.25">
      <c r="B709" s="297" t="s">
        <v>950</v>
      </c>
    </row>
    <row r="710" spans="2:2" ht="20.85" customHeight="1" x14ac:dyDescent="0.25">
      <c r="B710" s="303" t="s">
        <v>951</v>
      </c>
    </row>
    <row r="711" spans="2:2" ht="20.85" customHeight="1" x14ac:dyDescent="0.25">
      <c r="B711" s="303" t="s">
        <v>952</v>
      </c>
    </row>
    <row r="712" spans="2:2" ht="20.85" customHeight="1" x14ac:dyDescent="0.25">
      <c r="B712" s="303" t="s">
        <v>953</v>
      </c>
    </row>
    <row r="713" spans="2:2" ht="20.85" customHeight="1" x14ac:dyDescent="0.25">
      <c r="B713" s="303" t="s">
        <v>1587</v>
      </c>
    </row>
    <row r="714" spans="2:2" ht="20.85" customHeight="1" x14ac:dyDescent="0.25">
      <c r="B714" s="303" t="s">
        <v>954</v>
      </c>
    </row>
    <row r="715" spans="2:2" ht="20.85" customHeight="1" x14ac:dyDescent="0.25">
      <c r="B715" s="308" t="s">
        <v>955</v>
      </c>
    </row>
    <row r="716" spans="2:2" ht="20.85" customHeight="1" x14ac:dyDescent="0.25">
      <c r="B716" s="303" t="s">
        <v>956</v>
      </c>
    </row>
    <row r="717" spans="2:2" ht="20.85" customHeight="1" x14ac:dyDescent="0.25">
      <c r="B717" s="303" t="s">
        <v>957</v>
      </c>
    </row>
    <row r="718" spans="2:2" ht="20.85" customHeight="1" x14ac:dyDescent="0.25">
      <c r="B718" s="303" t="s">
        <v>1588</v>
      </c>
    </row>
    <row r="719" spans="2:2" ht="20.85" customHeight="1" x14ac:dyDescent="0.25">
      <c r="B719" s="303" t="s">
        <v>958</v>
      </c>
    </row>
    <row r="720" spans="2:2" ht="20.85" customHeight="1" x14ac:dyDescent="0.25">
      <c r="B720" s="303" t="s">
        <v>959</v>
      </c>
    </row>
    <row r="721" spans="2:2" ht="20.85" customHeight="1" x14ac:dyDescent="0.25">
      <c r="B721" s="303" t="s">
        <v>960</v>
      </c>
    </row>
    <row r="722" spans="2:2" ht="20.85" customHeight="1" x14ac:dyDescent="0.25">
      <c r="B722" s="303" t="s">
        <v>1589</v>
      </c>
    </row>
    <row r="723" spans="2:2" ht="20.85" customHeight="1" x14ac:dyDescent="0.25">
      <c r="B723" s="303" t="s">
        <v>1590</v>
      </c>
    </row>
    <row r="724" spans="2:2" ht="20.85" customHeight="1" x14ac:dyDescent="0.25">
      <c r="B724" s="303" t="s">
        <v>1591</v>
      </c>
    </row>
    <row r="725" spans="2:2" ht="20.85" customHeight="1" x14ac:dyDescent="0.25">
      <c r="B725" s="303" t="s">
        <v>1592</v>
      </c>
    </row>
    <row r="726" spans="2:2" ht="20.85" customHeight="1" x14ac:dyDescent="0.25">
      <c r="B726" s="303" t="s">
        <v>961</v>
      </c>
    </row>
    <row r="727" spans="2:2" ht="20.85" customHeight="1" x14ac:dyDescent="0.25">
      <c r="B727" s="303" t="s">
        <v>1593</v>
      </c>
    </row>
    <row r="728" spans="2:2" ht="20.85" customHeight="1" x14ac:dyDescent="0.25">
      <c r="B728" s="303" t="s">
        <v>1594</v>
      </c>
    </row>
    <row r="729" spans="2:2" ht="20.85" customHeight="1" x14ac:dyDescent="0.25">
      <c r="B729" s="303" t="s">
        <v>962</v>
      </c>
    </row>
    <row r="730" spans="2:2" ht="20.85" customHeight="1" x14ac:dyDescent="0.25">
      <c r="B730" s="303" t="s">
        <v>963</v>
      </c>
    </row>
    <row r="731" spans="2:2" ht="20.85" customHeight="1" x14ac:dyDescent="0.25">
      <c r="B731" s="303" t="s">
        <v>964</v>
      </c>
    </row>
    <row r="732" spans="2:2" ht="20.85" customHeight="1" x14ac:dyDescent="0.25">
      <c r="B732" s="303" t="s">
        <v>1595</v>
      </c>
    </row>
    <row r="733" spans="2:2" ht="20.85" customHeight="1" x14ac:dyDescent="0.25">
      <c r="B733" s="303" t="s">
        <v>965</v>
      </c>
    </row>
    <row r="734" spans="2:2" ht="20.85" customHeight="1" x14ac:dyDescent="0.25">
      <c r="B734" s="303" t="s">
        <v>966</v>
      </c>
    </row>
    <row r="735" spans="2:2" ht="20.85" customHeight="1" x14ac:dyDescent="0.25">
      <c r="B735" s="303" t="s">
        <v>967</v>
      </c>
    </row>
    <row r="736" spans="2:2" ht="20.85" customHeight="1" x14ac:dyDescent="0.25">
      <c r="B736" s="303" t="s">
        <v>1596</v>
      </c>
    </row>
    <row r="737" spans="2:2" ht="20.85" customHeight="1" x14ac:dyDescent="0.25">
      <c r="B737" s="303" t="s">
        <v>968</v>
      </c>
    </row>
    <row r="738" spans="2:2" ht="20.85" customHeight="1" x14ac:dyDescent="0.25">
      <c r="B738" s="303" t="s">
        <v>969</v>
      </c>
    </row>
    <row r="739" spans="2:2" ht="20.85" customHeight="1" x14ac:dyDescent="0.25">
      <c r="B739" s="303" t="s">
        <v>970</v>
      </c>
    </row>
    <row r="740" spans="2:2" ht="20.85" customHeight="1" x14ac:dyDescent="0.25">
      <c r="B740" s="303" t="s">
        <v>1597</v>
      </c>
    </row>
    <row r="741" spans="2:2" ht="20.85" customHeight="1" x14ac:dyDescent="0.25">
      <c r="B741" s="303" t="s">
        <v>971</v>
      </c>
    </row>
    <row r="742" spans="2:2" ht="20.85" customHeight="1" x14ac:dyDescent="0.25">
      <c r="B742" s="303" t="s">
        <v>972</v>
      </c>
    </row>
    <row r="743" spans="2:2" ht="20.85" customHeight="1" x14ac:dyDescent="0.25">
      <c r="B743" s="303" t="s">
        <v>973</v>
      </c>
    </row>
    <row r="744" spans="2:2" ht="20.85" customHeight="1" x14ac:dyDescent="0.25">
      <c r="B744" s="303" t="s">
        <v>974</v>
      </c>
    </row>
    <row r="745" spans="2:2" ht="20.85" customHeight="1" x14ac:dyDescent="0.25">
      <c r="B745" s="308" t="s">
        <v>975</v>
      </c>
    </row>
    <row r="746" spans="2:2" ht="20.85" customHeight="1" x14ac:dyDescent="0.25">
      <c r="B746" s="303" t="s">
        <v>976</v>
      </c>
    </row>
    <row r="747" spans="2:2" ht="20.85" customHeight="1" x14ac:dyDescent="0.25">
      <c r="B747" s="297" t="s">
        <v>977</v>
      </c>
    </row>
    <row r="748" spans="2:2" ht="20.85" customHeight="1" x14ac:dyDescent="0.25">
      <c r="B748" s="303" t="s">
        <v>978</v>
      </c>
    </row>
    <row r="749" spans="2:2" ht="20.85" customHeight="1" x14ac:dyDescent="0.25">
      <c r="B749" s="303" t="s">
        <v>979</v>
      </c>
    </row>
    <row r="750" spans="2:2" ht="20.85" customHeight="1" x14ac:dyDescent="0.25">
      <c r="B750" s="303" t="s">
        <v>1598</v>
      </c>
    </row>
    <row r="751" spans="2:2" ht="20.85" customHeight="1" x14ac:dyDescent="0.25">
      <c r="B751" s="303" t="s">
        <v>980</v>
      </c>
    </row>
    <row r="752" spans="2:2" ht="20.85" customHeight="1" x14ac:dyDescent="0.25">
      <c r="B752" s="303" t="s">
        <v>981</v>
      </c>
    </row>
    <row r="753" spans="2:2" ht="20.85" customHeight="1" x14ac:dyDescent="0.25">
      <c r="B753" s="303" t="s">
        <v>1599</v>
      </c>
    </row>
    <row r="754" spans="2:2" ht="20.85" customHeight="1" x14ac:dyDescent="0.25">
      <c r="B754" s="303" t="s">
        <v>982</v>
      </c>
    </row>
    <row r="755" spans="2:2" ht="20.85" customHeight="1" x14ac:dyDescent="0.25">
      <c r="B755" s="303" t="s">
        <v>1600</v>
      </c>
    </row>
    <row r="756" spans="2:2" ht="20.85" customHeight="1" x14ac:dyDescent="0.25">
      <c r="B756" s="303" t="s">
        <v>983</v>
      </c>
    </row>
    <row r="757" spans="2:2" ht="20.85" customHeight="1" x14ac:dyDescent="0.25">
      <c r="B757" s="303" t="s">
        <v>1601</v>
      </c>
    </row>
    <row r="758" spans="2:2" ht="20.85" customHeight="1" x14ac:dyDescent="0.25">
      <c r="B758" s="303" t="s">
        <v>984</v>
      </c>
    </row>
    <row r="759" spans="2:2" ht="20.85" customHeight="1" x14ac:dyDescent="0.25">
      <c r="B759" s="303" t="s">
        <v>985</v>
      </c>
    </row>
    <row r="760" spans="2:2" ht="20.85" customHeight="1" x14ac:dyDescent="0.25">
      <c r="B760" s="303" t="s">
        <v>986</v>
      </c>
    </row>
    <row r="761" spans="2:2" ht="20.85" customHeight="1" x14ac:dyDescent="0.25">
      <c r="B761" s="303" t="s">
        <v>1602</v>
      </c>
    </row>
    <row r="762" spans="2:2" ht="20.85" customHeight="1" x14ac:dyDescent="0.25">
      <c r="B762" s="303" t="s">
        <v>1603</v>
      </c>
    </row>
    <row r="763" spans="2:2" ht="20.85" customHeight="1" x14ac:dyDescent="0.25">
      <c r="B763" s="297" t="s">
        <v>987</v>
      </c>
    </row>
    <row r="764" spans="2:2" ht="20.85" customHeight="1" x14ac:dyDescent="0.25">
      <c r="B764" s="303" t="s">
        <v>988</v>
      </c>
    </row>
    <row r="765" spans="2:2" ht="20.85" customHeight="1" x14ac:dyDescent="0.25">
      <c r="B765" s="308" t="s">
        <v>989</v>
      </c>
    </row>
    <row r="766" spans="2:2" ht="20.85" customHeight="1" x14ac:dyDescent="0.25">
      <c r="B766" s="303" t="s">
        <v>990</v>
      </c>
    </row>
    <row r="767" spans="2:2" ht="20.85" customHeight="1" x14ac:dyDescent="0.25">
      <c r="B767" s="297" t="s">
        <v>991</v>
      </c>
    </row>
    <row r="768" spans="2:2" ht="20.85" customHeight="1" x14ac:dyDescent="0.25">
      <c r="B768" s="303" t="s">
        <v>992</v>
      </c>
    </row>
    <row r="769" spans="2:2" ht="20.85" customHeight="1" x14ac:dyDescent="0.25">
      <c r="B769" s="303" t="s">
        <v>993</v>
      </c>
    </row>
    <row r="770" spans="2:2" ht="20.85" customHeight="1" x14ac:dyDescent="0.25">
      <c r="B770" s="303" t="s">
        <v>994</v>
      </c>
    </row>
    <row r="771" spans="2:2" ht="20.85" customHeight="1" x14ac:dyDescent="0.25">
      <c r="B771" s="303" t="s">
        <v>995</v>
      </c>
    </row>
    <row r="772" spans="2:2" ht="20.85" customHeight="1" x14ac:dyDescent="0.25">
      <c r="B772" s="303" t="s">
        <v>996</v>
      </c>
    </row>
    <row r="773" spans="2:2" ht="20.85" customHeight="1" x14ac:dyDescent="0.25">
      <c r="B773" s="303" t="s">
        <v>997</v>
      </c>
    </row>
    <row r="774" spans="2:2" ht="20.85" customHeight="1" x14ac:dyDescent="0.25">
      <c r="B774" s="303" t="s">
        <v>998</v>
      </c>
    </row>
    <row r="775" spans="2:2" ht="20.85" customHeight="1" x14ac:dyDescent="0.25">
      <c r="B775" s="297" t="s">
        <v>999</v>
      </c>
    </row>
    <row r="776" spans="2:2" ht="20.85" customHeight="1" x14ac:dyDescent="0.25">
      <c r="B776" s="303" t="s">
        <v>1000</v>
      </c>
    </row>
    <row r="777" spans="2:2" ht="20.85" customHeight="1" x14ac:dyDescent="0.25">
      <c r="B777" s="303" t="s">
        <v>1604</v>
      </c>
    </row>
    <row r="778" spans="2:2" ht="20.85" customHeight="1" x14ac:dyDescent="0.25">
      <c r="B778" s="303" t="s">
        <v>1001</v>
      </c>
    </row>
    <row r="779" spans="2:2" ht="20.85" customHeight="1" x14ac:dyDescent="0.25">
      <c r="B779" s="303" t="s">
        <v>1002</v>
      </c>
    </row>
    <row r="780" spans="2:2" ht="20.85" customHeight="1" x14ac:dyDescent="0.25">
      <c r="B780" s="303" t="s">
        <v>1605</v>
      </c>
    </row>
    <row r="781" spans="2:2" ht="20.85" customHeight="1" x14ac:dyDescent="0.25">
      <c r="B781" s="303" t="s">
        <v>1003</v>
      </c>
    </row>
    <row r="782" spans="2:2" ht="20.85" customHeight="1" x14ac:dyDescent="0.25">
      <c r="B782" s="303" t="s">
        <v>1004</v>
      </c>
    </row>
    <row r="783" spans="2:2" ht="20.85" customHeight="1" x14ac:dyDescent="0.25">
      <c r="B783" s="303" t="s">
        <v>1005</v>
      </c>
    </row>
    <row r="784" spans="2:2" ht="20.85" customHeight="1" x14ac:dyDescent="0.25">
      <c r="B784" s="303" t="s">
        <v>1006</v>
      </c>
    </row>
    <row r="785" spans="2:2" ht="20.85" customHeight="1" x14ac:dyDescent="0.25">
      <c r="B785" s="303" t="s">
        <v>1007</v>
      </c>
    </row>
    <row r="786" spans="2:2" ht="20.85" customHeight="1" x14ac:dyDescent="0.25">
      <c r="B786" s="303" t="s">
        <v>1008</v>
      </c>
    </row>
    <row r="787" spans="2:2" ht="20.85" customHeight="1" x14ac:dyDescent="0.25">
      <c r="B787" s="303" t="s">
        <v>1009</v>
      </c>
    </row>
    <row r="788" spans="2:2" ht="20.85" customHeight="1" x14ac:dyDescent="0.25">
      <c r="B788" s="303" t="s">
        <v>1606</v>
      </c>
    </row>
    <row r="789" spans="2:2" ht="20.85" customHeight="1" x14ac:dyDescent="0.25">
      <c r="B789" s="303" t="s">
        <v>1010</v>
      </c>
    </row>
    <row r="790" spans="2:2" ht="20.85" customHeight="1" x14ac:dyDescent="0.25">
      <c r="B790" s="303" t="s">
        <v>1011</v>
      </c>
    </row>
    <row r="791" spans="2:2" ht="20.85" customHeight="1" x14ac:dyDescent="0.25">
      <c r="B791" s="297" t="s">
        <v>1012</v>
      </c>
    </row>
    <row r="792" spans="2:2" ht="20.85" customHeight="1" x14ac:dyDescent="0.25">
      <c r="B792" s="303" t="s">
        <v>1607</v>
      </c>
    </row>
    <row r="793" spans="2:2" ht="20.85" customHeight="1" x14ac:dyDescent="0.25">
      <c r="B793" s="303" t="s">
        <v>1013</v>
      </c>
    </row>
    <row r="794" spans="2:2" ht="20.85" customHeight="1" x14ac:dyDescent="0.25">
      <c r="B794" s="303" t="s">
        <v>1014</v>
      </c>
    </row>
    <row r="795" spans="2:2" ht="20.85" customHeight="1" x14ac:dyDescent="0.25">
      <c r="B795" s="303" t="s">
        <v>1015</v>
      </c>
    </row>
    <row r="796" spans="2:2" ht="20.85" customHeight="1" x14ac:dyDescent="0.25">
      <c r="B796" s="303" t="s">
        <v>1016</v>
      </c>
    </row>
    <row r="797" spans="2:2" ht="20.85" customHeight="1" x14ac:dyDescent="0.25">
      <c r="B797" s="297" t="s">
        <v>1017</v>
      </c>
    </row>
    <row r="798" spans="2:2" ht="20.85" customHeight="1" x14ac:dyDescent="0.25">
      <c r="B798" s="303" t="s">
        <v>1018</v>
      </c>
    </row>
    <row r="799" spans="2:2" ht="20.85" customHeight="1" x14ac:dyDescent="0.25">
      <c r="B799" s="303" t="s">
        <v>1019</v>
      </c>
    </row>
    <row r="800" spans="2:2" ht="20.85" customHeight="1" x14ac:dyDescent="0.25">
      <c r="B800" s="303" t="s">
        <v>1020</v>
      </c>
    </row>
    <row r="801" spans="2:2" ht="20.85" customHeight="1" x14ac:dyDescent="0.25">
      <c r="B801" s="303" t="s">
        <v>1021</v>
      </c>
    </row>
    <row r="802" spans="2:2" ht="20.85" customHeight="1" x14ac:dyDescent="0.25">
      <c r="B802" s="303" t="s">
        <v>1022</v>
      </c>
    </row>
    <row r="803" spans="2:2" ht="20.85" customHeight="1" x14ac:dyDescent="0.25">
      <c r="B803" s="303" t="s">
        <v>1023</v>
      </c>
    </row>
    <row r="804" spans="2:2" ht="20.85" customHeight="1" x14ac:dyDescent="0.25">
      <c r="B804" s="308" t="s">
        <v>1024</v>
      </c>
    </row>
    <row r="805" spans="2:2" ht="20.85" customHeight="1" x14ac:dyDescent="0.25">
      <c r="B805" s="303" t="s">
        <v>1025</v>
      </c>
    </row>
    <row r="806" spans="2:2" ht="20.85" customHeight="1" x14ac:dyDescent="0.25">
      <c r="B806" s="303" t="s">
        <v>1608</v>
      </c>
    </row>
    <row r="807" spans="2:2" ht="20.85" customHeight="1" x14ac:dyDescent="0.25">
      <c r="B807" s="303" t="s">
        <v>1026</v>
      </c>
    </row>
    <row r="808" spans="2:2" ht="20.85" customHeight="1" x14ac:dyDescent="0.25">
      <c r="B808" s="303" t="s">
        <v>1027</v>
      </c>
    </row>
    <row r="809" spans="2:2" ht="20.85" customHeight="1" x14ac:dyDescent="0.25">
      <c r="B809" s="303" t="s">
        <v>1028</v>
      </c>
    </row>
    <row r="810" spans="2:2" ht="20.85" customHeight="1" x14ac:dyDescent="0.25">
      <c r="B810" s="303" t="s">
        <v>1609</v>
      </c>
    </row>
    <row r="811" spans="2:2" ht="20.85" customHeight="1" x14ac:dyDescent="0.25">
      <c r="B811" s="303" t="s">
        <v>1610</v>
      </c>
    </row>
    <row r="812" spans="2:2" ht="20.85" customHeight="1" x14ac:dyDescent="0.25">
      <c r="B812" s="303" t="s">
        <v>1029</v>
      </c>
    </row>
    <row r="813" spans="2:2" ht="20.85" customHeight="1" x14ac:dyDescent="0.25">
      <c r="B813" s="297" t="s">
        <v>1030</v>
      </c>
    </row>
    <row r="814" spans="2:2" ht="20.85" customHeight="1" x14ac:dyDescent="0.25">
      <c r="B814" s="303" t="s">
        <v>1031</v>
      </c>
    </row>
    <row r="815" spans="2:2" ht="20.85" customHeight="1" x14ac:dyDescent="0.25">
      <c r="B815" s="303" t="s">
        <v>1032</v>
      </c>
    </row>
    <row r="816" spans="2:2" ht="20.85" customHeight="1" x14ac:dyDescent="0.25">
      <c r="B816" s="303" t="s">
        <v>1611</v>
      </c>
    </row>
    <row r="817" spans="2:2" ht="20.85" customHeight="1" x14ac:dyDescent="0.25">
      <c r="B817" s="303" t="s">
        <v>1033</v>
      </c>
    </row>
    <row r="818" spans="2:2" ht="20.85" customHeight="1" x14ac:dyDescent="0.25">
      <c r="B818" s="303" t="s">
        <v>1034</v>
      </c>
    </row>
    <row r="819" spans="2:2" ht="20.85" customHeight="1" x14ac:dyDescent="0.25">
      <c r="B819" s="303" t="s">
        <v>1612</v>
      </c>
    </row>
    <row r="820" spans="2:2" ht="20.85" customHeight="1" x14ac:dyDescent="0.25">
      <c r="B820" s="303" t="s">
        <v>1035</v>
      </c>
    </row>
    <row r="821" spans="2:2" ht="20.85" customHeight="1" x14ac:dyDescent="0.25">
      <c r="B821" s="303" t="s">
        <v>1036</v>
      </c>
    </row>
    <row r="822" spans="2:2" ht="20.85" customHeight="1" x14ac:dyDescent="0.25">
      <c r="B822" s="303" t="s">
        <v>1613</v>
      </c>
    </row>
    <row r="823" spans="2:2" ht="20.85" customHeight="1" x14ac:dyDescent="0.25">
      <c r="B823" s="303" t="s">
        <v>1037</v>
      </c>
    </row>
    <row r="824" spans="2:2" ht="20.85" customHeight="1" x14ac:dyDescent="0.25">
      <c r="B824" s="303" t="s">
        <v>1038</v>
      </c>
    </row>
    <row r="825" spans="2:2" ht="20.85" customHeight="1" x14ac:dyDescent="0.25">
      <c r="B825" s="303" t="s">
        <v>1614</v>
      </c>
    </row>
    <row r="826" spans="2:2" ht="20.85" customHeight="1" x14ac:dyDescent="0.25">
      <c r="B826" s="303" t="s">
        <v>1615</v>
      </c>
    </row>
    <row r="827" spans="2:2" ht="20.85" customHeight="1" x14ac:dyDescent="0.25">
      <c r="B827" s="308" t="s">
        <v>1039</v>
      </c>
    </row>
    <row r="828" spans="2:2" ht="20.85" customHeight="1" x14ac:dyDescent="0.25">
      <c r="B828" s="303" t="s">
        <v>1616</v>
      </c>
    </row>
    <row r="829" spans="2:2" ht="20.85" customHeight="1" x14ac:dyDescent="0.25">
      <c r="B829" s="303" t="s">
        <v>1040</v>
      </c>
    </row>
    <row r="830" spans="2:2" ht="20.85" customHeight="1" x14ac:dyDescent="0.25">
      <c r="B830" s="303" t="s">
        <v>1617</v>
      </c>
    </row>
    <row r="831" spans="2:2" ht="20.85" customHeight="1" x14ac:dyDescent="0.25">
      <c r="B831" s="297" t="s">
        <v>1041</v>
      </c>
    </row>
    <row r="832" spans="2:2" ht="20.85" customHeight="1" x14ac:dyDescent="0.25">
      <c r="B832" s="297" t="s">
        <v>1042</v>
      </c>
    </row>
    <row r="833" spans="2:2" ht="20.85" customHeight="1" x14ac:dyDescent="0.25">
      <c r="B833" s="303" t="s">
        <v>1618</v>
      </c>
    </row>
    <row r="834" spans="2:2" ht="20.85" customHeight="1" x14ac:dyDescent="0.25">
      <c r="B834" s="303" t="s">
        <v>1619</v>
      </c>
    </row>
    <row r="835" spans="2:2" ht="20.85" customHeight="1" x14ac:dyDescent="0.25">
      <c r="B835" s="308" t="s">
        <v>1620</v>
      </c>
    </row>
    <row r="836" spans="2:2" ht="20.85" customHeight="1" x14ac:dyDescent="0.25">
      <c r="B836" s="303" t="s">
        <v>1621</v>
      </c>
    </row>
    <row r="837" spans="2:2" ht="20.85" customHeight="1" thickBot="1" x14ac:dyDescent="0.3">
      <c r="B837" s="312" t="s">
        <v>1043</v>
      </c>
    </row>
    <row r="838" spans="2:2" ht="20.85" customHeight="1" x14ac:dyDescent="0.25">
      <c r="B838" s="311"/>
    </row>
    <row r="839" spans="2:2" ht="20.85" customHeight="1" thickBot="1" x14ac:dyDescent="0.3">
      <c r="B839" s="311"/>
    </row>
    <row r="840" spans="2:2" ht="20.85" customHeight="1" x14ac:dyDescent="0.25">
      <c r="B840" s="307" t="s">
        <v>1622</v>
      </c>
    </row>
    <row r="841" spans="2:2" ht="20.85" customHeight="1" x14ac:dyDescent="0.25">
      <c r="B841" s="303" t="s">
        <v>1623</v>
      </c>
    </row>
    <row r="842" spans="2:2" ht="20.85" customHeight="1" x14ac:dyDescent="0.25">
      <c r="B842" s="303" t="s">
        <v>1624</v>
      </c>
    </row>
    <row r="843" spans="2:2" ht="20.85" customHeight="1" x14ac:dyDescent="0.25">
      <c r="B843" s="303" t="s">
        <v>1625</v>
      </c>
    </row>
    <row r="844" spans="2:2" ht="20.85" customHeight="1" x14ac:dyDescent="0.25">
      <c r="B844" s="303" t="s">
        <v>1044</v>
      </c>
    </row>
    <row r="845" spans="2:2" ht="20.85" customHeight="1" x14ac:dyDescent="0.25">
      <c r="B845" s="303" t="s">
        <v>1045</v>
      </c>
    </row>
    <row r="846" spans="2:2" ht="20.85" customHeight="1" x14ac:dyDescent="0.25">
      <c r="B846" s="303" t="s">
        <v>1046</v>
      </c>
    </row>
    <row r="847" spans="2:2" ht="20.85" customHeight="1" x14ac:dyDescent="0.25">
      <c r="B847" s="303" t="s">
        <v>1047</v>
      </c>
    </row>
    <row r="848" spans="2:2" ht="20.85" customHeight="1" x14ac:dyDescent="0.25">
      <c r="B848" s="303" t="s">
        <v>1048</v>
      </c>
    </row>
    <row r="849" spans="2:2" ht="20.85" customHeight="1" x14ac:dyDescent="0.25">
      <c r="B849" s="303" t="s">
        <v>1049</v>
      </c>
    </row>
    <row r="850" spans="2:2" ht="20.85" customHeight="1" x14ac:dyDescent="0.25">
      <c r="B850" s="303" t="s">
        <v>1050</v>
      </c>
    </row>
    <row r="851" spans="2:2" ht="20.85" customHeight="1" x14ac:dyDescent="0.25">
      <c r="B851" s="303" t="s">
        <v>1051</v>
      </c>
    </row>
    <row r="852" spans="2:2" ht="20.85" customHeight="1" x14ac:dyDescent="0.25">
      <c r="B852" s="303" t="s">
        <v>1052</v>
      </c>
    </row>
    <row r="853" spans="2:2" ht="20.85" customHeight="1" x14ac:dyDescent="0.25">
      <c r="B853" s="303" t="s">
        <v>1053</v>
      </c>
    </row>
    <row r="854" spans="2:2" ht="20.85" customHeight="1" x14ac:dyDescent="0.25">
      <c r="B854" s="303" t="s">
        <v>1626</v>
      </c>
    </row>
    <row r="855" spans="2:2" ht="20.85" customHeight="1" x14ac:dyDescent="0.25">
      <c r="B855" s="318"/>
    </row>
    <row r="856" spans="2:2" ht="20.85" customHeight="1" x14ac:dyDescent="0.25">
      <c r="B856" s="299"/>
    </row>
    <row r="857" spans="2:2" ht="20.85" customHeight="1" x14ac:dyDescent="0.25">
      <c r="B857" s="303"/>
    </row>
    <row r="858" spans="2:2" ht="20.85" customHeight="1" x14ac:dyDescent="0.25">
      <c r="B858" s="297" t="s">
        <v>1054</v>
      </c>
    </row>
    <row r="859" spans="2:2" ht="20.85" customHeight="1" x14ac:dyDescent="0.25">
      <c r="B859" s="303" t="s">
        <v>1627</v>
      </c>
    </row>
    <row r="860" spans="2:2" ht="20.85" customHeight="1" x14ac:dyDescent="0.25">
      <c r="B860" s="303" t="s">
        <v>1055</v>
      </c>
    </row>
    <row r="861" spans="2:2" ht="20.85" customHeight="1" x14ac:dyDescent="0.25">
      <c r="B861" s="303" t="s">
        <v>1056</v>
      </c>
    </row>
    <row r="862" spans="2:2" ht="20.85" customHeight="1" x14ac:dyDescent="0.25">
      <c r="B862" s="297" t="s">
        <v>1057</v>
      </c>
    </row>
    <row r="863" spans="2:2" ht="20.85" customHeight="1" x14ac:dyDescent="0.25">
      <c r="B863" s="303" t="s">
        <v>1058</v>
      </c>
    </row>
    <row r="864" spans="2:2" ht="20.85" customHeight="1" x14ac:dyDescent="0.25">
      <c r="B864" s="303" t="s">
        <v>1628</v>
      </c>
    </row>
    <row r="865" spans="2:2" ht="20.85" customHeight="1" x14ac:dyDescent="0.25">
      <c r="B865" s="303" t="s">
        <v>1629</v>
      </c>
    </row>
    <row r="866" spans="2:2" ht="20.85" customHeight="1" x14ac:dyDescent="0.25">
      <c r="B866" s="297" t="s">
        <v>1059</v>
      </c>
    </row>
    <row r="867" spans="2:2" ht="20.85" customHeight="1" x14ac:dyDescent="0.25">
      <c r="B867" s="303" t="s">
        <v>1060</v>
      </c>
    </row>
    <row r="868" spans="2:2" ht="20.85" customHeight="1" x14ac:dyDescent="0.25">
      <c r="B868" s="303" t="s">
        <v>1061</v>
      </c>
    </row>
    <row r="869" spans="2:2" ht="20.85" customHeight="1" x14ac:dyDescent="0.25">
      <c r="B869" s="303" t="s">
        <v>1630</v>
      </c>
    </row>
    <row r="870" spans="2:2" ht="20.85" customHeight="1" x14ac:dyDescent="0.25">
      <c r="B870" s="303" t="s">
        <v>1631</v>
      </c>
    </row>
    <row r="871" spans="2:2" ht="20.85" customHeight="1" x14ac:dyDescent="0.25">
      <c r="B871" s="303" t="s">
        <v>1632</v>
      </c>
    </row>
    <row r="872" spans="2:2" ht="20.85" customHeight="1" x14ac:dyDescent="0.25">
      <c r="B872" s="303" t="s">
        <v>1062</v>
      </c>
    </row>
    <row r="873" spans="2:2" ht="20.85" customHeight="1" x14ac:dyDescent="0.25">
      <c r="B873" s="303" t="s">
        <v>1063</v>
      </c>
    </row>
    <row r="874" spans="2:2" ht="20.85" customHeight="1" x14ac:dyDescent="0.25">
      <c r="B874" s="303" t="s">
        <v>1633</v>
      </c>
    </row>
    <row r="875" spans="2:2" ht="20.85" customHeight="1" x14ac:dyDescent="0.25">
      <c r="B875" s="297" t="s">
        <v>1064</v>
      </c>
    </row>
    <row r="876" spans="2:2" ht="20.85" customHeight="1" x14ac:dyDescent="0.25">
      <c r="B876" s="303" t="s">
        <v>1065</v>
      </c>
    </row>
    <row r="877" spans="2:2" ht="20.85" customHeight="1" x14ac:dyDescent="0.25">
      <c r="B877" s="303" t="s">
        <v>1066</v>
      </c>
    </row>
    <row r="878" spans="2:2" ht="20.85" customHeight="1" x14ac:dyDescent="0.25">
      <c r="B878" s="308" t="s">
        <v>1634</v>
      </c>
    </row>
    <row r="879" spans="2:2" ht="20.85" customHeight="1" x14ac:dyDescent="0.25">
      <c r="B879" s="303" t="s">
        <v>1635</v>
      </c>
    </row>
    <row r="880" spans="2:2" ht="20.85" customHeight="1" x14ac:dyDescent="0.25">
      <c r="B880" s="303" t="s">
        <v>1067</v>
      </c>
    </row>
    <row r="881" spans="2:2" ht="20.85" customHeight="1" x14ac:dyDescent="0.25">
      <c r="B881" s="303" t="s">
        <v>1636</v>
      </c>
    </row>
    <row r="882" spans="2:2" ht="20.85" customHeight="1" x14ac:dyDescent="0.25">
      <c r="B882" s="303" t="s">
        <v>1068</v>
      </c>
    </row>
    <row r="883" spans="2:2" ht="20.85" customHeight="1" x14ac:dyDescent="0.25">
      <c r="B883" s="303" t="s">
        <v>1637</v>
      </c>
    </row>
    <row r="884" spans="2:2" ht="20.85" customHeight="1" thickBot="1" x14ac:dyDescent="0.3">
      <c r="B884" s="312" t="s">
        <v>1638</v>
      </c>
    </row>
    <row r="885" spans="2:2" ht="20.85" customHeight="1" x14ac:dyDescent="0.25">
      <c r="B885" s="311"/>
    </row>
    <row r="887" spans="2:2" ht="20.85" customHeight="1" thickBot="1" x14ac:dyDescent="0.3">
      <c r="B887" s="298"/>
    </row>
    <row r="888" spans="2:2" ht="20.85" customHeight="1" x14ac:dyDescent="0.25">
      <c r="B888" s="307" t="s">
        <v>1069</v>
      </c>
    </row>
    <row r="889" spans="2:2" ht="20.85" customHeight="1" x14ac:dyDescent="0.25">
      <c r="B889" s="303" t="s">
        <v>1639</v>
      </c>
    </row>
    <row r="890" spans="2:2" ht="20.85" customHeight="1" x14ac:dyDescent="0.25">
      <c r="B890" s="297" t="s">
        <v>1070</v>
      </c>
    </row>
    <row r="891" spans="2:2" ht="20.85" customHeight="1" x14ac:dyDescent="0.25">
      <c r="B891" s="297" t="s">
        <v>1071</v>
      </c>
    </row>
    <row r="892" spans="2:2" ht="20.85" customHeight="1" x14ac:dyDescent="0.25">
      <c r="B892" s="303" t="s">
        <v>1072</v>
      </c>
    </row>
    <row r="893" spans="2:2" ht="20.85" customHeight="1" x14ac:dyDescent="0.25">
      <c r="B893" s="303" t="s">
        <v>1073</v>
      </c>
    </row>
    <row r="894" spans="2:2" ht="20.85" customHeight="1" x14ac:dyDescent="0.25">
      <c r="B894" s="303" t="s">
        <v>1074</v>
      </c>
    </row>
    <row r="895" spans="2:2" ht="20.85" customHeight="1" x14ac:dyDescent="0.25">
      <c r="B895" s="297" t="s">
        <v>1075</v>
      </c>
    </row>
    <row r="896" spans="2:2" ht="20.85" customHeight="1" x14ac:dyDescent="0.25">
      <c r="B896" s="303" t="s">
        <v>1076</v>
      </c>
    </row>
    <row r="897" spans="2:2" ht="20.85" customHeight="1" x14ac:dyDescent="0.25">
      <c r="B897" s="303" t="s">
        <v>1077</v>
      </c>
    </row>
    <row r="898" spans="2:2" ht="20.85" customHeight="1" x14ac:dyDescent="0.25">
      <c r="B898" s="303" t="s">
        <v>1078</v>
      </c>
    </row>
    <row r="899" spans="2:2" ht="20.85" customHeight="1" x14ac:dyDescent="0.25">
      <c r="B899" s="303" t="s">
        <v>1079</v>
      </c>
    </row>
    <row r="900" spans="2:2" ht="20.85" customHeight="1" x14ac:dyDescent="0.25">
      <c r="B900" s="303" t="s">
        <v>1640</v>
      </c>
    </row>
    <row r="901" spans="2:2" ht="20.85" customHeight="1" x14ac:dyDescent="0.25">
      <c r="B901" s="303" t="s">
        <v>1080</v>
      </c>
    </row>
    <row r="902" spans="2:2" ht="20.85" customHeight="1" x14ac:dyDescent="0.25">
      <c r="B902" s="297" t="s">
        <v>1081</v>
      </c>
    </row>
    <row r="903" spans="2:2" ht="20.85" customHeight="1" x14ac:dyDescent="0.25">
      <c r="B903" s="308" t="s">
        <v>1082</v>
      </c>
    </row>
    <row r="904" spans="2:2" ht="20.85" customHeight="1" x14ac:dyDescent="0.25">
      <c r="B904" s="303" t="s">
        <v>1083</v>
      </c>
    </row>
    <row r="905" spans="2:2" ht="20.85" customHeight="1" x14ac:dyDescent="0.25">
      <c r="B905" s="303" t="s">
        <v>1641</v>
      </c>
    </row>
    <row r="906" spans="2:2" ht="20.85" customHeight="1" x14ac:dyDescent="0.25">
      <c r="B906" s="303" t="s">
        <v>1642</v>
      </c>
    </row>
    <row r="907" spans="2:2" ht="20.85" customHeight="1" x14ac:dyDescent="0.25">
      <c r="B907" s="303" t="s">
        <v>1643</v>
      </c>
    </row>
    <row r="908" spans="2:2" ht="20.85" customHeight="1" x14ac:dyDescent="0.25">
      <c r="B908" s="297" t="s">
        <v>1084</v>
      </c>
    </row>
    <row r="909" spans="2:2" ht="20.85" customHeight="1" x14ac:dyDescent="0.25">
      <c r="B909" s="303" t="s">
        <v>1644</v>
      </c>
    </row>
    <row r="910" spans="2:2" ht="20.85" customHeight="1" x14ac:dyDescent="0.25">
      <c r="B910" s="303" t="s">
        <v>1085</v>
      </c>
    </row>
    <row r="911" spans="2:2" ht="20.85" customHeight="1" x14ac:dyDescent="0.25">
      <c r="B911" s="303" t="s">
        <v>1645</v>
      </c>
    </row>
    <row r="912" spans="2:2" ht="20.85" customHeight="1" x14ac:dyDescent="0.25">
      <c r="B912" s="303" t="s">
        <v>1646</v>
      </c>
    </row>
    <row r="913" spans="2:2" ht="20.85" customHeight="1" x14ac:dyDescent="0.25">
      <c r="B913" s="303" t="s">
        <v>1647</v>
      </c>
    </row>
    <row r="914" spans="2:2" ht="20.85" customHeight="1" x14ac:dyDescent="0.25">
      <c r="B914" s="303" t="s">
        <v>1086</v>
      </c>
    </row>
    <row r="915" spans="2:2" ht="20.85" customHeight="1" x14ac:dyDescent="0.25">
      <c r="B915" s="303" t="s">
        <v>1087</v>
      </c>
    </row>
    <row r="916" spans="2:2" ht="20.85" customHeight="1" x14ac:dyDescent="0.25">
      <c r="B916" s="303" t="s">
        <v>1088</v>
      </c>
    </row>
    <row r="917" spans="2:2" ht="20.85" customHeight="1" x14ac:dyDescent="0.25">
      <c r="B917" s="303" t="s">
        <v>1648</v>
      </c>
    </row>
    <row r="918" spans="2:2" ht="20.85" customHeight="1" x14ac:dyDescent="0.25">
      <c r="B918" s="303" t="s">
        <v>1089</v>
      </c>
    </row>
    <row r="919" spans="2:2" ht="20.85" customHeight="1" x14ac:dyDescent="0.25">
      <c r="B919" s="303" t="s">
        <v>1090</v>
      </c>
    </row>
    <row r="920" spans="2:2" ht="20.85" customHeight="1" x14ac:dyDescent="0.25">
      <c r="B920" s="303" t="s">
        <v>1091</v>
      </c>
    </row>
    <row r="921" spans="2:2" ht="20.85" customHeight="1" x14ac:dyDescent="0.25">
      <c r="B921" s="303" t="s">
        <v>1092</v>
      </c>
    </row>
    <row r="922" spans="2:2" ht="20.85" customHeight="1" x14ac:dyDescent="0.25">
      <c r="B922" s="303" t="s">
        <v>1093</v>
      </c>
    </row>
    <row r="923" spans="2:2" ht="20.85" customHeight="1" x14ac:dyDescent="0.25">
      <c r="B923" s="303" t="s">
        <v>1094</v>
      </c>
    </row>
    <row r="924" spans="2:2" ht="20.85" customHeight="1" x14ac:dyDescent="0.25">
      <c r="B924" s="303" t="s">
        <v>1095</v>
      </c>
    </row>
    <row r="925" spans="2:2" ht="20.85" customHeight="1" x14ac:dyDescent="0.25">
      <c r="B925" s="303" t="s">
        <v>1649</v>
      </c>
    </row>
    <row r="926" spans="2:2" ht="20.85" customHeight="1" x14ac:dyDescent="0.25">
      <c r="B926" s="297" t="s">
        <v>1096</v>
      </c>
    </row>
    <row r="927" spans="2:2" ht="20.85" customHeight="1" x14ac:dyDescent="0.25">
      <c r="B927" s="303" t="s">
        <v>1097</v>
      </c>
    </row>
    <row r="928" spans="2:2" ht="20.85" customHeight="1" x14ac:dyDescent="0.25">
      <c r="B928" s="303" t="s">
        <v>1098</v>
      </c>
    </row>
    <row r="929" spans="2:2" ht="20.85" customHeight="1" x14ac:dyDescent="0.25">
      <c r="B929" s="303" t="s">
        <v>1650</v>
      </c>
    </row>
    <row r="930" spans="2:2" ht="20.85" customHeight="1" x14ac:dyDescent="0.25">
      <c r="B930" s="303" t="s">
        <v>1099</v>
      </c>
    </row>
    <row r="931" spans="2:2" ht="20.85" customHeight="1" x14ac:dyDescent="0.25">
      <c r="B931" s="303" t="s">
        <v>1100</v>
      </c>
    </row>
    <row r="932" spans="2:2" ht="20.85" customHeight="1" x14ac:dyDescent="0.25">
      <c r="B932" s="303" t="s">
        <v>1101</v>
      </c>
    </row>
    <row r="933" spans="2:2" ht="20.85" customHeight="1" x14ac:dyDescent="0.25">
      <c r="B933" s="308" t="s">
        <v>1102</v>
      </c>
    </row>
    <row r="934" spans="2:2" ht="20.85" customHeight="1" x14ac:dyDescent="0.25">
      <c r="B934" s="303" t="s">
        <v>1103</v>
      </c>
    </row>
    <row r="935" spans="2:2" ht="20.85" customHeight="1" thickBot="1" x14ac:dyDescent="0.3">
      <c r="B935" s="312" t="s">
        <v>1104</v>
      </c>
    </row>
    <row r="936" spans="2:2" ht="20.85" customHeight="1" x14ac:dyDescent="0.25">
      <c r="B936" s="311"/>
    </row>
    <row r="937" spans="2:2" ht="20.85" customHeight="1" thickBot="1" x14ac:dyDescent="0.3">
      <c r="B937" s="311"/>
    </row>
    <row r="938" spans="2:2" ht="20.85" customHeight="1" x14ac:dyDescent="0.25">
      <c r="B938" s="307" t="s">
        <v>1651</v>
      </c>
    </row>
    <row r="939" spans="2:2" ht="20.85" customHeight="1" x14ac:dyDescent="0.25">
      <c r="B939" s="303" t="s">
        <v>1105</v>
      </c>
    </row>
    <row r="940" spans="2:2" ht="20.85" customHeight="1" x14ac:dyDescent="0.25">
      <c r="B940" s="303" t="s">
        <v>1106</v>
      </c>
    </row>
    <row r="941" spans="2:2" ht="20.85" customHeight="1" x14ac:dyDescent="0.25">
      <c r="B941" s="303" t="s">
        <v>1107</v>
      </c>
    </row>
    <row r="942" spans="2:2" ht="20.85" customHeight="1" x14ac:dyDescent="0.25">
      <c r="B942" s="303" t="s">
        <v>1108</v>
      </c>
    </row>
    <row r="943" spans="2:2" ht="20.85" customHeight="1" x14ac:dyDescent="0.25">
      <c r="B943" s="303" t="s">
        <v>1652</v>
      </c>
    </row>
    <row r="944" spans="2:2" ht="20.85" customHeight="1" x14ac:dyDescent="0.25">
      <c r="B944" s="303" t="s">
        <v>1109</v>
      </c>
    </row>
    <row r="945" spans="2:2" ht="20.85" customHeight="1" x14ac:dyDescent="0.25">
      <c r="B945" s="303" t="s">
        <v>1110</v>
      </c>
    </row>
    <row r="946" spans="2:2" ht="20.85" customHeight="1" x14ac:dyDescent="0.25">
      <c r="B946" s="303" t="s">
        <v>1111</v>
      </c>
    </row>
    <row r="947" spans="2:2" ht="20.85" customHeight="1" x14ac:dyDescent="0.25">
      <c r="B947" s="308" t="s">
        <v>1112</v>
      </c>
    </row>
    <row r="948" spans="2:2" ht="20.85" customHeight="1" x14ac:dyDescent="0.25">
      <c r="B948" s="303" t="s">
        <v>1653</v>
      </c>
    </row>
    <row r="949" spans="2:2" ht="20.85" customHeight="1" x14ac:dyDescent="0.25">
      <c r="B949" s="303" t="s">
        <v>1113</v>
      </c>
    </row>
    <row r="950" spans="2:2" ht="20.85" customHeight="1" x14ac:dyDescent="0.25">
      <c r="B950" s="303" t="s">
        <v>1114</v>
      </c>
    </row>
    <row r="951" spans="2:2" ht="20.85" customHeight="1" x14ac:dyDescent="0.25">
      <c r="B951" s="303" t="s">
        <v>1654</v>
      </c>
    </row>
    <row r="952" spans="2:2" ht="20.85" customHeight="1" x14ac:dyDescent="0.25">
      <c r="B952" s="303" t="s">
        <v>1115</v>
      </c>
    </row>
    <row r="953" spans="2:2" ht="20.85" customHeight="1" x14ac:dyDescent="0.25">
      <c r="B953" s="303" t="s">
        <v>1116</v>
      </c>
    </row>
    <row r="954" spans="2:2" ht="20.85" customHeight="1" x14ac:dyDescent="0.25">
      <c r="B954" s="308" t="s">
        <v>1655</v>
      </c>
    </row>
    <row r="955" spans="2:2" ht="20.85" customHeight="1" x14ac:dyDescent="0.25">
      <c r="B955" s="303" t="s">
        <v>1117</v>
      </c>
    </row>
    <row r="956" spans="2:2" ht="20.85" customHeight="1" x14ac:dyDescent="0.25">
      <c r="B956" s="303" t="s">
        <v>1118</v>
      </c>
    </row>
    <row r="957" spans="2:2" ht="20.85" customHeight="1" x14ac:dyDescent="0.25">
      <c r="B957" s="303" t="s">
        <v>1119</v>
      </c>
    </row>
    <row r="958" spans="2:2" ht="20.85" customHeight="1" x14ac:dyDescent="0.25">
      <c r="B958" s="303" t="s">
        <v>1656</v>
      </c>
    </row>
    <row r="959" spans="2:2" ht="20.85" customHeight="1" x14ac:dyDescent="0.25">
      <c r="B959" s="303" t="s">
        <v>1120</v>
      </c>
    </row>
    <row r="960" spans="2:2" ht="20.85" customHeight="1" x14ac:dyDescent="0.25">
      <c r="B960" s="303" t="s">
        <v>1121</v>
      </c>
    </row>
    <row r="961" spans="2:2" ht="20.85" customHeight="1" x14ac:dyDescent="0.25">
      <c r="B961" s="303" t="s">
        <v>1122</v>
      </c>
    </row>
    <row r="962" spans="2:2" ht="20.85" customHeight="1" x14ac:dyDescent="0.25">
      <c r="B962" s="303" t="s">
        <v>1123</v>
      </c>
    </row>
    <row r="963" spans="2:2" ht="20.85" customHeight="1" x14ac:dyDescent="0.25">
      <c r="B963" s="303" t="s">
        <v>1124</v>
      </c>
    </row>
    <row r="964" spans="2:2" ht="20.85" customHeight="1" x14ac:dyDescent="0.25">
      <c r="B964" s="303" t="s">
        <v>1125</v>
      </c>
    </row>
    <row r="965" spans="2:2" ht="20.85" customHeight="1" x14ac:dyDescent="0.25">
      <c r="B965" s="303" t="s">
        <v>1657</v>
      </c>
    </row>
    <row r="966" spans="2:2" ht="20.85" customHeight="1" x14ac:dyDescent="0.25">
      <c r="B966" s="297" t="s">
        <v>1126</v>
      </c>
    </row>
    <row r="967" spans="2:2" ht="20.85" customHeight="1" x14ac:dyDescent="0.25">
      <c r="B967" s="303" t="s">
        <v>1127</v>
      </c>
    </row>
    <row r="968" spans="2:2" ht="20.85" customHeight="1" x14ac:dyDescent="0.25">
      <c r="B968" s="297" t="s">
        <v>1128</v>
      </c>
    </row>
    <row r="969" spans="2:2" ht="20.85" customHeight="1" x14ac:dyDescent="0.25">
      <c r="B969" s="303" t="s">
        <v>1129</v>
      </c>
    </row>
    <row r="970" spans="2:2" ht="20.85" customHeight="1" x14ac:dyDescent="0.25">
      <c r="B970" s="303" t="s">
        <v>1130</v>
      </c>
    </row>
    <row r="971" spans="2:2" ht="20.85" customHeight="1" x14ac:dyDescent="0.25">
      <c r="B971" s="308" t="s">
        <v>1658</v>
      </c>
    </row>
    <row r="972" spans="2:2" ht="20.85" customHeight="1" x14ac:dyDescent="0.25">
      <c r="B972" s="303" t="s">
        <v>1131</v>
      </c>
    </row>
    <row r="973" spans="2:2" ht="20.85" customHeight="1" x14ac:dyDescent="0.25">
      <c r="B973" s="303" t="s">
        <v>1132</v>
      </c>
    </row>
    <row r="974" spans="2:2" ht="20.85" customHeight="1" x14ac:dyDescent="0.25">
      <c r="B974" s="303" t="s">
        <v>1133</v>
      </c>
    </row>
    <row r="975" spans="2:2" ht="20.85" customHeight="1" x14ac:dyDescent="0.25">
      <c r="B975" s="303" t="s">
        <v>1134</v>
      </c>
    </row>
    <row r="976" spans="2:2" ht="20.85" customHeight="1" x14ac:dyDescent="0.25">
      <c r="B976" s="303" t="s">
        <v>1659</v>
      </c>
    </row>
    <row r="977" spans="2:2" ht="20.85" customHeight="1" x14ac:dyDescent="0.25">
      <c r="B977" s="303" t="s">
        <v>1660</v>
      </c>
    </row>
    <row r="978" spans="2:2" ht="20.85" customHeight="1" x14ac:dyDescent="0.25">
      <c r="B978" s="303" t="s">
        <v>1661</v>
      </c>
    </row>
    <row r="979" spans="2:2" ht="20.85" customHeight="1" x14ac:dyDescent="0.25">
      <c r="B979" s="303" t="s">
        <v>1135</v>
      </c>
    </row>
    <row r="980" spans="2:2" ht="20.85" customHeight="1" x14ac:dyDescent="0.25">
      <c r="B980" s="303" t="s">
        <v>1136</v>
      </c>
    </row>
    <row r="981" spans="2:2" ht="20.85" customHeight="1" x14ac:dyDescent="0.25">
      <c r="B981" s="303" t="s">
        <v>1137</v>
      </c>
    </row>
    <row r="982" spans="2:2" ht="20.85" customHeight="1" x14ac:dyDescent="0.25">
      <c r="B982" s="303" t="s">
        <v>1662</v>
      </c>
    </row>
    <row r="983" spans="2:2" ht="20.85" customHeight="1" x14ac:dyDescent="0.25">
      <c r="B983" s="303" t="s">
        <v>1138</v>
      </c>
    </row>
    <row r="984" spans="2:2" ht="20.85" customHeight="1" x14ac:dyDescent="0.25">
      <c r="B984" s="303" t="s">
        <v>1663</v>
      </c>
    </row>
    <row r="985" spans="2:2" ht="20.85" customHeight="1" x14ac:dyDescent="0.25">
      <c r="B985" s="303" t="s">
        <v>1139</v>
      </c>
    </row>
    <row r="986" spans="2:2" ht="20.85" customHeight="1" x14ac:dyDescent="0.25">
      <c r="B986" s="303" t="s">
        <v>1664</v>
      </c>
    </row>
    <row r="987" spans="2:2" ht="20.85" customHeight="1" x14ac:dyDescent="0.25">
      <c r="B987" s="303" t="s">
        <v>1140</v>
      </c>
    </row>
    <row r="988" spans="2:2" ht="20.85" customHeight="1" x14ac:dyDescent="0.25">
      <c r="B988" s="303" t="s">
        <v>1141</v>
      </c>
    </row>
    <row r="989" spans="2:2" ht="20.85" customHeight="1" x14ac:dyDescent="0.25">
      <c r="B989" s="303" t="s">
        <v>1142</v>
      </c>
    </row>
    <row r="990" spans="2:2" ht="20.85" customHeight="1" x14ac:dyDescent="0.25">
      <c r="B990" s="303" t="s">
        <v>1143</v>
      </c>
    </row>
    <row r="991" spans="2:2" ht="20.85" customHeight="1" x14ac:dyDescent="0.25">
      <c r="B991" s="303" t="s">
        <v>1665</v>
      </c>
    </row>
    <row r="992" spans="2:2" ht="20.85" customHeight="1" x14ac:dyDescent="0.25">
      <c r="B992" s="303" t="s">
        <v>1144</v>
      </c>
    </row>
    <row r="993" spans="2:2" ht="20.85" customHeight="1" x14ac:dyDescent="0.25">
      <c r="B993" s="303" t="s">
        <v>1145</v>
      </c>
    </row>
    <row r="994" spans="2:2" ht="20.85" customHeight="1" x14ac:dyDescent="0.25">
      <c r="B994" s="303" t="s">
        <v>1146</v>
      </c>
    </row>
    <row r="995" spans="2:2" ht="20.85" customHeight="1" x14ac:dyDescent="0.25">
      <c r="B995" s="303" t="s">
        <v>1147</v>
      </c>
    </row>
    <row r="996" spans="2:2" ht="20.85" customHeight="1" x14ac:dyDescent="0.25">
      <c r="B996" s="303" t="s">
        <v>1148</v>
      </c>
    </row>
    <row r="997" spans="2:2" ht="20.85" customHeight="1" x14ac:dyDescent="0.25">
      <c r="B997" s="303" t="s">
        <v>1149</v>
      </c>
    </row>
    <row r="998" spans="2:2" ht="20.85" customHeight="1" x14ac:dyDescent="0.25">
      <c r="B998" s="303" t="s">
        <v>1150</v>
      </c>
    </row>
    <row r="999" spans="2:2" ht="20.85" customHeight="1" x14ac:dyDescent="0.25">
      <c r="B999" s="303" t="s">
        <v>1151</v>
      </c>
    </row>
    <row r="1000" spans="2:2" ht="20.85" customHeight="1" x14ac:dyDescent="0.25">
      <c r="B1000" s="303" t="s">
        <v>1152</v>
      </c>
    </row>
    <row r="1001" spans="2:2" ht="20.85" customHeight="1" x14ac:dyDescent="0.25">
      <c r="B1001" s="303" t="s">
        <v>1153</v>
      </c>
    </row>
    <row r="1002" spans="2:2" ht="20.85" customHeight="1" x14ac:dyDescent="0.25">
      <c r="B1002" s="308" t="s">
        <v>1154</v>
      </c>
    </row>
    <row r="1003" spans="2:2" ht="20.85" customHeight="1" x14ac:dyDescent="0.25">
      <c r="B1003" s="308" t="s">
        <v>1155</v>
      </c>
    </row>
    <row r="1004" spans="2:2" ht="20.85" customHeight="1" x14ac:dyDescent="0.25">
      <c r="B1004" s="297" t="s">
        <v>1156</v>
      </c>
    </row>
    <row r="1005" spans="2:2" ht="20.85" customHeight="1" x14ac:dyDescent="0.25">
      <c r="B1005" s="303" t="s">
        <v>1157</v>
      </c>
    </row>
    <row r="1006" spans="2:2" ht="20.85" customHeight="1" x14ac:dyDescent="0.25">
      <c r="B1006" s="303" t="s">
        <v>1158</v>
      </c>
    </row>
    <row r="1007" spans="2:2" ht="20.85" customHeight="1" x14ac:dyDescent="0.25">
      <c r="B1007" s="303" t="s">
        <v>1666</v>
      </c>
    </row>
    <row r="1008" spans="2:2" ht="20.85" customHeight="1" x14ac:dyDescent="0.25">
      <c r="B1008" s="303" t="s">
        <v>1667</v>
      </c>
    </row>
    <row r="1009" spans="2:2" ht="20.85" customHeight="1" x14ac:dyDescent="0.25">
      <c r="B1009" s="303" t="s">
        <v>1159</v>
      </c>
    </row>
    <row r="1010" spans="2:2" ht="20.85" customHeight="1" x14ac:dyDescent="0.25">
      <c r="B1010" s="303" t="s">
        <v>1160</v>
      </c>
    </row>
    <row r="1011" spans="2:2" ht="20.85" customHeight="1" x14ac:dyDescent="0.25">
      <c r="B1011" s="303" t="s">
        <v>1161</v>
      </c>
    </row>
    <row r="1012" spans="2:2" ht="20.85" customHeight="1" x14ac:dyDescent="0.25">
      <c r="B1012" s="303" t="s">
        <v>1162</v>
      </c>
    </row>
    <row r="1013" spans="2:2" ht="20.85" customHeight="1" x14ac:dyDescent="0.25">
      <c r="B1013" s="303" t="s">
        <v>1163</v>
      </c>
    </row>
    <row r="1014" spans="2:2" ht="20.85" customHeight="1" x14ac:dyDescent="0.25">
      <c r="B1014" s="303" t="s">
        <v>1164</v>
      </c>
    </row>
    <row r="1015" spans="2:2" ht="20.85" customHeight="1" x14ac:dyDescent="0.25">
      <c r="B1015" s="297" t="s">
        <v>1165</v>
      </c>
    </row>
    <row r="1016" spans="2:2" ht="20.85" customHeight="1" x14ac:dyDescent="0.25">
      <c r="B1016" s="316" t="s">
        <v>1166</v>
      </c>
    </row>
    <row r="1017" spans="2:2" ht="20.85" customHeight="1" x14ac:dyDescent="0.25">
      <c r="B1017" s="303" t="s">
        <v>1167</v>
      </c>
    </row>
    <row r="1018" spans="2:2" ht="20.85" customHeight="1" x14ac:dyDescent="0.25">
      <c r="B1018" s="303" t="s">
        <v>1168</v>
      </c>
    </row>
    <row r="1019" spans="2:2" ht="20.85" customHeight="1" x14ac:dyDescent="0.25">
      <c r="B1019" s="303" t="s">
        <v>1169</v>
      </c>
    </row>
    <row r="1020" spans="2:2" ht="20.85" customHeight="1" x14ac:dyDescent="0.25">
      <c r="B1020" s="303" t="s">
        <v>1170</v>
      </c>
    </row>
    <row r="1021" spans="2:2" ht="20.85" customHeight="1" x14ac:dyDescent="0.25">
      <c r="B1021" s="303" t="s">
        <v>1171</v>
      </c>
    </row>
    <row r="1022" spans="2:2" ht="20.85" customHeight="1" x14ac:dyDescent="0.25">
      <c r="B1022" s="303" t="s">
        <v>1172</v>
      </c>
    </row>
    <row r="1023" spans="2:2" ht="20.85" customHeight="1" x14ac:dyDescent="0.25">
      <c r="B1023" s="303" t="s">
        <v>1173</v>
      </c>
    </row>
    <row r="1024" spans="2:2" ht="20.85" customHeight="1" x14ac:dyDescent="0.25">
      <c r="B1024" s="303" t="s">
        <v>1174</v>
      </c>
    </row>
    <row r="1025" spans="2:2" ht="20.85" customHeight="1" x14ac:dyDescent="0.25">
      <c r="B1025" s="303" t="s">
        <v>1668</v>
      </c>
    </row>
    <row r="1026" spans="2:2" ht="20.85" customHeight="1" x14ac:dyDescent="0.25">
      <c r="B1026" s="303" t="s">
        <v>1175</v>
      </c>
    </row>
    <row r="1027" spans="2:2" ht="20.85" customHeight="1" thickBot="1" x14ac:dyDescent="0.3">
      <c r="B1027" s="312" t="s">
        <v>1176</v>
      </c>
    </row>
    <row r="1028" spans="2:2" ht="20.85" customHeight="1" x14ac:dyDescent="0.25">
      <c r="B1028" s="311"/>
    </row>
    <row r="1029" spans="2:2" ht="20.85" customHeight="1" thickBot="1" x14ac:dyDescent="0.3">
      <c r="B1029" s="311"/>
    </row>
    <row r="1030" spans="2:2" ht="20.85" customHeight="1" x14ac:dyDescent="0.25">
      <c r="B1030" s="307" t="s">
        <v>1177</v>
      </c>
    </row>
    <row r="1031" spans="2:2" ht="20.85" customHeight="1" x14ac:dyDescent="0.25">
      <c r="B1031" s="303" t="s">
        <v>1178</v>
      </c>
    </row>
    <row r="1032" spans="2:2" ht="20.85" customHeight="1" x14ac:dyDescent="0.25">
      <c r="B1032" s="303" t="s">
        <v>1669</v>
      </c>
    </row>
    <row r="1033" spans="2:2" ht="20.85" customHeight="1" x14ac:dyDescent="0.25">
      <c r="B1033" s="303" t="s">
        <v>1670</v>
      </c>
    </row>
    <row r="1034" spans="2:2" ht="20.85" customHeight="1" x14ac:dyDescent="0.25">
      <c r="B1034" s="308" t="s">
        <v>1179</v>
      </c>
    </row>
    <row r="1035" spans="2:2" ht="20.85" customHeight="1" thickBot="1" x14ac:dyDescent="0.3">
      <c r="B1035" s="319" t="s">
        <v>1180</v>
      </c>
    </row>
    <row r="1036" spans="2:2" ht="20.85" customHeight="1" x14ac:dyDescent="0.25">
      <c r="B1036" s="311"/>
    </row>
    <row r="1037" spans="2:2" ht="20.85" customHeight="1" thickBot="1" x14ac:dyDescent="0.3">
      <c r="B1037" s="311"/>
    </row>
    <row r="1038" spans="2:2" ht="20.85" customHeight="1" x14ac:dyDescent="0.25">
      <c r="B1038" s="307" t="s">
        <v>1671</v>
      </c>
    </row>
    <row r="1039" spans="2:2" ht="20.85" customHeight="1" x14ac:dyDescent="0.25">
      <c r="B1039" s="303" t="s">
        <v>1181</v>
      </c>
    </row>
    <row r="1040" spans="2:2" ht="20.85" customHeight="1" x14ac:dyDescent="0.25">
      <c r="B1040" s="303" t="s">
        <v>1182</v>
      </c>
    </row>
    <row r="1041" spans="2:2" ht="20.85" customHeight="1" x14ac:dyDescent="0.25">
      <c r="B1041" s="303" t="s">
        <v>1183</v>
      </c>
    </row>
    <row r="1042" spans="2:2" ht="20.85" customHeight="1" x14ac:dyDescent="0.25">
      <c r="B1042" s="308" t="s">
        <v>1184</v>
      </c>
    </row>
    <row r="1043" spans="2:2" ht="20.85" customHeight="1" x14ac:dyDescent="0.25">
      <c r="B1043" s="303" t="s">
        <v>1672</v>
      </c>
    </row>
    <row r="1044" spans="2:2" ht="20.85" customHeight="1" x14ac:dyDescent="0.25">
      <c r="B1044" s="303" t="s">
        <v>1185</v>
      </c>
    </row>
    <row r="1045" spans="2:2" ht="20.85" customHeight="1" x14ac:dyDescent="0.25">
      <c r="B1045" s="303" t="s">
        <v>1673</v>
      </c>
    </row>
    <row r="1046" spans="2:2" ht="20.85" customHeight="1" x14ac:dyDescent="0.25">
      <c r="B1046" s="303" t="s">
        <v>1674</v>
      </c>
    </row>
    <row r="1047" spans="2:2" ht="20.85" customHeight="1" x14ac:dyDescent="0.25">
      <c r="B1047" s="303" t="s">
        <v>1675</v>
      </c>
    </row>
    <row r="1048" spans="2:2" ht="20.85" customHeight="1" x14ac:dyDescent="0.25">
      <c r="B1048" s="303" t="s">
        <v>1186</v>
      </c>
    </row>
    <row r="1049" spans="2:2" ht="20.85" customHeight="1" x14ac:dyDescent="0.25">
      <c r="B1049" s="303" t="s">
        <v>1187</v>
      </c>
    </row>
    <row r="1050" spans="2:2" ht="20.85" customHeight="1" x14ac:dyDescent="0.25">
      <c r="B1050" s="303" t="s">
        <v>1188</v>
      </c>
    </row>
    <row r="1051" spans="2:2" ht="20.85" customHeight="1" x14ac:dyDescent="0.25">
      <c r="B1051" s="303" t="s">
        <v>1189</v>
      </c>
    </row>
    <row r="1052" spans="2:2" ht="20.85" customHeight="1" x14ac:dyDescent="0.25">
      <c r="B1052" s="303" t="s">
        <v>1190</v>
      </c>
    </row>
    <row r="1053" spans="2:2" ht="20.85" customHeight="1" x14ac:dyDescent="0.25">
      <c r="B1053" s="303" t="s">
        <v>1191</v>
      </c>
    </row>
    <row r="1054" spans="2:2" ht="20.85" customHeight="1" x14ac:dyDescent="0.25">
      <c r="B1054" s="303" t="s">
        <v>1676</v>
      </c>
    </row>
    <row r="1055" spans="2:2" ht="20.85" customHeight="1" x14ac:dyDescent="0.25">
      <c r="B1055" s="303" t="s">
        <v>1192</v>
      </c>
    </row>
    <row r="1056" spans="2:2" ht="20.85" customHeight="1" x14ac:dyDescent="0.25">
      <c r="B1056" s="303" t="s">
        <v>1677</v>
      </c>
    </row>
    <row r="1057" spans="2:2" ht="20.85" customHeight="1" x14ac:dyDescent="0.25">
      <c r="B1057" s="303" t="s">
        <v>1193</v>
      </c>
    </row>
    <row r="1058" spans="2:2" ht="20.85" customHeight="1" x14ac:dyDescent="0.25">
      <c r="B1058" s="303" t="s">
        <v>1678</v>
      </c>
    </row>
    <row r="1059" spans="2:2" ht="20.85" customHeight="1" x14ac:dyDescent="0.25">
      <c r="B1059" s="303" t="s">
        <v>1194</v>
      </c>
    </row>
    <row r="1060" spans="2:2" ht="20.85" customHeight="1" x14ac:dyDescent="0.25">
      <c r="B1060" s="303" t="s">
        <v>1679</v>
      </c>
    </row>
    <row r="1061" spans="2:2" ht="20.85" customHeight="1" x14ac:dyDescent="0.25">
      <c r="B1061" s="303" t="s">
        <v>1195</v>
      </c>
    </row>
    <row r="1062" spans="2:2" ht="20.85" customHeight="1" x14ac:dyDescent="0.25">
      <c r="B1062" s="303" t="s">
        <v>1680</v>
      </c>
    </row>
    <row r="1063" spans="2:2" ht="20.85" customHeight="1" x14ac:dyDescent="0.25">
      <c r="B1063" s="303" t="s">
        <v>1196</v>
      </c>
    </row>
    <row r="1064" spans="2:2" ht="20.85" customHeight="1" x14ac:dyDescent="0.25">
      <c r="B1064" s="303" t="s">
        <v>1681</v>
      </c>
    </row>
    <row r="1065" spans="2:2" ht="20.85" customHeight="1" x14ac:dyDescent="0.25">
      <c r="B1065" s="303" t="s">
        <v>1682</v>
      </c>
    </row>
    <row r="1066" spans="2:2" ht="20.85" customHeight="1" x14ac:dyDescent="0.25">
      <c r="B1066" s="303" t="s">
        <v>1683</v>
      </c>
    </row>
    <row r="1067" spans="2:2" ht="20.85" customHeight="1" x14ac:dyDescent="0.25">
      <c r="B1067" s="303" t="s">
        <v>1684</v>
      </c>
    </row>
    <row r="1068" spans="2:2" ht="20.85" customHeight="1" x14ac:dyDescent="0.25">
      <c r="B1068" s="303" t="s">
        <v>1685</v>
      </c>
    </row>
    <row r="1069" spans="2:2" ht="20.85" customHeight="1" x14ac:dyDescent="0.25">
      <c r="B1069" s="303" t="s">
        <v>1686</v>
      </c>
    </row>
    <row r="1070" spans="2:2" ht="20.85" customHeight="1" x14ac:dyDescent="0.25">
      <c r="B1070" s="303" t="s">
        <v>1197</v>
      </c>
    </row>
    <row r="1071" spans="2:2" ht="20.85" customHeight="1" x14ac:dyDescent="0.25">
      <c r="B1071" s="303" t="s">
        <v>1198</v>
      </c>
    </row>
    <row r="1072" spans="2:2" ht="20.85" customHeight="1" x14ac:dyDescent="0.25">
      <c r="B1072" s="303" t="s">
        <v>1687</v>
      </c>
    </row>
    <row r="1073" spans="2:2" ht="20.85" customHeight="1" x14ac:dyDescent="0.25">
      <c r="B1073" s="303" t="s">
        <v>1199</v>
      </c>
    </row>
    <row r="1074" spans="2:2" ht="20.85" customHeight="1" x14ac:dyDescent="0.25">
      <c r="B1074" s="303" t="s">
        <v>1200</v>
      </c>
    </row>
    <row r="1075" spans="2:2" ht="20.85" customHeight="1" x14ac:dyDescent="0.25">
      <c r="B1075" s="303" t="s">
        <v>1201</v>
      </c>
    </row>
    <row r="1076" spans="2:2" ht="20.85" customHeight="1" x14ac:dyDescent="0.25">
      <c r="B1076" s="303" t="s">
        <v>1202</v>
      </c>
    </row>
    <row r="1077" spans="2:2" ht="20.85" customHeight="1" x14ac:dyDescent="0.25">
      <c r="B1077" s="303" t="s">
        <v>1203</v>
      </c>
    </row>
    <row r="1078" spans="2:2" ht="20.85" customHeight="1" x14ac:dyDescent="0.25">
      <c r="B1078" s="303" t="s">
        <v>1688</v>
      </c>
    </row>
    <row r="1079" spans="2:2" ht="20.85" customHeight="1" x14ac:dyDescent="0.25">
      <c r="B1079" s="303" t="s">
        <v>1689</v>
      </c>
    </row>
    <row r="1080" spans="2:2" ht="20.85" customHeight="1" x14ac:dyDescent="0.25">
      <c r="B1080" s="308" t="s">
        <v>1204</v>
      </c>
    </row>
    <row r="1081" spans="2:2" ht="20.85" customHeight="1" x14ac:dyDescent="0.25">
      <c r="B1081" s="303" t="s">
        <v>1205</v>
      </c>
    </row>
    <row r="1082" spans="2:2" ht="20.85" customHeight="1" x14ac:dyDescent="0.25">
      <c r="B1082" s="303" t="s">
        <v>1206</v>
      </c>
    </row>
    <row r="1083" spans="2:2" ht="20.85" customHeight="1" x14ac:dyDescent="0.25">
      <c r="B1083" s="303" t="s">
        <v>1207</v>
      </c>
    </row>
    <row r="1084" spans="2:2" ht="20.85" customHeight="1" x14ac:dyDescent="0.25">
      <c r="B1084" s="303" t="s">
        <v>1208</v>
      </c>
    </row>
    <row r="1085" spans="2:2" ht="20.85" customHeight="1" x14ac:dyDescent="0.25">
      <c r="B1085" s="303" t="s">
        <v>1690</v>
      </c>
    </row>
    <row r="1086" spans="2:2" ht="20.85" customHeight="1" x14ac:dyDescent="0.25">
      <c r="B1086" s="303" t="s">
        <v>1209</v>
      </c>
    </row>
    <row r="1087" spans="2:2" ht="20.85" customHeight="1" x14ac:dyDescent="0.25">
      <c r="B1087" s="303" t="s">
        <v>1691</v>
      </c>
    </row>
    <row r="1088" spans="2:2" ht="20.85" customHeight="1" x14ac:dyDescent="0.25">
      <c r="B1088" s="303" t="s">
        <v>1210</v>
      </c>
    </row>
    <row r="1089" spans="2:2" ht="20.85" customHeight="1" x14ac:dyDescent="0.25">
      <c r="B1089" s="303" t="s">
        <v>1211</v>
      </c>
    </row>
    <row r="1090" spans="2:2" ht="20.85" customHeight="1" x14ac:dyDescent="0.25">
      <c r="B1090" s="303" t="s">
        <v>1212</v>
      </c>
    </row>
    <row r="1091" spans="2:2" ht="20.85" customHeight="1" x14ac:dyDescent="0.25">
      <c r="B1091" s="303" t="s">
        <v>1213</v>
      </c>
    </row>
    <row r="1092" spans="2:2" ht="20.85" customHeight="1" x14ac:dyDescent="0.25">
      <c r="B1092" s="303" t="s">
        <v>1214</v>
      </c>
    </row>
    <row r="1093" spans="2:2" ht="20.85" customHeight="1" x14ac:dyDescent="0.25">
      <c r="B1093" s="303" t="s">
        <v>1215</v>
      </c>
    </row>
    <row r="1094" spans="2:2" ht="20.85" customHeight="1" x14ac:dyDescent="0.25">
      <c r="B1094" s="303" t="s">
        <v>1692</v>
      </c>
    </row>
    <row r="1095" spans="2:2" ht="20.85" customHeight="1" x14ac:dyDescent="0.25">
      <c r="B1095" s="303" t="s">
        <v>1693</v>
      </c>
    </row>
    <row r="1096" spans="2:2" ht="20.85" customHeight="1" x14ac:dyDescent="0.25">
      <c r="B1096" s="303" t="s">
        <v>1216</v>
      </c>
    </row>
    <row r="1097" spans="2:2" ht="20.85" customHeight="1" x14ac:dyDescent="0.25">
      <c r="B1097" s="303" t="s">
        <v>1694</v>
      </c>
    </row>
    <row r="1098" spans="2:2" ht="20.85" customHeight="1" x14ac:dyDescent="0.25">
      <c r="B1098" s="303" t="s">
        <v>1217</v>
      </c>
    </row>
    <row r="1099" spans="2:2" ht="20.85" customHeight="1" x14ac:dyDescent="0.25">
      <c r="B1099" s="303" t="s">
        <v>1218</v>
      </c>
    </row>
    <row r="1100" spans="2:2" ht="20.85" customHeight="1" x14ac:dyDescent="0.25">
      <c r="B1100" s="303" t="s">
        <v>1219</v>
      </c>
    </row>
    <row r="1101" spans="2:2" ht="20.85" customHeight="1" x14ac:dyDescent="0.25">
      <c r="B1101" s="303" t="s">
        <v>1220</v>
      </c>
    </row>
    <row r="1102" spans="2:2" ht="20.85" customHeight="1" x14ac:dyDescent="0.25">
      <c r="B1102" s="303" t="s">
        <v>1221</v>
      </c>
    </row>
    <row r="1103" spans="2:2" ht="20.85" customHeight="1" x14ac:dyDescent="0.25">
      <c r="B1103" s="303" t="s">
        <v>1695</v>
      </c>
    </row>
    <row r="1104" spans="2:2" ht="20.85" customHeight="1" x14ac:dyDescent="0.25">
      <c r="B1104" s="303" t="s">
        <v>1696</v>
      </c>
    </row>
    <row r="1105" spans="2:2" ht="20.85" customHeight="1" x14ac:dyDescent="0.25">
      <c r="B1105" s="303" t="s">
        <v>1222</v>
      </c>
    </row>
    <row r="1106" spans="2:2" ht="20.85" customHeight="1" x14ac:dyDescent="0.25">
      <c r="B1106" s="303" t="s">
        <v>1223</v>
      </c>
    </row>
    <row r="1107" spans="2:2" ht="20.85" customHeight="1" x14ac:dyDescent="0.25">
      <c r="B1107" s="308" t="s">
        <v>1224</v>
      </c>
    </row>
    <row r="1108" spans="2:2" ht="20.85" customHeight="1" x14ac:dyDescent="0.25">
      <c r="B1108" s="303" t="s">
        <v>1225</v>
      </c>
    </row>
    <row r="1109" spans="2:2" ht="20.85" customHeight="1" x14ac:dyDescent="0.25">
      <c r="B1109" s="303" t="s">
        <v>1226</v>
      </c>
    </row>
    <row r="1110" spans="2:2" ht="20.85" customHeight="1" x14ac:dyDescent="0.25">
      <c r="B1110" s="303" t="s">
        <v>1227</v>
      </c>
    </row>
    <row r="1111" spans="2:2" ht="20.85" customHeight="1" x14ac:dyDescent="0.25">
      <c r="B1111" s="303" t="s">
        <v>1697</v>
      </c>
    </row>
    <row r="1112" spans="2:2" ht="20.85" customHeight="1" x14ac:dyDescent="0.25">
      <c r="B1112" s="303" t="s">
        <v>1228</v>
      </c>
    </row>
    <row r="1113" spans="2:2" ht="20.85" customHeight="1" x14ac:dyDescent="0.25">
      <c r="B1113" s="303" t="s">
        <v>1229</v>
      </c>
    </row>
    <row r="1114" spans="2:2" ht="20.85" customHeight="1" x14ac:dyDescent="0.25">
      <c r="B1114" s="303" t="s">
        <v>1230</v>
      </c>
    </row>
    <row r="1115" spans="2:2" ht="20.85" customHeight="1" x14ac:dyDescent="0.25">
      <c r="B1115" s="303" t="s">
        <v>1698</v>
      </c>
    </row>
    <row r="1116" spans="2:2" ht="20.85" customHeight="1" x14ac:dyDescent="0.25">
      <c r="B1116" s="303" t="s">
        <v>1231</v>
      </c>
    </row>
    <row r="1117" spans="2:2" ht="20.85" customHeight="1" x14ac:dyDescent="0.25">
      <c r="B1117" s="303" t="s">
        <v>1699</v>
      </c>
    </row>
    <row r="1118" spans="2:2" ht="20.85" customHeight="1" x14ac:dyDescent="0.25">
      <c r="B1118" s="303" t="s">
        <v>1232</v>
      </c>
    </row>
    <row r="1119" spans="2:2" ht="20.85" customHeight="1" x14ac:dyDescent="0.25">
      <c r="B1119" s="303" t="s">
        <v>1233</v>
      </c>
    </row>
    <row r="1120" spans="2:2" ht="20.85" customHeight="1" x14ac:dyDescent="0.25">
      <c r="B1120" s="303" t="s">
        <v>1234</v>
      </c>
    </row>
    <row r="1121" spans="2:2" ht="20.85" customHeight="1" x14ac:dyDescent="0.25">
      <c r="B1121" s="303" t="s">
        <v>1700</v>
      </c>
    </row>
    <row r="1122" spans="2:2" ht="20.85" customHeight="1" thickBot="1" x14ac:dyDescent="0.3">
      <c r="B1122" s="312" t="s">
        <v>1701</v>
      </c>
    </row>
    <row r="1123" spans="2:2" ht="20.85" customHeight="1" x14ac:dyDescent="0.25">
      <c r="B1123" s="311"/>
    </row>
    <row r="1125" spans="2:2" ht="20.85" customHeight="1" thickBot="1" x14ac:dyDescent="0.3">
      <c r="B1125" s="298"/>
    </row>
    <row r="1126" spans="2:2" ht="20.85" customHeight="1" x14ac:dyDescent="0.25">
      <c r="B1126" s="320"/>
    </row>
    <row r="1127" spans="2:2" ht="20.85" customHeight="1" x14ac:dyDescent="0.25">
      <c r="B1127" s="297" t="s">
        <v>1235</v>
      </c>
    </row>
    <row r="1128" spans="2:2" ht="20.85" customHeight="1" x14ac:dyDescent="0.25">
      <c r="B1128" s="303" t="s">
        <v>1702</v>
      </c>
    </row>
    <row r="1129" spans="2:2" ht="20.85" customHeight="1" x14ac:dyDescent="0.25">
      <c r="B1129" s="303" t="s">
        <v>1236</v>
      </c>
    </row>
    <row r="1130" spans="2:2" ht="20.85" customHeight="1" x14ac:dyDescent="0.25">
      <c r="B1130" s="303" t="s">
        <v>1237</v>
      </c>
    </row>
    <row r="1131" spans="2:2" ht="20.85" customHeight="1" x14ac:dyDescent="0.25">
      <c r="B1131" s="303" t="s">
        <v>1238</v>
      </c>
    </row>
    <row r="1132" spans="2:2" ht="20.85" customHeight="1" x14ac:dyDescent="0.25">
      <c r="B1132" s="303" t="s">
        <v>1239</v>
      </c>
    </row>
    <row r="1133" spans="2:2" ht="20.85" customHeight="1" x14ac:dyDescent="0.25">
      <c r="B1133" s="303" t="s">
        <v>1240</v>
      </c>
    </row>
    <row r="1134" spans="2:2" ht="20.85" customHeight="1" x14ac:dyDescent="0.25">
      <c r="B1134" s="308" t="s">
        <v>1703</v>
      </c>
    </row>
    <row r="1135" spans="2:2" ht="20.85" customHeight="1" x14ac:dyDescent="0.25">
      <c r="B1135" s="303" t="s">
        <v>1704</v>
      </c>
    </row>
    <row r="1136" spans="2:2" ht="20.85" customHeight="1" x14ac:dyDescent="0.25">
      <c r="B1136" s="303" t="s">
        <v>1241</v>
      </c>
    </row>
    <row r="1137" spans="2:2" ht="20.85" customHeight="1" x14ac:dyDescent="0.25">
      <c r="B1137" s="303" t="s">
        <v>1705</v>
      </c>
    </row>
    <row r="1138" spans="2:2" ht="20.85" customHeight="1" x14ac:dyDescent="0.25">
      <c r="B1138" s="303" t="s">
        <v>1242</v>
      </c>
    </row>
    <row r="1139" spans="2:2" ht="20.85" customHeight="1" x14ac:dyDescent="0.25">
      <c r="B1139" s="303" t="s">
        <v>1243</v>
      </c>
    </row>
    <row r="1140" spans="2:2" ht="20.85" customHeight="1" x14ac:dyDescent="0.25">
      <c r="B1140" s="303" t="s">
        <v>1244</v>
      </c>
    </row>
    <row r="1141" spans="2:2" ht="20.85" customHeight="1" x14ac:dyDescent="0.25">
      <c r="B1141" s="303" t="s">
        <v>1706</v>
      </c>
    </row>
    <row r="1142" spans="2:2" ht="20.85" customHeight="1" x14ac:dyDescent="0.25">
      <c r="B1142" s="303" t="s">
        <v>1707</v>
      </c>
    </row>
    <row r="1143" spans="2:2" ht="20.85" customHeight="1" x14ac:dyDescent="0.25">
      <c r="B1143" s="308" t="s">
        <v>1245</v>
      </c>
    </row>
    <row r="1144" spans="2:2" ht="20.85" customHeight="1" x14ac:dyDescent="0.25">
      <c r="B1144" s="303" t="s">
        <v>1246</v>
      </c>
    </row>
    <row r="1145" spans="2:2" ht="20.85" customHeight="1" x14ac:dyDescent="0.25">
      <c r="B1145" s="303" t="s">
        <v>1247</v>
      </c>
    </row>
    <row r="1146" spans="2:2" ht="20.85" customHeight="1" x14ac:dyDescent="0.25">
      <c r="B1146" s="303" t="s">
        <v>1248</v>
      </c>
    </row>
    <row r="1147" spans="2:2" ht="20.85" customHeight="1" x14ac:dyDescent="0.25">
      <c r="B1147" s="303" t="s">
        <v>1249</v>
      </c>
    </row>
    <row r="1148" spans="2:2" ht="20.85" customHeight="1" x14ac:dyDescent="0.25">
      <c r="B1148" s="308" t="s">
        <v>1250</v>
      </c>
    </row>
    <row r="1149" spans="2:2" ht="20.85" customHeight="1" x14ac:dyDescent="0.25">
      <c r="B1149" s="303" t="s">
        <v>1708</v>
      </c>
    </row>
    <row r="1150" spans="2:2" ht="20.85" customHeight="1" x14ac:dyDescent="0.25">
      <c r="B1150" s="303" t="s">
        <v>1251</v>
      </c>
    </row>
    <row r="1151" spans="2:2" ht="20.85" customHeight="1" x14ac:dyDescent="0.25">
      <c r="B1151" s="303" t="s">
        <v>1252</v>
      </c>
    </row>
    <row r="1152" spans="2:2" ht="20.85" customHeight="1" x14ac:dyDescent="0.25">
      <c r="B1152" s="303" t="s">
        <v>1253</v>
      </c>
    </row>
    <row r="1153" spans="2:2" ht="20.85" customHeight="1" x14ac:dyDescent="0.25">
      <c r="B1153" s="303" t="s">
        <v>1254</v>
      </c>
    </row>
    <row r="1154" spans="2:2" ht="20.85" customHeight="1" x14ac:dyDescent="0.25">
      <c r="B1154" s="303" t="s">
        <v>1255</v>
      </c>
    </row>
    <row r="1155" spans="2:2" ht="20.85" customHeight="1" x14ac:dyDescent="0.25">
      <c r="B1155" s="303" t="s">
        <v>1256</v>
      </c>
    </row>
    <row r="1156" spans="2:2" ht="20.85" customHeight="1" x14ac:dyDescent="0.25">
      <c r="B1156" s="303" t="s">
        <v>1257</v>
      </c>
    </row>
    <row r="1157" spans="2:2" ht="20.85" customHeight="1" x14ac:dyDescent="0.25">
      <c r="B1157" s="303" t="s">
        <v>1709</v>
      </c>
    </row>
    <row r="1158" spans="2:2" ht="20.85" customHeight="1" x14ac:dyDescent="0.25">
      <c r="B1158" s="303" t="s">
        <v>1258</v>
      </c>
    </row>
    <row r="1159" spans="2:2" ht="20.85" customHeight="1" x14ac:dyDescent="0.25">
      <c r="B1159" s="303" t="s">
        <v>1259</v>
      </c>
    </row>
    <row r="1160" spans="2:2" ht="20.85" customHeight="1" x14ac:dyDescent="0.25">
      <c r="B1160" s="303" t="s">
        <v>1260</v>
      </c>
    </row>
    <row r="1161" spans="2:2" ht="20.85" customHeight="1" x14ac:dyDescent="0.25">
      <c r="B1161" s="303" t="s">
        <v>1261</v>
      </c>
    </row>
    <row r="1162" spans="2:2" ht="20.85" customHeight="1" x14ac:dyDescent="0.25">
      <c r="B1162" s="303" t="s">
        <v>1262</v>
      </c>
    </row>
    <row r="1163" spans="2:2" ht="20.85" customHeight="1" x14ac:dyDescent="0.25">
      <c r="B1163" s="303" t="s">
        <v>1263</v>
      </c>
    </row>
    <row r="1164" spans="2:2" ht="20.85" customHeight="1" x14ac:dyDescent="0.25">
      <c r="B1164" s="303" t="s">
        <v>1710</v>
      </c>
    </row>
    <row r="1165" spans="2:2" ht="20.85" customHeight="1" x14ac:dyDescent="0.25">
      <c r="B1165" s="303" t="s">
        <v>1264</v>
      </c>
    </row>
    <row r="1166" spans="2:2" ht="20.85" customHeight="1" x14ac:dyDescent="0.25">
      <c r="B1166" s="303" t="s">
        <v>1265</v>
      </c>
    </row>
    <row r="1167" spans="2:2" ht="20.85" customHeight="1" x14ac:dyDescent="0.25">
      <c r="B1167" s="303" t="s">
        <v>1266</v>
      </c>
    </row>
    <row r="1168" spans="2:2" ht="20.85" customHeight="1" x14ac:dyDescent="0.25">
      <c r="B1168" s="297" t="s">
        <v>1267</v>
      </c>
    </row>
    <row r="1169" spans="2:2" ht="20.85" customHeight="1" x14ac:dyDescent="0.25">
      <c r="B1169" s="303" t="s">
        <v>1711</v>
      </c>
    </row>
    <row r="1170" spans="2:2" ht="20.85" customHeight="1" x14ac:dyDescent="0.25">
      <c r="B1170" s="303" t="s">
        <v>1268</v>
      </c>
    </row>
    <row r="1171" spans="2:2" ht="20.85" customHeight="1" x14ac:dyDescent="0.25">
      <c r="B1171" s="303" t="s">
        <v>1269</v>
      </c>
    </row>
    <row r="1172" spans="2:2" ht="20.85" customHeight="1" x14ac:dyDescent="0.25">
      <c r="B1172" s="303" t="s">
        <v>1712</v>
      </c>
    </row>
    <row r="1173" spans="2:2" ht="20.85" customHeight="1" x14ac:dyDescent="0.25">
      <c r="B1173" s="303" t="s">
        <v>1713</v>
      </c>
    </row>
    <row r="1174" spans="2:2" ht="20.85" customHeight="1" x14ac:dyDescent="0.25">
      <c r="B1174" s="297" t="s">
        <v>1270</v>
      </c>
    </row>
    <row r="1175" spans="2:2" ht="20.85" customHeight="1" x14ac:dyDescent="0.25">
      <c r="B1175" s="303" t="s">
        <v>1714</v>
      </c>
    </row>
    <row r="1176" spans="2:2" ht="20.85" customHeight="1" x14ac:dyDescent="0.25">
      <c r="B1176" s="303" t="s">
        <v>1271</v>
      </c>
    </row>
    <row r="1177" spans="2:2" ht="20.85" customHeight="1" x14ac:dyDescent="0.25">
      <c r="B1177" s="308" t="s">
        <v>1272</v>
      </c>
    </row>
    <row r="1178" spans="2:2" ht="20.85" customHeight="1" x14ac:dyDescent="0.25">
      <c r="B1178" s="303" t="s">
        <v>1273</v>
      </c>
    </row>
    <row r="1179" spans="2:2" ht="20.85" customHeight="1" x14ac:dyDescent="0.25">
      <c r="B1179" s="303" t="s">
        <v>1274</v>
      </c>
    </row>
    <row r="1180" spans="2:2" ht="20.85" customHeight="1" x14ac:dyDescent="0.25">
      <c r="B1180" s="303" t="s">
        <v>1275</v>
      </c>
    </row>
    <row r="1181" spans="2:2" ht="20.85" customHeight="1" x14ac:dyDescent="0.25">
      <c r="B1181" s="303" t="s">
        <v>1276</v>
      </c>
    </row>
    <row r="1182" spans="2:2" ht="20.85" customHeight="1" x14ac:dyDescent="0.25">
      <c r="B1182" s="303" t="s">
        <v>1715</v>
      </c>
    </row>
    <row r="1183" spans="2:2" ht="20.85" customHeight="1" x14ac:dyDescent="0.25">
      <c r="B1183" s="303" t="s">
        <v>1277</v>
      </c>
    </row>
    <row r="1184" spans="2:2" ht="20.85" customHeight="1" x14ac:dyDescent="0.25">
      <c r="B1184" s="303" t="s">
        <v>1278</v>
      </c>
    </row>
    <row r="1185" spans="2:2" ht="20.85" customHeight="1" x14ac:dyDescent="0.25">
      <c r="B1185" s="303" t="s">
        <v>1279</v>
      </c>
    </row>
    <row r="1186" spans="2:2" ht="20.85" customHeight="1" x14ac:dyDescent="0.25">
      <c r="B1186" s="303" t="s">
        <v>1280</v>
      </c>
    </row>
    <row r="1187" spans="2:2" ht="20.85" customHeight="1" x14ac:dyDescent="0.25">
      <c r="B1187" s="303" t="s">
        <v>1281</v>
      </c>
    </row>
    <row r="1188" spans="2:2" ht="20.85" customHeight="1" x14ac:dyDescent="0.25">
      <c r="B1188" s="303" t="s">
        <v>1716</v>
      </c>
    </row>
    <row r="1189" spans="2:2" ht="20.85" customHeight="1" x14ac:dyDescent="0.25">
      <c r="B1189" s="303" t="s">
        <v>1282</v>
      </c>
    </row>
    <row r="1190" spans="2:2" ht="20.85" customHeight="1" x14ac:dyDescent="0.25">
      <c r="B1190" s="303" t="s">
        <v>1283</v>
      </c>
    </row>
    <row r="1191" spans="2:2" ht="20.85" customHeight="1" x14ac:dyDescent="0.25">
      <c r="B1191" s="308" t="s">
        <v>1284</v>
      </c>
    </row>
    <row r="1192" spans="2:2" ht="20.85" customHeight="1" x14ac:dyDescent="0.25">
      <c r="B1192" s="297" t="s">
        <v>1285</v>
      </c>
    </row>
    <row r="1193" spans="2:2" ht="20.85" customHeight="1" x14ac:dyDescent="0.25">
      <c r="B1193" s="303" t="s">
        <v>1717</v>
      </c>
    </row>
    <row r="1194" spans="2:2" ht="20.85" customHeight="1" x14ac:dyDescent="0.25">
      <c r="B1194" s="303" t="s">
        <v>1286</v>
      </c>
    </row>
    <row r="1195" spans="2:2" ht="20.85" customHeight="1" x14ac:dyDescent="0.25">
      <c r="B1195" s="303" t="s">
        <v>1287</v>
      </c>
    </row>
    <row r="1196" spans="2:2" ht="20.85" customHeight="1" x14ac:dyDescent="0.25">
      <c r="B1196" s="303" t="s">
        <v>1288</v>
      </c>
    </row>
    <row r="1197" spans="2:2" ht="20.85" customHeight="1" x14ac:dyDescent="0.25">
      <c r="B1197" s="303" t="s">
        <v>1289</v>
      </c>
    </row>
    <row r="1198" spans="2:2" ht="20.85" customHeight="1" x14ac:dyDescent="0.25">
      <c r="B1198" s="303" t="s">
        <v>1290</v>
      </c>
    </row>
    <row r="1199" spans="2:2" ht="20.85" customHeight="1" x14ac:dyDescent="0.25">
      <c r="B1199" s="303" t="s">
        <v>1718</v>
      </c>
    </row>
    <row r="1200" spans="2:2" ht="20.85" customHeight="1" x14ac:dyDescent="0.25">
      <c r="B1200" s="303" t="s">
        <v>1291</v>
      </c>
    </row>
    <row r="1201" spans="2:2" ht="20.85" customHeight="1" x14ac:dyDescent="0.25">
      <c r="B1201" s="303" t="s">
        <v>1292</v>
      </c>
    </row>
    <row r="1202" spans="2:2" ht="20.85" customHeight="1" x14ac:dyDescent="0.25">
      <c r="B1202" s="303" t="s">
        <v>1719</v>
      </c>
    </row>
    <row r="1203" spans="2:2" ht="20.85" customHeight="1" x14ac:dyDescent="0.25">
      <c r="B1203" s="303" t="s">
        <v>1720</v>
      </c>
    </row>
    <row r="1204" spans="2:2" ht="20.85" customHeight="1" x14ac:dyDescent="0.25">
      <c r="B1204" s="303" t="s">
        <v>1293</v>
      </c>
    </row>
    <row r="1205" spans="2:2" ht="20.85" customHeight="1" x14ac:dyDescent="0.25">
      <c r="B1205" s="303" t="s">
        <v>1294</v>
      </c>
    </row>
    <row r="1206" spans="2:2" ht="20.85" customHeight="1" x14ac:dyDescent="0.25">
      <c r="B1206" s="303" t="s">
        <v>1295</v>
      </c>
    </row>
    <row r="1207" spans="2:2" ht="20.85" customHeight="1" x14ac:dyDescent="0.25">
      <c r="B1207" s="308" t="s">
        <v>1296</v>
      </c>
    </row>
    <row r="1208" spans="2:2" ht="20.85" customHeight="1" x14ac:dyDescent="0.25">
      <c r="B1208" s="303" t="s">
        <v>1297</v>
      </c>
    </row>
    <row r="1209" spans="2:2" ht="20.85" customHeight="1" x14ac:dyDescent="0.25">
      <c r="B1209" s="303" t="s">
        <v>1298</v>
      </c>
    </row>
    <row r="1210" spans="2:2" ht="20.85" customHeight="1" x14ac:dyDescent="0.25">
      <c r="B1210" s="303" t="s">
        <v>1721</v>
      </c>
    </row>
    <row r="1211" spans="2:2" ht="20.85" customHeight="1" x14ac:dyDescent="0.25">
      <c r="B1211" s="303" t="s">
        <v>1299</v>
      </c>
    </row>
    <row r="1212" spans="2:2" ht="20.85" customHeight="1" x14ac:dyDescent="0.25">
      <c r="B1212" s="303" t="s">
        <v>1300</v>
      </c>
    </row>
    <row r="1213" spans="2:2" ht="20.85" customHeight="1" x14ac:dyDescent="0.25">
      <c r="B1213" s="303" t="s">
        <v>1301</v>
      </c>
    </row>
    <row r="1214" spans="2:2" ht="20.85" customHeight="1" x14ac:dyDescent="0.25">
      <c r="B1214" s="303" t="s">
        <v>1302</v>
      </c>
    </row>
    <row r="1215" spans="2:2" ht="20.85" customHeight="1" x14ac:dyDescent="0.25">
      <c r="B1215" s="303" t="s">
        <v>1303</v>
      </c>
    </row>
    <row r="1216" spans="2:2" ht="20.85" customHeight="1" x14ac:dyDescent="0.25">
      <c r="B1216" s="303" t="s">
        <v>1722</v>
      </c>
    </row>
    <row r="1217" spans="2:2" ht="20.85" customHeight="1" x14ac:dyDescent="0.25">
      <c r="B1217" s="303" t="s">
        <v>1304</v>
      </c>
    </row>
    <row r="1218" spans="2:2" ht="20.85" customHeight="1" x14ac:dyDescent="0.25">
      <c r="B1218" s="303" t="s">
        <v>1305</v>
      </c>
    </row>
    <row r="1219" spans="2:2" ht="20.85" customHeight="1" x14ac:dyDescent="0.25">
      <c r="B1219" s="303" t="s">
        <v>1306</v>
      </c>
    </row>
    <row r="1220" spans="2:2" ht="20.85" customHeight="1" x14ac:dyDescent="0.25">
      <c r="B1220" s="308" t="s">
        <v>1723</v>
      </c>
    </row>
    <row r="1221" spans="2:2" ht="20.85" customHeight="1" x14ac:dyDescent="0.25">
      <c r="B1221" s="303" t="s">
        <v>1307</v>
      </c>
    </row>
    <row r="1222" spans="2:2" ht="20.85" customHeight="1" x14ac:dyDescent="0.25">
      <c r="B1222" s="299"/>
    </row>
    <row r="1223" spans="2:2" ht="20.85" customHeight="1" x14ac:dyDescent="0.25">
      <c r="B1223" s="299"/>
    </row>
    <row r="1224" spans="2:2" ht="20.85" customHeight="1" x14ac:dyDescent="0.25">
      <c r="B1224" s="299"/>
    </row>
    <row r="1225" spans="2:2" ht="20.85" customHeight="1" x14ac:dyDescent="0.25">
      <c r="B1225" s="303"/>
    </row>
    <row r="1226" spans="2:2" ht="20.85" customHeight="1" x14ac:dyDescent="0.25">
      <c r="B1226" s="303" t="s">
        <v>1308</v>
      </c>
    </row>
    <row r="1227" spans="2:2" ht="20.85" customHeight="1" x14ac:dyDescent="0.25">
      <c r="B1227" s="308" t="s">
        <v>1309</v>
      </c>
    </row>
    <row r="1228" spans="2:2" ht="20.85" customHeight="1" x14ac:dyDescent="0.25">
      <c r="B1228" s="303" t="s">
        <v>1310</v>
      </c>
    </row>
    <row r="1229" spans="2:2" ht="20.85" customHeight="1" x14ac:dyDescent="0.25">
      <c r="B1229" s="303" t="s">
        <v>1311</v>
      </c>
    </row>
    <row r="1230" spans="2:2" ht="20.85" customHeight="1" x14ac:dyDescent="0.25">
      <c r="B1230" s="297" t="s">
        <v>1312</v>
      </c>
    </row>
    <row r="1231" spans="2:2" ht="20.85" customHeight="1" x14ac:dyDescent="0.25">
      <c r="B1231" s="303" t="s">
        <v>1724</v>
      </c>
    </row>
    <row r="1232" spans="2:2" ht="20.85" customHeight="1" x14ac:dyDescent="0.25">
      <c r="B1232" s="303" t="s">
        <v>1725</v>
      </c>
    </row>
    <row r="1233" spans="2:2" ht="20.85" customHeight="1" x14ac:dyDescent="0.25">
      <c r="B1233" s="303" t="s">
        <v>1313</v>
      </c>
    </row>
    <row r="1234" spans="2:2" ht="20.85" customHeight="1" x14ac:dyDescent="0.25">
      <c r="B1234" s="303" t="s">
        <v>1314</v>
      </c>
    </row>
    <row r="1235" spans="2:2" ht="20.85" customHeight="1" x14ac:dyDescent="0.25">
      <c r="B1235" s="303" t="s">
        <v>1315</v>
      </c>
    </row>
    <row r="1236" spans="2:2" ht="20.85" customHeight="1" x14ac:dyDescent="0.25">
      <c r="B1236" s="303" t="s">
        <v>1316</v>
      </c>
    </row>
    <row r="1237" spans="2:2" ht="20.85" customHeight="1" x14ac:dyDescent="0.25">
      <c r="B1237" s="297" t="s">
        <v>1317</v>
      </c>
    </row>
    <row r="1238" spans="2:2" ht="20.85" customHeight="1" x14ac:dyDescent="0.25">
      <c r="B1238" s="303" t="s">
        <v>1726</v>
      </c>
    </row>
    <row r="1239" spans="2:2" ht="20.85" customHeight="1" x14ac:dyDescent="0.25">
      <c r="B1239" s="303" t="s">
        <v>1318</v>
      </c>
    </row>
    <row r="1240" spans="2:2" ht="20.85" customHeight="1" x14ac:dyDescent="0.25">
      <c r="B1240" s="303" t="s">
        <v>1319</v>
      </c>
    </row>
    <row r="1241" spans="2:2" ht="20.85" customHeight="1" x14ac:dyDescent="0.25">
      <c r="B1241" s="303" t="s">
        <v>1727</v>
      </c>
    </row>
    <row r="1242" spans="2:2" ht="20.85" customHeight="1" x14ac:dyDescent="0.25">
      <c r="B1242" s="303" t="s">
        <v>1728</v>
      </c>
    </row>
    <row r="1243" spans="2:2" ht="20.85" customHeight="1" x14ac:dyDescent="0.25">
      <c r="B1243" s="303" t="s">
        <v>1320</v>
      </c>
    </row>
    <row r="1244" spans="2:2" ht="20.85" customHeight="1" x14ac:dyDescent="0.25">
      <c r="B1244" s="303" t="s">
        <v>1321</v>
      </c>
    </row>
    <row r="1245" spans="2:2" ht="20.85" customHeight="1" x14ac:dyDescent="0.25">
      <c r="B1245" s="303" t="s">
        <v>1322</v>
      </c>
    </row>
    <row r="1246" spans="2:2" ht="20.85" customHeight="1" x14ac:dyDescent="0.25">
      <c r="B1246" s="303" t="s">
        <v>1323</v>
      </c>
    </row>
    <row r="1247" spans="2:2" ht="20.85" customHeight="1" x14ac:dyDescent="0.25">
      <c r="B1247" s="303" t="s">
        <v>1324</v>
      </c>
    </row>
    <row r="1248" spans="2:2" ht="20.85" customHeight="1" x14ac:dyDescent="0.25">
      <c r="B1248" s="303" t="s">
        <v>1729</v>
      </c>
    </row>
    <row r="1249" spans="2:2" ht="20.85" customHeight="1" x14ac:dyDescent="0.25">
      <c r="B1249" s="308" t="s">
        <v>1325</v>
      </c>
    </row>
    <row r="1250" spans="2:2" ht="20.85" customHeight="1" x14ac:dyDescent="0.25">
      <c r="B1250" s="321" t="s">
        <v>1326</v>
      </c>
    </row>
    <row r="1251" spans="2:2" ht="20.85" customHeight="1" x14ac:dyDescent="0.25">
      <c r="B1251" s="303" t="s">
        <v>1327</v>
      </c>
    </row>
    <row r="1252" spans="2:2" ht="20.85" customHeight="1" x14ac:dyDescent="0.25">
      <c r="B1252" s="303" t="s">
        <v>1328</v>
      </c>
    </row>
    <row r="1253" spans="2:2" ht="20.85" customHeight="1" x14ac:dyDescent="0.25">
      <c r="B1253" s="303" t="s">
        <v>1329</v>
      </c>
    </row>
    <row r="1254" spans="2:2" ht="20.85" customHeight="1" x14ac:dyDescent="0.25">
      <c r="B1254" s="303" t="s">
        <v>1330</v>
      </c>
    </row>
    <row r="1255" spans="2:2" ht="20.85" customHeight="1" x14ac:dyDescent="0.25">
      <c r="B1255" s="303" t="s">
        <v>1331</v>
      </c>
    </row>
    <row r="1256" spans="2:2" ht="20.85" customHeight="1" x14ac:dyDescent="0.25">
      <c r="B1256" s="297" t="s">
        <v>1332</v>
      </c>
    </row>
    <row r="1257" spans="2:2" ht="20.85" customHeight="1" thickBot="1" x14ac:dyDescent="0.3">
      <c r="B1257" s="312" t="s">
        <v>1333</v>
      </c>
    </row>
    <row r="1258" spans="2:2" ht="20.85" customHeight="1" x14ac:dyDescent="0.25">
      <c r="B1258" s="311"/>
    </row>
    <row r="1259" spans="2:2" ht="20.85" customHeight="1" thickBot="1" x14ac:dyDescent="0.3">
      <c r="B1259" s="311"/>
    </row>
    <row r="1260" spans="2:2" ht="20.85" customHeight="1" x14ac:dyDescent="0.25">
      <c r="B1260" s="307" t="s">
        <v>1730</v>
      </c>
    </row>
    <row r="1261" spans="2:2" ht="20.85" customHeight="1" x14ac:dyDescent="0.25">
      <c r="B1261" s="303" t="s">
        <v>1334</v>
      </c>
    </row>
    <row r="1262" spans="2:2" ht="20.85" customHeight="1" x14ac:dyDescent="0.25">
      <c r="B1262" s="303" t="s">
        <v>1335</v>
      </c>
    </row>
    <row r="1263" spans="2:2" ht="20.85" customHeight="1" x14ac:dyDescent="0.25">
      <c r="B1263" s="303" t="s">
        <v>1731</v>
      </c>
    </row>
    <row r="1264" spans="2:2" ht="20.85" customHeight="1" x14ac:dyDescent="0.25">
      <c r="B1264" s="303" t="s">
        <v>1336</v>
      </c>
    </row>
    <row r="1265" spans="2:2" ht="20.85" customHeight="1" x14ac:dyDescent="0.25">
      <c r="B1265" s="308" t="s">
        <v>1337</v>
      </c>
    </row>
    <row r="1266" spans="2:2" ht="20.85" customHeight="1" x14ac:dyDescent="0.25">
      <c r="B1266" s="303" t="s">
        <v>1732</v>
      </c>
    </row>
    <row r="1267" spans="2:2" ht="20.85" customHeight="1" x14ac:dyDescent="0.25">
      <c r="B1267" s="303" t="s">
        <v>1338</v>
      </c>
    </row>
    <row r="1268" spans="2:2" ht="20.85" customHeight="1" x14ac:dyDescent="0.25">
      <c r="B1268" s="303" t="s">
        <v>1733</v>
      </c>
    </row>
    <row r="1269" spans="2:2" ht="20.85" customHeight="1" x14ac:dyDescent="0.25">
      <c r="B1269" s="303" t="s">
        <v>1339</v>
      </c>
    </row>
    <row r="1270" spans="2:2" ht="20.85" customHeight="1" x14ac:dyDescent="0.25">
      <c r="B1270" s="303" t="s">
        <v>1340</v>
      </c>
    </row>
    <row r="1271" spans="2:2" ht="20.85" customHeight="1" x14ac:dyDescent="0.25">
      <c r="B1271" s="303" t="s">
        <v>1341</v>
      </c>
    </row>
    <row r="1272" spans="2:2" ht="20.85" customHeight="1" x14ac:dyDescent="0.25">
      <c r="B1272" s="303" t="s">
        <v>1342</v>
      </c>
    </row>
    <row r="1273" spans="2:2" ht="20.85" customHeight="1" x14ac:dyDescent="0.25">
      <c r="B1273" s="303" t="s">
        <v>1734</v>
      </c>
    </row>
    <row r="1274" spans="2:2" ht="20.85" customHeight="1" x14ac:dyDescent="0.25">
      <c r="B1274" s="303" t="s">
        <v>1343</v>
      </c>
    </row>
    <row r="1275" spans="2:2" ht="20.85" customHeight="1" x14ac:dyDescent="0.25">
      <c r="B1275" s="303" t="s">
        <v>1344</v>
      </c>
    </row>
    <row r="1276" spans="2:2" ht="20.85" customHeight="1" x14ac:dyDescent="0.25">
      <c r="B1276" s="303" t="s">
        <v>1345</v>
      </c>
    </row>
    <row r="1277" spans="2:2" ht="20.85" customHeight="1" x14ac:dyDescent="0.25">
      <c r="B1277" s="303" t="s">
        <v>1735</v>
      </c>
    </row>
    <row r="1278" spans="2:2" ht="20.85" customHeight="1" x14ac:dyDescent="0.25">
      <c r="B1278" s="303" t="s">
        <v>1346</v>
      </c>
    </row>
    <row r="1279" spans="2:2" ht="20.85" customHeight="1" x14ac:dyDescent="0.25">
      <c r="B1279" s="303" t="s">
        <v>1347</v>
      </c>
    </row>
    <row r="1280" spans="2:2" ht="20.85" customHeight="1" x14ac:dyDescent="0.25">
      <c r="B1280" s="303" t="s">
        <v>1348</v>
      </c>
    </row>
    <row r="1281" spans="2:2" ht="20.85" customHeight="1" x14ac:dyDescent="0.25">
      <c r="B1281" s="303" t="s">
        <v>1736</v>
      </c>
    </row>
    <row r="1282" spans="2:2" ht="20.85" customHeight="1" x14ac:dyDescent="0.25">
      <c r="B1282" s="303" t="s">
        <v>1349</v>
      </c>
    </row>
    <row r="1283" spans="2:2" ht="20.85" customHeight="1" x14ac:dyDescent="0.25">
      <c r="B1283" s="303" t="s">
        <v>1350</v>
      </c>
    </row>
    <row r="1284" spans="2:2" ht="20.85" customHeight="1" x14ac:dyDescent="0.25">
      <c r="B1284" s="303" t="s">
        <v>1737</v>
      </c>
    </row>
    <row r="1285" spans="2:2" ht="20.85" customHeight="1" x14ac:dyDescent="0.25">
      <c r="B1285" s="303" t="s">
        <v>1351</v>
      </c>
    </row>
    <row r="1286" spans="2:2" ht="20.85" customHeight="1" x14ac:dyDescent="0.25">
      <c r="B1286" s="303" t="s">
        <v>1352</v>
      </c>
    </row>
    <row r="1287" spans="2:2" ht="20.85" customHeight="1" x14ac:dyDescent="0.25">
      <c r="B1287" s="303" t="s">
        <v>1353</v>
      </c>
    </row>
    <row r="1288" spans="2:2" ht="20.85" customHeight="1" x14ac:dyDescent="0.25">
      <c r="B1288" s="303" t="s">
        <v>1738</v>
      </c>
    </row>
    <row r="1289" spans="2:2" ht="20.85" customHeight="1" x14ac:dyDescent="0.25">
      <c r="B1289" s="303" t="s">
        <v>1354</v>
      </c>
    </row>
    <row r="1290" spans="2:2" ht="20.85" customHeight="1" x14ac:dyDescent="0.25">
      <c r="B1290" s="303" t="s">
        <v>1355</v>
      </c>
    </row>
    <row r="1291" spans="2:2" ht="20.85" customHeight="1" x14ac:dyDescent="0.25">
      <c r="B1291" s="308" t="s">
        <v>1356</v>
      </c>
    </row>
    <row r="1292" spans="2:2" ht="20.85" customHeight="1" x14ac:dyDescent="0.25">
      <c r="B1292" s="303" t="s">
        <v>1357</v>
      </c>
    </row>
    <row r="1293" spans="2:2" ht="20.85" customHeight="1" x14ac:dyDescent="0.25">
      <c r="B1293" s="303" t="s">
        <v>1358</v>
      </c>
    </row>
    <row r="1294" spans="2:2" ht="20.85" customHeight="1" x14ac:dyDescent="0.25">
      <c r="B1294" s="303" t="s">
        <v>1739</v>
      </c>
    </row>
    <row r="1295" spans="2:2" ht="20.85" customHeight="1" x14ac:dyDescent="0.25">
      <c r="B1295" s="303" t="s">
        <v>1359</v>
      </c>
    </row>
    <row r="1296" spans="2:2" ht="20.85" customHeight="1" x14ac:dyDescent="0.25">
      <c r="B1296" s="303" t="s">
        <v>1360</v>
      </c>
    </row>
    <row r="1297" spans="2:2" ht="20.85" customHeight="1" x14ac:dyDescent="0.25">
      <c r="B1297" s="303" t="s">
        <v>1361</v>
      </c>
    </row>
    <row r="1298" spans="2:2" ht="20.85" customHeight="1" x14ac:dyDescent="0.25">
      <c r="B1298" s="303" t="s">
        <v>1362</v>
      </c>
    </row>
    <row r="1299" spans="2:2" ht="20.85" customHeight="1" x14ac:dyDescent="0.25">
      <c r="B1299" s="303" t="s">
        <v>1363</v>
      </c>
    </row>
    <row r="1300" spans="2:2" ht="20.85" customHeight="1" x14ac:dyDescent="0.25">
      <c r="B1300" s="308" t="s">
        <v>1364</v>
      </c>
    </row>
    <row r="1301" spans="2:2" ht="20.85" customHeight="1" x14ac:dyDescent="0.25">
      <c r="B1301" s="303" t="s">
        <v>1365</v>
      </c>
    </row>
    <row r="1302" spans="2:2" ht="20.85" customHeight="1" x14ac:dyDescent="0.25">
      <c r="B1302" s="303" t="s">
        <v>1366</v>
      </c>
    </row>
    <row r="1303" spans="2:2" ht="20.85" customHeight="1" x14ac:dyDescent="0.25">
      <c r="B1303" s="303" t="s">
        <v>1367</v>
      </c>
    </row>
    <row r="1304" spans="2:2" ht="20.85" customHeight="1" x14ac:dyDescent="0.25">
      <c r="B1304" s="303" t="s">
        <v>1368</v>
      </c>
    </row>
    <row r="1305" spans="2:2" ht="20.85" customHeight="1" x14ac:dyDescent="0.25">
      <c r="B1305" s="303" t="s">
        <v>1740</v>
      </c>
    </row>
    <row r="1306" spans="2:2" ht="20.85" customHeight="1" x14ac:dyDescent="0.25">
      <c r="B1306" s="308" t="s">
        <v>1369</v>
      </c>
    </row>
    <row r="1307" spans="2:2" ht="20.85" customHeight="1" x14ac:dyDescent="0.25">
      <c r="B1307" s="303" t="s">
        <v>1370</v>
      </c>
    </row>
    <row r="1308" spans="2:2" ht="20.85" customHeight="1" x14ac:dyDescent="0.25">
      <c r="B1308" s="303" t="s">
        <v>1741</v>
      </c>
    </row>
    <row r="1309" spans="2:2" ht="20.85" customHeight="1" x14ac:dyDescent="0.25">
      <c r="B1309" s="303" t="s">
        <v>1742</v>
      </c>
    </row>
    <row r="1310" spans="2:2" ht="20.85" customHeight="1" x14ac:dyDescent="0.25">
      <c r="B1310" s="303" t="s">
        <v>1371</v>
      </c>
    </row>
    <row r="1311" spans="2:2" ht="20.85" customHeight="1" x14ac:dyDescent="0.25">
      <c r="B1311" s="303" t="s">
        <v>1743</v>
      </c>
    </row>
    <row r="1312" spans="2:2" ht="20.85" customHeight="1" x14ac:dyDescent="0.25">
      <c r="B1312" s="303" t="s">
        <v>1372</v>
      </c>
    </row>
    <row r="1313" spans="2:2" ht="20.85" customHeight="1" x14ac:dyDescent="0.25">
      <c r="B1313" s="303" t="s">
        <v>1373</v>
      </c>
    </row>
    <row r="1314" spans="2:2" ht="20.85" customHeight="1" x14ac:dyDescent="0.25">
      <c r="B1314" s="303" t="s">
        <v>1744</v>
      </c>
    </row>
    <row r="1315" spans="2:2" ht="20.85" customHeight="1" x14ac:dyDescent="0.25">
      <c r="B1315" s="303" t="s">
        <v>1745</v>
      </c>
    </row>
    <row r="1316" spans="2:2" ht="20.85" customHeight="1" x14ac:dyDescent="0.25">
      <c r="B1316" s="303" t="s">
        <v>1374</v>
      </c>
    </row>
    <row r="1317" spans="2:2" ht="20.85" customHeight="1" x14ac:dyDescent="0.25">
      <c r="B1317" s="303" t="s">
        <v>1375</v>
      </c>
    </row>
    <row r="1318" spans="2:2" ht="20.85" customHeight="1" x14ac:dyDescent="0.25">
      <c r="B1318" s="303" t="s">
        <v>1376</v>
      </c>
    </row>
    <row r="1319" spans="2:2" ht="20.85" customHeight="1" x14ac:dyDescent="0.25">
      <c r="B1319" s="303" t="s">
        <v>1746</v>
      </c>
    </row>
    <row r="1320" spans="2:2" ht="20.85" customHeight="1" x14ac:dyDescent="0.25">
      <c r="B1320" s="303" t="s">
        <v>1747</v>
      </c>
    </row>
    <row r="1321" spans="2:2" ht="20.85" customHeight="1" x14ac:dyDescent="0.25">
      <c r="B1321" s="303" t="s">
        <v>1748</v>
      </c>
    </row>
    <row r="1322" spans="2:2" ht="20.85" customHeight="1" x14ac:dyDescent="0.25">
      <c r="B1322" s="303" t="s">
        <v>1377</v>
      </c>
    </row>
    <row r="1323" spans="2:2" ht="20.85" customHeight="1" x14ac:dyDescent="0.25">
      <c r="B1323" s="303" t="s">
        <v>1378</v>
      </c>
    </row>
    <row r="1324" spans="2:2" ht="20.85" customHeight="1" x14ac:dyDescent="0.25">
      <c r="B1324" s="308" t="s">
        <v>1749</v>
      </c>
    </row>
    <row r="1325" spans="2:2" ht="20.85" customHeight="1" x14ac:dyDescent="0.25">
      <c r="B1325" s="303" t="s">
        <v>1750</v>
      </c>
    </row>
    <row r="1326" spans="2:2" ht="20.85" customHeight="1" x14ac:dyDescent="0.25">
      <c r="B1326" s="303" t="s">
        <v>1379</v>
      </c>
    </row>
    <row r="1327" spans="2:2" ht="20.85" customHeight="1" x14ac:dyDescent="0.25">
      <c r="B1327" s="303" t="s">
        <v>1380</v>
      </c>
    </row>
    <row r="1328" spans="2:2" ht="20.85" customHeight="1" x14ac:dyDescent="0.25">
      <c r="B1328" s="303" t="s">
        <v>1751</v>
      </c>
    </row>
    <row r="1329" spans="2:2" ht="20.85" customHeight="1" x14ac:dyDescent="0.25">
      <c r="B1329" s="297" t="s">
        <v>1381</v>
      </c>
    </row>
    <row r="1330" spans="2:2" ht="20.85" customHeight="1" x14ac:dyDescent="0.25">
      <c r="B1330" s="303" t="s">
        <v>1382</v>
      </c>
    </row>
    <row r="1331" spans="2:2" ht="20.85" customHeight="1" x14ac:dyDescent="0.25">
      <c r="B1331" s="303" t="s">
        <v>1383</v>
      </c>
    </row>
    <row r="1332" spans="2:2" ht="20.85" customHeight="1" thickBot="1" x14ac:dyDescent="0.3">
      <c r="B1332" s="312" t="s">
        <v>1752</v>
      </c>
    </row>
    <row r="1333" spans="2:2" ht="20.85" customHeight="1" x14ac:dyDescent="0.25">
      <c r="B1333" s="311"/>
    </row>
    <row r="1334" spans="2:2" ht="20.85" customHeight="1" thickBot="1" x14ac:dyDescent="0.3">
      <c r="B1334" s="311"/>
    </row>
    <row r="1335" spans="2:2" ht="20.85" customHeight="1" x14ac:dyDescent="0.25">
      <c r="B1335" s="307" t="s">
        <v>1384</v>
      </c>
    </row>
    <row r="1336" spans="2:2" ht="20.85" customHeight="1" x14ac:dyDescent="0.25">
      <c r="B1336" s="303" t="s">
        <v>1385</v>
      </c>
    </row>
    <row r="1337" spans="2:2" ht="20.85" customHeight="1" x14ac:dyDescent="0.25">
      <c r="B1337" s="316" t="s">
        <v>1386</v>
      </c>
    </row>
    <row r="1338" spans="2:2" ht="20.85" customHeight="1" x14ac:dyDescent="0.25">
      <c r="B1338" s="303" t="s">
        <v>1387</v>
      </c>
    </row>
    <row r="1339" spans="2:2" ht="20.85" customHeight="1" thickBot="1" x14ac:dyDescent="0.3">
      <c r="B1339" s="319" t="s">
        <v>1388</v>
      </c>
    </row>
    <row r="1340" spans="2:2" ht="20.85" customHeight="1" x14ac:dyDescent="0.25">
      <c r="B1340" s="311"/>
    </row>
    <row r="1341" spans="2:2" ht="20.85" customHeight="1" thickBot="1" x14ac:dyDescent="0.3">
      <c r="B1341" s="311"/>
    </row>
    <row r="1342" spans="2:2" ht="20.85" customHeight="1" x14ac:dyDescent="0.25">
      <c r="B1342" s="306" t="s">
        <v>1389</v>
      </c>
    </row>
    <row r="1343" spans="2:2" ht="20.85" customHeight="1" x14ac:dyDescent="0.25">
      <c r="B1343" s="303" t="s">
        <v>1753</v>
      </c>
    </row>
    <row r="1344" spans="2:2" ht="20.85" customHeight="1" x14ac:dyDescent="0.25">
      <c r="B1344" s="303" t="s">
        <v>1390</v>
      </c>
    </row>
    <row r="1345" spans="2:2" ht="20.85" customHeight="1" x14ac:dyDescent="0.25">
      <c r="B1345" s="308" t="s">
        <v>1391</v>
      </c>
    </row>
    <row r="1346" spans="2:2" ht="20.85" customHeight="1" x14ac:dyDescent="0.25">
      <c r="B1346" s="303" t="s">
        <v>1392</v>
      </c>
    </row>
    <row r="1347" spans="2:2" ht="20.85" customHeight="1" x14ac:dyDescent="0.25">
      <c r="B1347" s="303" t="s">
        <v>1754</v>
      </c>
    </row>
    <row r="1348" spans="2:2" ht="20.85" customHeight="1" x14ac:dyDescent="0.25">
      <c r="B1348" s="303" t="s">
        <v>1393</v>
      </c>
    </row>
    <row r="1349" spans="2:2" ht="20.85" customHeight="1" x14ac:dyDescent="0.25">
      <c r="B1349" s="303" t="s">
        <v>1394</v>
      </c>
    </row>
    <row r="1350" spans="2:2" ht="20.85" customHeight="1" x14ac:dyDescent="0.25">
      <c r="B1350" s="297" t="s">
        <v>1395</v>
      </c>
    </row>
    <row r="1351" spans="2:2" ht="20.85" customHeight="1" x14ac:dyDescent="0.25">
      <c r="B1351" s="303" t="s">
        <v>1396</v>
      </c>
    </row>
    <row r="1352" spans="2:2" ht="20.85" customHeight="1" x14ac:dyDescent="0.25">
      <c r="B1352" s="303" t="s">
        <v>1755</v>
      </c>
    </row>
    <row r="1353" spans="2:2" ht="20.85" customHeight="1" x14ac:dyDescent="0.25">
      <c r="B1353" s="303" t="s">
        <v>1397</v>
      </c>
    </row>
    <row r="1354" spans="2:2" ht="20.85" customHeight="1" x14ac:dyDescent="0.25">
      <c r="B1354" s="303" t="s">
        <v>1756</v>
      </c>
    </row>
    <row r="1355" spans="2:2" ht="20.85" customHeight="1" x14ac:dyDescent="0.25">
      <c r="B1355" s="303" t="s">
        <v>1757</v>
      </c>
    </row>
    <row r="1356" spans="2:2" ht="20.85" customHeight="1" x14ac:dyDescent="0.25">
      <c r="B1356" s="303" t="s">
        <v>1398</v>
      </c>
    </row>
    <row r="1357" spans="2:2" ht="20.85" customHeight="1" x14ac:dyDescent="0.25">
      <c r="B1357" s="303" t="s">
        <v>1758</v>
      </c>
    </row>
    <row r="1358" spans="2:2" ht="20.85" customHeight="1" x14ac:dyDescent="0.25">
      <c r="B1358" s="303" t="s">
        <v>1759</v>
      </c>
    </row>
    <row r="1359" spans="2:2" ht="20.85" customHeight="1" x14ac:dyDescent="0.25">
      <c r="B1359" s="308" t="s">
        <v>1760</v>
      </c>
    </row>
    <row r="1360" spans="2:2" ht="20.85" customHeight="1" x14ac:dyDescent="0.25">
      <c r="B1360" s="303" t="s">
        <v>1399</v>
      </c>
    </row>
    <row r="1361" spans="2:2" ht="20.85" customHeight="1" x14ac:dyDescent="0.25">
      <c r="B1361" s="303" t="s">
        <v>1761</v>
      </c>
    </row>
    <row r="1362" spans="2:2" ht="20.85" customHeight="1" x14ac:dyDescent="0.25">
      <c r="B1362" s="303" t="s">
        <v>1400</v>
      </c>
    </row>
    <row r="1363" spans="2:2" ht="20.85" customHeight="1" x14ac:dyDescent="0.25">
      <c r="B1363" s="303" t="s">
        <v>1401</v>
      </c>
    </row>
    <row r="1364" spans="2:2" ht="20.85" customHeight="1" x14ac:dyDescent="0.25">
      <c r="B1364" s="303" t="s">
        <v>1402</v>
      </c>
    </row>
    <row r="1365" spans="2:2" ht="20.85" customHeight="1" x14ac:dyDescent="0.25">
      <c r="B1365" s="303" t="s">
        <v>1403</v>
      </c>
    </row>
    <row r="1366" spans="2:2" ht="20.85" customHeight="1" x14ac:dyDescent="0.25">
      <c r="B1366" s="303" t="s">
        <v>1404</v>
      </c>
    </row>
    <row r="1367" spans="2:2" ht="20.85" customHeight="1" x14ac:dyDescent="0.25">
      <c r="B1367" s="303" t="s">
        <v>1405</v>
      </c>
    </row>
    <row r="1368" spans="2:2" ht="20.85" customHeight="1" x14ac:dyDescent="0.25">
      <c r="B1368" s="303" t="s">
        <v>1762</v>
      </c>
    </row>
    <row r="1369" spans="2:2" ht="20.85" customHeight="1" x14ac:dyDescent="0.25">
      <c r="B1369" s="303" t="s">
        <v>1406</v>
      </c>
    </row>
    <row r="1370" spans="2:2" ht="20.85" customHeight="1" x14ac:dyDescent="0.25">
      <c r="B1370" s="303" t="s">
        <v>1407</v>
      </c>
    </row>
    <row r="1371" spans="2:2" ht="20.85" customHeight="1" x14ac:dyDescent="0.25">
      <c r="B1371" s="303" t="s">
        <v>1408</v>
      </c>
    </row>
    <row r="1372" spans="2:2" ht="20.85" customHeight="1" x14ac:dyDescent="0.25">
      <c r="B1372" s="303" t="s">
        <v>1763</v>
      </c>
    </row>
    <row r="1373" spans="2:2" ht="20.85" customHeight="1" x14ac:dyDescent="0.25">
      <c r="B1373" s="303" t="s">
        <v>1409</v>
      </c>
    </row>
    <row r="1374" spans="2:2" ht="20.85" customHeight="1" x14ac:dyDescent="0.25">
      <c r="B1374" s="303" t="s">
        <v>1410</v>
      </c>
    </row>
    <row r="1375" spans="2:2" ht="20.85" customHeight="1" x14ac:dyDescent="0.25">
      <c r="B1375" s="303" t="s">
        <v>1764</v>
      </c>
    </row>
    <row r="1376" spans="2:2" ht="20.85" customHeight="1" x14ac:dyDescent="0.25">
      <c r="B1376" s="303" t="s">
        <v>1411</v>
      </c>
    </row>
    <row r="1377" spans="2:2" ht="20.85" customHeight="1" x14ac:dyDescent="0.25">
      <c r="B1377" s="303" t="s">
        <v>1412</v>
      </c>
    </row>
    <row r="1378" spans="2:2" ht="20.85" customHeight="1" x14ac:dyDescent="0.25">
      <c r="B1378" s="303" t="s">
        <v>1413</v>
      </c>
    </row>
    <row r="1379" spans="2:2" ht="20.85" customHeight="1" x14ac:dyDescent="0.25">
      <c r="B1379" s="303" t="s">
        <v>1414</v>
      </c>
    </row>
    <row r="1380" spans="2:2" ht="20.85" customHeight="1" x14ac:dyDescent="0.25">
      <c r="B1380" s="303" t="s">
        <v>1415</v>
      </c>
    </row>
    <row r="1381" spans="2:2" ht="20.85" customHeight="1" x14ac:dyDescent="0.25">
      <c r="B1381" s="303" t="s">
        <v>1416</v>
      </c>
    </row>
    <row r="1382" spans="2:2" ht="20.85" customHeight="1" x14ac:dyDescent="0.25">
      <c r="B1382" s="303" t="s">
        <v>1417</v>
      </c>
    </row>
    <row r="1383" spans="2:2" ht="20.85" customHeight="1" x14ac:dyDescent="0.25">
      <c r="B1383" s="303" t="s">
        <v>1418</v>
      </c>
    </row>
    <row r="1384" spans="2:2" ht="20.85" customHeight="1" x14ac:dyDescent="0.25">
      <c r="B1384" s="308" t="s">
        <v>1419</v>
      </c>
    </row>
    <row r="1385" spans="2:2" ht="20.85" customHeight="1" x14ac:dyDescent="0.25">
      <c r="B1385" s="303" t="s">
        <v>1420</v>
      </c>
    </row>
    <row r="1386" spans="2:2" ht="20.85" customHeight="1" x14ac:dyDescent="0.25">
      <c r="B1386" s="303" t="s">
        <v>1421</v>
      </c>
    </row>
    <row r="1387" spans="2:2" ht="20.85" customHeight="1" x14ac:dyDescent="0.25">
      <c r="B1387" s="303" t="s">
        <v>1422</v>
      </c>
    </row>
    <row r="1388" spans="2:2" ht="20.85" customHeight="1" x14ac:dyDescent="0.25">
      <c r="B1388" s="303" t="s">
        <v>1423</v>
      </c>
    </row>
    <row r="1389" spans="2:2" ht="20.85" customHeight="1" x14ac:dyDescent="0.25">
      <c r="B1389" s="303" t="s">
        <v>1424</v>
      </c>
    </row>
    <row r="1390" spans="2:2" ht="20.85" customHeight="1" x14ac:dyDescent="0.25">
      <c r="B1390" s="303" t="s">
        <v>1425</v>
      </c>
    </row>
    <row r="1391" spans="2:2" ht="20.85" customHeight="1" x14ac:dyDescent="0.25">
      <c r="B1391" s="303" t="s">
        <v>1426</v>
      </c>
    </row>
    <row r="1392" spans="2:2" ht="20.85" customHeight="1" x14ac:dyDescent="0.25">
      <c r="B1392" s="303" t="s">
        <v>1765</v>
      </c>
    </row>
    <row r="1393" spans="2:2" ht="20.85" customHeight="1" x14ac:dyDescent="0.25">
      <c r="B1393" s="303" t="s">
        <v>1427</v>
      </c>
    </row>
    <row r="1394" spans="2:2" ht="20.85" customHeight="1" x14ac:dyDescent="0.25">
      <c r="B1394" s="308" t="s">
        <v>1428</v>
      </c>
    </row>
    <row r="1395" spans="2:2" ht="20.85" customHeight="1" x14ac:dyDescent="0.25">
      <c r="B1395" s="303" t="s">
        <v>1429</v>
      </c>
    </row>
    <row r="1396" spans="2:2" ht="20.85" customHeight="1" x14ac:dyDescent="0.25">
      <c r="B1396" s="308" t="s">
        <v>1430</v>
      </c>
    </row>
    <row r="1397" spans="2:2" ht="20.85" customHeight="1" x14ac:dyDescent="0.25">
      <c r="B1397" s="297" t="s">
        <v>1431</v>
      </c>
    </row>
    <row r="1398" spans="2:2" ht="20.85" customHeight="1" x14ac:dyDescent="0.25">
      <c r="B1398" s="303" t="s">
        <v>1432</v>
      </c>
    </row>
    <row r="1399" spans="2:2" ht="20.85" customHeight="1" x14ac:dyDescent="0.25">
      <c r="B1399" s="303" t="s">
        <v>1433</v>
      </c>
    </row>
    <row r="1400" spans="2:2" ht="20.85" customHeight="1" x14ac:dyDescent="0.25">
      <c r="B1400" s="303" t="s">
        <v>1766</v>
      </c>
    </row>
    <row r="1401" spans="2:2" ht="20.85" customHeight="1" thickBot="1" x14ac:dyDescent="0.3">
      <c r="B1401" s="312" t="s">
        <v>1767</v>
      </c>
    </row>
  </sheetData>
  <hyperlinks>
    <hyperlink ref="B25" r:id="rId1" display="http://villemin.gerard.free.fr/GeomLAV/Cercle/Helice.htm" xr:uid="{D7588740-0611-48D8-8D8A-873218B0F99E}"/>
    <hyperlink ref="B29" r:id="rId2" display="http://villemin.gerard.free.fr/Langue/AlphaPaP.htm" xr:uid="{D55BFB04-38EB-4BD9-B417-833D62C2C8D7}"/>
    <hyperlink ref="B32" r:id="rId3" location="eloise" display="http://diconombre.pagesperso-orange.fr/N1000/N300000.htm - eloise" xr:uid="{A3280D9A-8B05-4860-AB5F-81BBA623F98A}"/>
    <hyperlink ref="B55" r:id="rId4" location="eloise" display="http://diconombre.pagesperso-orange.fr/N1000/N300000.htm - eloise" xr:uid="{DDCEB542-3BD6-48B5-971F-ECF60334A400}"/>
    <hyperlink ref="B88" r:id="rId5" location="E" display="http://villemin.gerard.free.fr/Humour/aaaCalem/CalemGeo.htm - E" xr:uid="{54398DB2-5BA5-4D9D-8BA2-333683B6DB7B}"/>
    <hyperlink ref="B89" r:id="rId6" display="http://villemin.gerard.free.fr/Langue/LettAlpha.htm" xr:uid="{D78743BD-E2BD-47FF-B70D-C059AB71FD3C}"/>
    <hyperlink ref="B107" r:id="rId7" location="vocab" display="http://villemin.gerard.free.fr/aSocial/Alcool.htm - vocab" xr:uid="{A67A0227-3870-4579-87CE-16D3950C6E02}"/>
    <hyperlink ref="B116" r:id="rId8" location="eugene" display="http://villemin.gerard.free.fr/Langue/Prenom1.htm - eugene" xr:uid="{6272D779-487D-43D4-9348-6CC9588ADA85}"/>
    <hyperlink ref="B139" r:id="rId9" location="NomA" display="http://villemin.gerard.free.fr/Langue/Prenom.htm - NomA" xr:uid="{2766114E-28DC-40DD-9A38-DBC0BC72D576}"/>
    <hyperlink ref="B152" r:id="rId10" display="http://villemin.gerard.free.fr/Wwwgvmm/MnemoTe/USAWest.htm" xr:uid="{68C87001-8DC9-4201-A4D0-5AB77F7A6963}"/>
    <hyperlink ref="B158" r:id="rId11" display="http://villemin.gerard.free.fr/Humour/aaaCalem/CalemGeo.htm" xr:uid="{FACFA2DE-1829-4136-BBB1-1AE3C05213B9}"/>
    <hyperlink ref="B182" r:id="rId12" display="http://villemin.gerard.free.fr/Langue/ContrePe.htm" xr:uid="{3B6571A9-47F5-46B9-802D-F68586A552AC}"/>
    <hyperlink ref="B220" r:id="rId13" display="http://villemin.gerard.free.fr/Langue/Rebus.htm" xr:uid="{803DF3B8-23D9-4649-92AF-B40DC747F289}"/>
    <hyperlink ref="B224" r:id="rId14" location="L" display="http://villemin.gerard.free.fr/Humour/aaaCalem/CalemGeo.htm - L" xr:uid="{8EEA11CD-4B31-4691-9F41-D951D14CCF50}"/>
    <hyperlink ref="B228" r:id="rId15" display="http://villemin.gerard.free.fr/ThNbDemo/AlgParen.htm" xr:uid="{2DD9B446-459A-41C6-A4A5-19001D1A5FFF}"/>
    <hyperlink ref="B254" r:id="rId16" display="http://villemin.gerard.free.fr/Langue/ContrePe.htm" xr:uid="{19ACD47E-DE41-404D-ADC9-1B4CED9C5CB9}"/>
    <hyperlink ref="B282" r:id="rId17" location="canaries" display="http://villemin.gerard.free.fr/Humour/aaaCalem/CalemGeo.htm - canaries" xr:uid="{F001C875-58C8-4FE8-8C75-6964AACC1C6E}"/>
    <hyperlink ref="B287" r:id="rId18" display="http://villemin.gerard.free.fr/Humour/aaaCalem/CalemGeo.htm" xr:uid="{63D983F2-F48E-4A81-BA9B-CA759AAFEEA3}"/>
    <hyperlink ref="B290" r:id="rId19" display="http://villemin.gerard.free.fr/Humour/aaaCalem/CalemGeo.htm" xr:uid="{7D9799BC-6692-4C3E-8169-9D4C09368CCD}"/>
    <hyperlink ref="B293" r:id="rId20" location="anglais" display="http://villemin.gerard.free.fr/Wwwgvmm/Numerati/Langue.htm - anglais" xr:uid="{BD6F9E38-6B4B-4A4F-93D9-2233F98DE88C}"/>
    <hyperlink ref="B296" r:id="rId21" location="base" display="http://villemin.gerard.free.fr/Wwwgvmm/Analyse/Logarith.htm - base" xr:uid="{6DB68B94-B332-4DC9-A08D-877515DD9B44}"/>
    <hyperlink ref="B320" r:id="rId22" display="http://www.monsieur-et-madame.fr/prenoms-lettre-h-debut-60.html" xr:uid="{64C050EC-F273-425E-BE03-3BF0D1930270}"/>
    <hyperlink ref="B340" r:id="rId23" display="http://villemin.gerard.free.fr/Langue/ContrePe.htm" xr:uid="{3046337D-AB48-4C02-A8CB-4E48370AFE80}"/>
    <hyperlink ref="B394" r:id="rId24" location="anacy" display="http://villemin.gerard.free.fr/Langue/Palindro.htm - anacy" xr:uid="{85D203F2-0FA9-4E67-BDE8-99447CD573C2}"/>
    <hyperlink ref="B395" r:id="rId25" display="http://villemin.gerard.free.fr/aScience/Unites/Temps/Mois.htm" xr:uid="{6FF6193A-EC37-49CA-A260-892540C22BA7}"/>
    <hyperlink ref="B397" r:id="rId26" display="http://villemin.gerard.free.fr/Langue/ContrePe.htm" xr:uid="{4286AA03-EA47-4AAC-A84C-BC4E0FBA2DD9}"/>
    <hyperlink ref="B434" r:id="rId27" display="http://villemin.gerard.free.fr/Langue/AlphaPaM.htm" xr:uid="{CDD62E97-8959-4B84-A7A0-867D3D28F8DB}"/>
    <hyperlink ref="B450" r:id="rId28" location="geometrie" display="http://villemin.gerard.free.fr/Referenc/Outils/AOUTILS/Definiti.htm - geometrie" xr:uid="{E3352E86-D34B-486D-9868-C6567B71EABC}"/>
    <hyperlink ref="B479" r:id="rId29" location="photo" display="http://villemin.gerard.free.fr/CultureG/Etatsuni.htm - photo" xr:uid="{135CD291-4C55-48B0-B37E-059BCD660D2E}"/>
    <hyperlink ref="B519" r:id="rId30" display="http://perso.eleves.ens-rennes.fr/~tpier758/docs/blagues.pdf" xr:uid="{3CD38449-A01F-4309-9E4F-E9AB9DA26F48}"/>
    <hyperlink ref="B540" r:id="rId31" location="zeroabs" display="http://villemin.gerard.free.fr/Wwwgvmm/Nombre/ZerPhysq.htm - zeroabs" xr:uid="{88A935C2-D9A8-494B-862C-3F5A49775155}"/>
    <hyperlink ref="B578" r:id="rId32" display="http://villemin.gerard.free.fr/Langue/ContrePe.htm" xr:uid="{A99ABB48-730A-459F-B3CC-1A27D39C44D7}"/>
    <hyperlink ref="B593" r:id="rId33" display="http://villemin.gerard.free.fr/Langue/anagram.htm" xr:uid="{44BC03BF-CE14-4F87-BDC0-EAD0AEEEFBAC}"/>
    <hyperlink ref="B599" r:id="rId34" display="http://villemin.gerard.free.fr/Langue/ContrePe.htm" xr:uid="{B41C120E-7E26-44DA-A4D3-916FBE44DDC3}"/>
    <hyperlink ref="B611" r:id="rId35" display="http://villemin.gerard.free.fr/Langue/Palindro.htm" xr:uid="{3E35D230-BE94-4D0E-991A-F48763A2AFF2}"/>
    <hyperlink ref="B618" r:id="rId36" display="http://villemin.gerard.free.fr/Puzzle/LewisCar.htm" xr:uid="{D176F0F1-1275-4E2C-A264-1BAF3FCD22D6}"/>
    <hyperlink ref="B626" r:id="rId37" display="http://villemin.gerard.free.fr/aMaths/ARITALGE/Inequat.htm" xr:uid="{BEE887FA-FD9E-402E-9249-F27B098A8B0B}"/>
    <hyperlink ref="B666" r:id="rId38" display="http://villemin.gerard.free.fr/Langue/ContrePe.htm" xr:uid="{178686C8-492B-4C0B-94FF-C6419205B115}"/>
    <hyperlink ref="B676" r:id="rId39" location="U" display="http://villemin.gerard.free.fr/Humour/aaaCalem/CalemGeo.htm - U" xr:uid="{28489068-9D34-4A82-945C-665B8527A625}"/>
    <hyperlink ref="B677" r:id="rId40" display="http://villemin.gerard.free.fr/Humour/aaaCalem/CalemGeo.htm" xr:uid="{69CAE160-0A70-4165-97A2-4D6DC40EFBB5}"/>
    <hyperlink ref="B681" r:id="rId41" display="http://villemin.gerard.free.fr/Wwwgvmm/Geometri/Droite.htm" xr:uid="{D39D4F80-0AF5-4B59-9077-F65B0A053373}"/>
    <hyperlink ref="B682" r:id="rId42" display="http://villemin.gerard.free.fr/aCulture/Culture/Huit.htm" xr:uid="{50320C8F-64D2-49DE-89A0-DDD10857E2FE}"/>
    <hyperlink ref="B694" r:id="rId43" location="NomG" display="http://villemin.gerard.free.fr/Langue/Prenom1.htm - NomG" xr:uid="{0EDF5399-BAF4-4433-AA50-24F94DA053A7}"/>
    <hyperlink ref="B709" r:id="rId44" display="http://villemin.gerard.free.fr/CultureG/MusNote.htm" xr:uid="{0351EAC3-B18C-4020-A96F-DFAB8D0A492B}"/>
    <hyperlink ref="B747" r:id="rId45" display="http://villemin.gerard.free.fr/aGeneral/Maritime/Maritime.htm" xr:uid="{E4A49396-D9EF-4E19-9356-92EFCD304C3B}"/>
    <hyperlink ref="B763" r:id="rId46" location="math" display="http://villemin.gerard.free.fr/Referenc/Outils/AOUTILS/Definiti.htm - math" xr:uid="{E2E9C00F-4429-45CD-BBA7-36DD1CE9BDB9}"/>
    <hyperlink ref="B767" r:id="rId47" display="http://villemin.gerard.free.fr/aMaths/Outils/Matrice/Intro.htm" xr:uid="{BAD8526E-D00E-4109-95C0-D1ECC2AB9EFE}"/>
    <hyperlink ref="B775" r:id="rId48" display="http://villemin.gerard.free.fr/Humour/aaaCalem/CalemAut.htm" xr:uid="{1AE108DF-0041-4F68-BA18-5B11A99BA9D4}"/>
    <hyperlink ref="B791" r:id="rId49" display="http://villemin.gerard.free.fr/Wwwgvmm/Numerati/Romain.htm" xr:uid="{51920A64-CF3F-4193-9475-05FA3207381A}"/>
    <hyperlink ref="B797" r:id="rId50" location="Catherin" display="http://villemin.gerard.free.fr/aHistoire/GdeRelig.htm - Catherin" xr:uid="{08BF1BB8-C074-4470-A3EA-F878F7C8BF70}"/>
    <hyperlink ref="B813" r:id="rId51" display="http://villemin.gerard.free.fr/Langue/ContrePe.htm" xr:uid="{3DD1F94F-D947-4C1A-B277-D86B3D884C1E}"/>
    <hyperlink ref="B831" r:id="rId52" display="http://villemin.gerard.free.fr/Wwwgvmm/Suite/SuitHarm.htm" xr:uid="{CFB04C5D-DAF5-4340-88A4-5F69B93869FA}"/>
    <hyperlink ref="B832" r:id="rId53" display="http://villemin.gerard.free.fr/Wwwgvmm/MnemoTe/Phrase.htm" xr:uid="{BDBEAFCE-739B-42E0-B01E-EFC478C0881B}"/>
    <hyperlink ref="B858" r:id="rId54" display="http://villemin.gerard.free.fr/Biologie/Sang.htm" xr:uid="{563A28D8-D99A-4B35-AAA4-1FEF25998219}"/>
    <hyperlink ref="B862" r:id="rId55" location="liste" display="http://villemin.gerard.free.fr/Wwwgvmm/MnemoTe/USAVille.htm - liste" xr:uid="{81B85E20-D895-4FA0-9380-65108AC485F3}"/>
    <hyperlink ref="B866" r:id="rId56" display="http://villemin.gerard.free.fr/Humour/aaaCalem/CalemGeo.htm" xr:uid="{4920DF85-2F16-472C-8390-21B86E313446}"/>
    <hyperlink ref="B875" r:id="rId57" display="http://villemin.gerard.free.fr/Esprit/Presiden.htm" xr:uid="{236E9A1E-4A24-46DF-A179-6BF0CE199926}"/>
    <hyperlink ref="B890" r:id="rId58" display="http://villemin.gerard.free.fr/Biologie/Penis.htm" xr:uid="{2ED17138-8A61-4ED4-85EB-080DF029E8A8}"/>
    <hyperlink ref="B891" r:id="rId59" display="http://villemin.gerard.free.fr/CultureG/MusNote.htm" xr:uid="{3FAF17AC-79ED-4815-9781-9C8E56BAAAE1}"/>
    <hyperlink ref="B895" r:id="rId60" location="ppp" display="http://villemin.gerard.free.fr/Humour/aaaCalem/CalembO.htm - ppp" xr:uid="{8A68AF59-FEEA-43A0-848D-918A04D6B9D5}"/>
    <hyperlink ref="B902" r:id="rId61" display="http://villemin.gerard.free.fr/Langue/AnglGene.htm" xr:uid="{458B9432-DB26-4D37-9522-9E3F21DBE833}"/>
    <hyperlink ref="B908" r:id="rId62" location="catho" display="http://villemin.gerard.free.fr/Referenc/Vocabula/GlosR/ReligAbr.htm - catho" xr:uid="{EDEC5F36-F2B1-46A1-B35B-2FDE229793AC}"/>
    <hyperlink ref="B926" r:id="rId63" display="http://villemin.gerard.free.fr/Biologie/Squelett.htm" xr:uid="{7288C139-C3D8-4890-A0B3-9CF2BCA0AB00}"/>
    <hyperlink ref="B966" r:id="rId64" display="http://villemin.gerard.free.fr/Wwwgvmm/Geometri/Polygone.htm" xr:uid="{CE468622-8B4A-41D5-B640-BC2E15D6AB3B}"/>
    <hyperlink ref="B968" r:id="rId65" location="index" display="http://villemin.gerard.free.fr/Wwwgvmm/Geometri/Polygone.htm - index" xr:uid="{4241C668-B7AB-4B84-920C-901479AADD3A}"/>
    <hyperlink ref="B1004" r:id="rId66" display="http://villemin.gerard.free.fr/Wwwgvmm/Geometri/PiIntro.htm" xr:uid="{CAA840CC-B88D-4146-9A73-60F1A45A62AA}"/>
    <hyperlink ref="B1015" r:id="rId67" location="formule" display="http://villemin.gerard.free.fr/Wwwgvmm/Geometri/TroiCerc.htm - formule" xr:uid="{6EE667D7-6B40-407B-9083-0E1502273B3A}"/>
    <hyperlink ref="B1127" r:id="rId68" display="http://villemin.gerard.free.fr/Langue/ContrePe.htm" xr:uid="{FDEED73A-CAEF-4506-868D-F2E53371EB2E}"/>
    <hyperlink ref="B1168" r:id="rId69" location="N110" display="http://diconombre.pagesperso-orange.fr/N100a500/Nb101120.htm - N110" xr:uid="{DD4080FF-BBBC-473C-B3DF-261CB9E9E13A}"/>
    <hyperlink ref="B1174" r:id="rId70" location="renseigne" display="http://villemin.gerard.free.fr/Multimed/Urgence.htm - renseigne" xr:uid="{2FF3F918-8EA3-4CDB-86AB-EDD95668596B}"/>
    <hyperlink ref="B1192" r:id="rId71" display="http://villemin.gerard.free.fr/Langue/ContrePe.htm" xr:uid="{4B971A43-1AEB-4840-A879-110FC3A68C92}"/>
    <hyperlink ref="B1230" r:id="rId72" location="sophie" display="http://villemin.gerard.free.fr/Langue/Rebus.htm - sophie" xr:uid="{C98AB8CD-D67D-478C-B0AF-EB92ACD6D08C}"/>
    <hyperlink ref="B1237" r:id="rId73" display="http://villemin.gerard.free.fr/Langue/Palindro.htm" xr:uid="{F6E387A2-2D74-435D-9FBC-2D5280F850EC}"/>
    <hyperlink ref="B1256" r:id="rId74" location="cellule" display="http://villemin.gerard.free.fr/aNombre/Nb1000/N2000dat.htm - cellule" xr:uid="{DED2A29A-8557-4AAE-B826-E62682CE8C8F}"/>
    <hyperlink ref="B1329" r:id="rId75" location="E" display="http://villemin.gerard.free.fr/Humour/aaaCalem/CalemGeo.htm - E" xr:uid="{B97D72F4-8C49-4873-90AC-CEE9F9E79C94}"/>
    <hyperlink ref="B1342" r:id="rId76" display="http://villemin.gerard.free.fr/Langue/ContrePe.htm" xr:uid="{A1B91DFD-89B3-4A48-9420-94780FFE9C51}"/>
    <hyperlink ref="B1350" r:id="rId77" display="http://villemin.gerard.free.fr/Langue/AlphaPaM.htm" xr:uid="{21763FF9-124E-4EAB-A275-D01BBD34BA74}"/>
    <hyperlink ref="B1397" r:id="rId78" location="D" display="http://villemin.gerard.free.fr/Humour/aaaCalem/CalemGeo.htm - D" xr:uid="{2A776DC0-D0E9-442C-A3E1-61051852DE99}"/>
  </hyperlinks>
  <pageMargins left="0.7" right="0.7" top="0.75" bottom="0.75" header="0.3" footer="0.3"/>
  <drawing r:id="rId7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AA0B5-ED08-46E5-97B4-B4581BDC1105}">
  <dimension ref="A1"/>
  <sheetViews>
    <sheetView workbookViewId="0"/>
  </sheetViews>
  <sheetFormatPr baseColWidth="10" defaultRowHeight="15.05"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29</vt:i4>
      </vt:variant>
    </vt:vector>
  </HeadingPairs>
  <TitlesOfParts>
    <vt:vector size="38" baseType="lpstr">
      <vt:lpstr>DicoDonnees</vt:lpstr>
      <vt:lpstr>DicoDonnees (2)</vt:lpstr>
      <vt:lpstr>Jeux de Donnees</vt:lpstr>
      <vt:lpstr>JeuxDonneesSQLserver</vt:lpstr>
      <vt:lpstr>Feuil3</vt:lpstr>
      <vt:lpstr>Feuil5</vt:lpstr>
      <vt:lpstr>Feuil1</vt:lpstr>
      <vt:lpstr>Feuil2</vt:lpstr>
      <vt:lpstr>Feuil4</vt:lpstr>
      <vt:lpstr>Calculs</vt:lpstr>
      <vt:lpstr>Contraintes</vt:lpstr>
      <vt:lpstr>Feuil2!Emma</vt:lpstr>
      <vt:lpstr>Feuil2!jeanne</vt:lpstr>
      <vt:lpstr>Feuil2!JJJ</vt:lpstr>
      <vt:lpstr>Feuil2!NomER</vt:lpstr>
      <vt:lpstr>Feuil2!NomF</vt:lpstr>
      <vt:lpstr>Feuil2!NomG</vt:lpstr>
      <vt:lpstr>Feuil2!NomGer</vt:lpstr>
      <vt:lpstr>Feuil2!NomH</vt:lpstr>
      <vt:lpstr>Feuil2!NomI</vt:lpstr>
      <vt:lpstr>Feuil2!NomK</vt:lpstr>
      <vt:lpstr>Feuil2!NomL</vt:lpstr>
      <vt:lpstr>Feuil2!NomM</vt:lpstr>
      <vt:lpstr>Feuil2!NomN</vt:lpstr>
      <vt:lpstr>Feuil2!NomO</vt:lpstr>
      <vt:lpstr>Feuil2!NomP</vt:lpstr>
      <vt:lpstr>Feuil2!NomQ</vt:lpstr>
      <vt:lpstr>Feuil2!NomR</vt:lpstr>
      <vt:lpstr>Feuil2!NomS</vt:lpstr>
      <vt:lpstr>Feuil2!NomT</vt:lpstr>
      <vt:lpstr>Feuil2!NomV</vt:lpstr>
      <vt:lpstr>Feuil2!NomY</vt:lpstr>
      <vt:lpstr>Feuil2!sacha</vt:lpstr>
      <vt:lpstr>Feuil2!sheila</vt:lpstr>
      <vt:lpstr>Feuil2!SO</vt:lpstr>
      <vt:lpstr>Types</vt:lpstr>
      <vt:lpstr>DicoDonnees!Zone_d_impression</vt:lpstr>
      <vt:lpstr>'DicoDonnees (2)'!Zone_d_impression</vt:lpstr>
    </vt:vector>
  </TitlesOfParts>
  <Company>AFPA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59011-14-09</dc:creator>
  <cp:lastModifiedBy>francois manier</cp:lastModifiedBy>
  <cp:lastPrinted>2023-04-15T04:52:11Z</cp:lastPrinted>
  <dcterms:created xsi:type="dcterms:W3CDTF">2022-11-14T13:36:00Z</dcterms:created>
  <dcterms:modified xsi:type="dcterms:W3CDTF">2023-06-04T19:30:52Z</dcterms:modified>
</cp:coreProperties>
</file>