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F8AABBE5-795C-4E6F-AF36-35E9C9078696}" xr6:coauthVersionLast="47" xr6:coauthVersionMax="47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n=2 PUT" sheetId="1" r:id="rId1"/>
    <sheet name="n=2 CALL" sheetId="4" r:id="rId2"/>
    <sheet name="n=2 Call_Volatilidad" sheetId="6" r:id="rId3"/>
    <sheet name="n=3 PUT" sheetId="3" r:id="rId4"/>
    <sheet name="n=3 PUT_Volatilidad" sheetId="7" r:id="rId5"/>
  </sheets>
  <definedNames>
    <definedName name="D" localSheetId="1">'n=2 CALL'!$B$6:$B$6</definedName>
    <definedName name="D" localSheetId="2">'n=2 Call_Volatilidad'!$E$3:$E$3</definedName>
    <definedName name="D" localSheetId="3">'n=3 PUT'!$B$6:$B$6</definedName>
    <definedName name="D" localSheetId="4">'n=3 PUT_Volatilidad'!$E$3:$E$3</definedName>
    <definedName name="D">'n=2 PUT'!$B$6:$B$6</definedName>
    <definedName name="k" localSheetId="1">'n=2 CALL'!$B$4:$B$4</definedName>
    <definedName name="k" localSheetId="2">'n=2 Call_Volatilidad'!$B$4:$B$4</definedName>
    <definedName name="k" localSheetId="3">'n=3 PUT'!$B$4:$B$4</definedName>
    <definedName name="k" localSheetId="4">'n=3 PUT_Volatilidad'!$B$4:$B$4</definedName>
    <definedName name="k">'n=2 PUT'!$B$4:$B$4</definedName>
    <definedName name="n" localSheetId="1">'n=2 CALL'!$B$11:$B$11</definedName>
    <definedName name="n" localSheetId="2">'n=2 Call_Volatilidad'!$B$7:$B$7</definedName>
    <definedName name="n" localSheetId="3">'n=3 PUT'!$B$11:$B$11</definedName>
    <definedName name="n" localSheetId="4">'n=3 PUT_Volatilidad'!$B$7:$B$7</definedName>
    <definedName name="n">'n=2 PUT'!$B$11:$B$11</definedName>
    <definedName name="p" localSheetId="1">'n=2 CALL'!$B$8:$B$8</definedName>
    <definedName name="p" localSheetId="2">'n=2 Call_Volatilidad'!$E$4:$E$4</definedName>
    <definedName name="p" localSheetId="3">'n=3 PUT'!$B$8:$B$8</definedName>
    <definedName name="p" localSheetId="4">'n=3 PUT_Volatilidad'!$E$4:$E$4</definedName>
    <definedName name="p">'n=2 PUT'!$B$8:$B$8</definedName>
    <definedName name="q" localSheetId="1">'n=2 CALL'!$B$9:$B$9</definedName>
    <definedName name="q" localSheetId="2">'n=2 Call_Volatilidad'!$E$5:$E$5</definedName>
    <definedName name="q" localSheetId="3">'n=3 PUT'!$B$9:$B$9</definedName>
    <definedName name="q" localSheetId="4">'n=3 PUT_Volatilidad'!$E$5:$E$5</definedName>
    <definedName name="q">'n=2 PUT'!$B$9:$B$9</definedName>
    <definedName name="r_0" localSheetId="1">'n=2 CALL'!$B$7:$B$7</definedName>
    <definedName name="r_0" localSheetId="2">'n=2 Call_Volatilidad'!$B$5:$B$5</definedName>
    <definedName name="r_0" localSheetId="3">'n=3 PUT'!$B$7:$B$7</definedName>
    <definedName name="r_0" localSheetId="4">'n=3 PUT_Volatilidad'!$B$5:$B$5</definedName>
    <definedName name="r_0">'n=2 PUT'!$B$7:$B$7</definedName>
    <definedName name="S_0" localSheetId="1">'n=2 CALL'!$B$3:$B$3</definedName>
    <definedName name="S_0" localSheetId="2">'n=2 Call_Volatilidad'!$B$3:$B$3</definedName>
    <definedName name="S_0" localSheetId="3">'n=3 PUT'!$B$3:$B$3</definedName>
    <definedName name="S_0" localSheetId="4">'n=3 PUT_Volatilidad'!$B$3:$B$3</definedName>
    <definedName name="S_0">'n=2 PUT'!$B$3:$B$3</definedName>
    <definedName name="T" localSheetId="1">'n=2 CALL'!$B$10:$B$10</definedName>
    <definedName name="T" localSheetId="2">'n=2 Call_Volatilidad'!$B$6:$B$6</definedName>
    <definedName name="T" localSheetId="3">'n=3 PUT'!$B$10:$B$10</definedName>
    <definedName name="T" localSheetId="4">'n=3 PUT_Volatilidad'!$B$6:$B$6</definedName>
    <definedName name="T">'n=2 PUT'!$B$10:$B$10</definedName>
    <definedName name="u" localSheetId="1">'n=2 CALL'!$B$5:$B$5</definedName>
    <definedName name="u" localSheetId="2">'n=2 Call_Volatilidad'!$E$2:$E$2</definedName>
    <definedName name="u" localSheetId="3">'n=3 PUT'!$B$5:$B$5</definedName>
    <definedName name="u" localSheetId="4">'n=3 PUT_Volatilidad'!$E$2:$E$2</definedName>
    <definedName name="u">'n=2 PUT'!$B$5:$B$5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B6" i="7"/>
  <c r="A29" i="7" a="1"/>
  <c r="A29" i="7" s="1"/>
  <c r="E6" i="7"/>
  <c r="B6" i="6"/>
  <c r="A16" i="6" a="1"/>
  <c r="A16" i="6" s="1"/>
  <c r="E6" i="6"/>
  <c r="H11" i="6" a="1"/>
  <c r="H11" i="6" s="1"/>
  <c r="B8" i="3" a="1"/>
  <c r="B8" i="3"/>
  <c r="B12" i="3"/>
  <c r="B12" i="4"/>
  <c r="B8" i="4" a="1"/>
  <c r="B8" i="4"/>
  <c r="A19" i="4" a="1"/>
  <c r="A19" i="4" s="1"/>
  <c r="C16" i="4" a="1"/>
  <c r="C16" i="4" s="1"/>
  <c r="I4" i="4" s="1" a="1"/>
  <c r="I4" i="4" s="1"/>
  <c r="E14" i="4"/>
  <c r="E15" i="4" s="1" a="1"/>
  <c r="E15" i="4" s="1"/>
  <c r="I11" i="4" a="1"/>
  <c r="I11" i="4" s="1"/>
  <c r="B9" i="4" a="1"/>
  <c r="B9" i="4" s="1"/>
  <c r="A30" i="3" a="1"/>
  <c r="A30" i="3" s="1"/>
  <c r="C27" i="3" a="1"/>
  <c r="C27" i="3" s="1"/>
  <c r="B6" i="3"/>
  <c r="B12" i="1"/>
  <c r="A19" i="1" a="1"/>
  <c r="A19" i="1"/>
  <c r="I11" i="1" s="1" a="1"/>
  <c r="I11" i="1" s="1"/>
  <c r="E2" i="7" l="1"/>
  <c r="E22" i="3"/>
  <c r="K4" i="3" s="1" a="1"/>
  <c r="K4" i="3" s="1"/>
  <c r="K13" i="3" a="1"/>
  <c r="K13" i="3" s="1"/>
  <c r="E18" i="4"/>
  <c r="E20" i="4" s="1" a="1"/>
  <c r="E20" i="4" s="1"/>
  <c r="C22" i="4" a="1"/>
  <c r="C22" i="4" s="1"/>
  <c r="I7" i="4" s="1" a="1"/>
  <c r="I7" i="4" s="1"/>
  <c r="C24" i="4" s="1"/>
  <c r="G17" i="3" a="1"/>
  <c r="G17" i="3" s="1"/>
  <c r="G18" i="3" s="1" a="1"/>
  <c r="G18" i="3" s="1"/>
  <c r="B9" i="3" a="1"/>
  <c r="B9" i="3" s="1"/>
  <c r="G26" i="3" a="1"/>
  <c r="G26" i="3" s="1"/>
  <c r="G27" i="3" s="1" a="1"/>
  <c r="G27" i="3" s="1"/>
  <c r="E31" i="3"/>
  <c r="K7" i="3" s="1" a="1"/>
  <c r="K7" i="3" s="1"/>
  <c r="C33" i="3" a="1"/>
  <c r="C33" i="3" s="1"/>
  <c r="C22" i="1" a="1"/>
  <c r="C22" i="1" s="1"/>
  <c r="I7" i="1" s="1" a="1"/>
  <c r="I7" i="1" s="1"/>
  <c r="C16" i="1" a="1"/>
  <c r="C16" i="1" s="1"/>
  <c r="I4" i="1" s="1" a="1"/>
  <c r="I4" i="1" s="1"/>
  <c r="B8" i="1" a="1"/>
  <c r="B8" i="1" s="1"/>
  <c r="B9" i="1" s="1" a="1"/>
  <c r="B9" i="1" s="1"/>
  <c r="E3" i="7" l="1"/>
  <c r="C26" i="7" a="1"/>
  <c r="C26" i="7" s="1"/>
  <c r="E3" i="6"/>
  <c r="C13" i="6" a="1"/>
  <c r="C13" i="6" s="1"/>
  <c r="C17" i="4" a="1"/>
  <c r="C17" i="4" s="1"/>
  <c r="E24" i="4" a="1"/>
  <c r="E24" i="4" s="1"/>
  <c r="E25" i="4" s="1" a="1"/>
  <c r="E25" i="4" s="1"/>
  <c r="A20" i="4" s="1" a="1"/>
  <c r="A20" i="4" s="1"/>
  <c r="E23" i="3" a="1"/>
  <c r="E23" i="3" s="1"/>
  <c r="E24" i="3" s="1"/>
  <c r="G35" i="3" a="1"/>
  <c r="G35" i="3" s="1"/>
  <c r="G36" i="3" s="1" a="1"/>
  <c r="G36" i="3" s="1"/>
  <c r="E39" i="3" a="1"/>
  <c r="E39" i="3" s="1"/>
  <c r="K10" i="3" s="1" a="1"/>
  <c r="K10" i="3" s="1"/>
  <c r="E18" i="1"/>
  <c r="E20" i="1" s="1" a="1"/>
  <c r="E20" i="1" s="1"/>
  <c r="E14" i="1"/>
  <c r="E15" i="1" s="1" a="1"/>
  <c r="E15" i="1" s="1"/>
  <c r="C24" i="1"/>
  <c r="E24" i="1" a="1"/>
  <c r="E24" i="1" s="1"/>
  <c r="E25" i="1" s="1" a="1"/>
  <c r="E25" i="1" s="1"/>
  <c r="K13" i="7" l="1" a="1"/>
  <c r="K13" i="7" s="1"/>
  <c r="E21" i="7"/>
  <c r="E30" i="7"/>
  <c r="E4" i="7" a="1"/>
  <c r="E4" i="7" s="1"/>
  <c r="C32" i="7" a="1"/>
  <c r="C32" i="7" s="1"/>
  <c r="E15" i="6"/>
  <c r="E16" i="6" s="1" a="1"/>
  <c r="E16" i="6" s="1"/>
  <c r="E11" i="6"/>
  <c r="E12" i="6" s="1" a="1"/>
  <c r="E12" i="6" s="1"/>
  <c r="H4" i="6" a="1"/>
  <c r="H4" i="6" s="1"/>
  <c r="E4" i="6" a="1"/>
  <c r="E4" i="6" s="1"/>
  <c r="E5" i="6" s="1" a="1"/>
  <c r="E5" i="6" s="1"/>
  <c r="C19" i="6" a="1"/>
  <c r="C19" i="6" s="1"/>
  <c r="E21" i="6" s="1" a="1"/>
  <c r="E21" i="6" s="1"/>
  <c r="E22" i="6" s="1" a="1"/>
  <c r="E22" i="6" s="1"/>
  <c r="A20" i="1" a="1"/>
  <c r="A20" i="1" s="1"/>
  <c r="A21" i="4" a="1"/>
  <c r="A21" i="4" s="1"/>
  <c r="C18" i="4"/>
  <c r="C23" i="4" a="1"/>
  <c r="C23" i="4" s="1"/>
  <c r="I14" i="4"/>
  <c r="E32" i="3" a="1"/>
  <c r="E32" i="3" s="1"/>
  <c r="G43" i="3" a="1"/>
  <c r="G43" i="3" s="1"/>
  <c r="G44" i="3" s="1" a="1"/>
  <c r="G44" i="3" s="1"/>
  <c r="E40" i="3" s="1" a="1"/>
  <c r="E40" i="3" s="1"/>
  <c r="C17" i="1" a="1"/>
  <c r="C17" i="1" s="1"/>
  <c r="C23" i="1" a="1"/>
  <c r="C23" i="1" s="1"/>
  <c r="C18" i="1"/>
  <c r="E38" i="7" l="1" a="1"/>
  <c r="E38" i="7" s="1"/>
  <c r="N13" i="7" a="1"/>
  <c r="N13" i="7" s="1"/>
  <c r="E5" i="7" a="1"/>
  <c r="E5" i="7" s="1"/>
  <c r="K7" i="7" a="1"/>
  <c r="K7" i="7" s="1"/>
  <c r="G34" i="7" a="1"/>
  <c r="G34" i="7" s="1"/>
  <c r="G35" i="7" s="1" a="1"/>
  <c r="G35" i="7" s="1"/>
  <c r="K4" i="7" a="1"/>
  <c r="K4" i="7" s="1"/>
  <c r="G16" i="7" a="1"/>
  <c r="G16" i="7" s="1"/>
  <c r="G17" i="7" s="1" a="1"/>
  <c r="G17" i="7" s="1"/>
  <c r="G25" i="7" a="1"/>
  <c r="G25" i="7" s="1"/>
  <c r="G26" i="7" s="1" a="1"/>
  <c r="G26" i="7" s="1"/>
  <c r="E31" i="7" s="1" a="1"/>
  <c r="E31" i="7" s="1"/>
  <c r="A17" i="6" a="1"/>
  <c r="A17" i="6" s="1"/>
  <c r="C14" i="6" a="1"/>
  <c r="C14" i="6" s="1"/>
  <c r="H7" i="6" a="1"/>
  <c r="H7" i="6" s="1"/>
  <c r="C20" i="6" a="1"/>
  <c r="C20" i="6" s="1"/>
  <c r="A21" i="1" a="1"/>
  <c r="A21" i="1" s="1"/>
  <c r="I14" i="1" s="1"/>
  <c r="E33" i="3"/>
  <c r="A31" i="3" a="1"/>
  <c r="A31" i="3" s="1"/>
  <c r="E22" i="7" l="1" a="1"/>
  <c r="E22" i="7" s="1"/>
  <c r="E23" i="7"/>
  <c r="E32" i="7"/>
  <c r="K10" i="7" a="1"/>
  <c r="K10" i="7" s="1"/>
  <c r="G42" i="7" a="1"/>
  <c r="G42" i="7" s="1"/>
  <c r="G43" i="7" s="1" a="1"/>
  <c r="G43" i="7" s="1"/>
  <c r="H14" i="6"/>
  <c r="C28" i="3" a="1"/>
  <c r="C28" i="3" s="1"/>
  <c r="C29" i="3" s="1"/>
  <c r="E41" i="3"/>
  <c r="C34" i="3" s="1" a="1"/>
  <c r="C34" i="3" s="1"/>
  <c r="A30" i="7" l="1" a="1"/>
  <c r="A30" i="7" s="1"/>
  <c r="E39" i="7" a="1"/>
  <c r="E39" i="7" s="1"/>
  <c r="E40" i="7"/>
  <c r="C33" i="7" a="1"/>
  <c r="C33" i="7" s="1"/>
  <c r="C34" i="7" s="1"/>
  <c r="C27" i="7" a="1"/>
  <c r="C27" i="7" s="1"/>
  <c r="C28" i="7" s="1"/>
  <c r="A31" i="7" s="1" a="1"/>
  <c r="A31" i="7" s="1"/>
  <c r="K20" i="7" s="1"/>
  <c r="A32" i="3" a="1"/>
  <c r="A32" i="3" s="1"/>
  <c r="K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<sst xmlns="http://schemas.openxmlformats.org/spreadsheetml/2006/main" count="187" uniqueCount="51">
  <si>
    <t>Put Americano</t>
  </si>
  <si>
    <t>k-s_T</t>
  </si>
  <si>
    <t>Analisis:</t>
  </si>
  <si>
    <t>S_0</t>
  </si>
  <si>
    <t>Precio del activo subyacente</t>
  </si>
  <si>
    <t>Para el nodo B</t>
  </si>
  <si>
    <t>K</t>
  </si>
  <si>
    <t>Precio de ejercicio</t>
  </si>
  <si>
    <t>Rendimiento</t>
  </si>
  <si>
    <t>u</t>
  </si>
  <si>
    <t>factor subida</t>
  </si>
  <si>
    <t>d</t>
  </si>
  <si>
    <t>factor bajada</t>
  </si>
  <si>
    <t>Para el nodo C</t>
  </si>
  <si>
    <t>r</t>
  </si>
  <si>
    <t>Rendimiento libre de riesgo</t>
  </si>
  <si>
    <t>p</t>
  </si>
  <si>
    <t>probabilidad de alza</t>
  </si>
  <si>
    <t>1-p</t>
  </si>
  <si>
    <t>probablidad descenso</t>
  </si>
  <si>
    <t>Para el nodo A</t>
  </si>
  <si>
    <t>T</t>
  </si>
  <si>
    <t>Tiempo en años</t>
  </si>
  <si>
    <t>n</t>
  </si>
  <si>
    <r>
      <rPr>
        <b/>
        <sz val="15"/>
        <color rgb="FF000000"/>
        <rFont val="Google Sans"/>
      </rPr>
      <t>Δ</t>
    </r>
    <r>
      <rPr>
        <sz val="15"/>
        <color rgb="FF000000"/>
        <rFont val="Google Sans"/>
      </rPr>
      <t>t</t>
    </r>
  </si>
  <si>
    <t xml:space="preserve">Entonces la opción </t>
  </si>
  <si>
    <t>D</t>
  </si>
  <si>
    <t>americana de tipo</t>
  </si>
  <si>
    <t>put es</t>
  </si>
  <si>
    <t>B</t>
  </si>
  <si>
    <t>E</t>
  </si>
  <si>
    <t>A</t>
  </si>
  <si>
    <t>C</t>
  </si>
  <si>
    <t>F</t>
  </si>
  <si>
    <t>Call Americano</t>
  </si>
  <si>
    <t>Call Europea</t>
  </si>
  <si>
    <t>S_T-k</t>
  </si>
  <si>
    <t>Datos a calcular</t>
  </si>
  <si>
    <t>Datos proporcionados</t>
  </si>
  <si>
    <t>Para una Americana</t>
  </si>
  <si>
    <t>σ</t>
  </si>
  <si>
    <t>spot</t>
  </si>
  <si>
    <t>Para el nodo D</t>
  </si>
  <si>
    <t>strik</t>
  </si>
  <si>
    <t>Para el nodo E</t>
  </si>
  <si>
    <t>Para el nodo F</t>
  </si>
  <si>
    <t>G</t>
  </si>
  <si>
    <t>H</t>
  </si>
  <si>
    <t>I</t>
  </si>
  <si>
    <t>J</t>
  </si>
  <si>
    <t>Datos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</si>
</sst>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"/>
    <numFmt numFmtId="167" formatCode="0.000"/>
    <numFmt numFmtId="168" formatCode="0.000000"/>
  </numFmts>
  <fonts count="9">
    <font>
      <sz val="11"/>
      <color theme="1"/>
      <name val="Calibri"/>
      <family val="2"/>
      <scheme val="minor"/>
    </font>
    <font>
      <b/>
      <sz val="15"/>
      <color rgb="FF000000"/>
      <name val="Google Sans"/>
    </font>
    <font>
      <sz val="15"/>
      <color rgb="FF000000"/>
      <name val="Google Sans"/>
    </font>
    <font>
      <sz val="11"/>
      <color rgb="FFFFFFFF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inux Libertine"/>
      <charset val="1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2" borderId="0" xfId="0" applyFill="1"/>
    <xf numFmtId="0" fontId="0" fillId="0" borderId="2" xfId="0" applyBorder="1"/>
    <xf numFmtId="165" fontId="0" fillId="0" borderId="2" xfId="0" applyNumberFormat="1" applyBorder="1"/>
    <xf numFmtId="0" fontId="0" fillId="3" borderId="0" xfId="0" applyFill="1"/>
    <xf numFmtId="164" fontId="0" fillId="0" borderId="0" xfId="0" applyNumberFormat="1"/>
    <xf numFmtId="0" fontId="1" fillId="0" borderId="1" xfId="0" applyFont="1" applyBorder="1"/>
    <xf numFmtId="0" fontId="0" fillId="0" borderId="3" xfId="0" applyBorder="1"/>
    <xf numFmtId="165" fontId="0" fillId="3" borderId="0" xfId="0" applyNumberFormat="1" applyFill="1"/>
    <xf numFmtId="2" fontId="0" fillId="3" borderId="0" xfId="0" applyNumberFormat="1" applyFill="1"/>
    <xf numFmtId="0" fontId="3" fillId="4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164" fontId="0" fillId="5" borderId="0" xfId="0" applyNumberFormat="1" applyFill="1"/>
    <xf numFmtId="165" fontId="0" fillId="5" borderId="0" xfId="0" applyNumberFormat="1" applyFill="1"/>
    <xf numFmtId="0" fontId="0" fillId="5" borderId="0" xfId="0" applyFill="1"/>
    <xf numFmtId="0" fontId="6" fillId="6" borderId="0" xfId="0" applyFont="1" applyFill="1"/>
    <xf numFmtId="0" fontId="0" fillId="0" borderId="0" xfId="0" applyAlignment="1">
      <alignment horizontal="center"/>
    </xf>
    <xf numFmtId="0" fontId="7" fillId="2" borderId="0" xfId="0" applyFont="1" applyFill="1"/>
    <xf numFmtId="165" fontId="0" fillId="7" borderId="0" xfId="0" applyNumberFormat="1" applyFill="1"/>
    <xf numFmtId="2" fontId="0" fillId="7" borderId="0" xfId="0" applyNumberFormat="1" applyFill="1"/>
    <xf numFmtId="0" fontId="0" fillId="7" borderId="0" xfId="0" applyFill="1"/>
    <xf numFmtId="0" fontId="0" fillId="8" borderId="0" xfId="0" applyFill="1"/>
    <xf numFmtId="2" fontId="5" fillId="0" borderId="0" xfId="0" applyNumberFormat="1" applyFont="1"/>
    <xf numFmtId="167" fontId="0" fillId="5" borderId="0" xfId="0" applyNumberFormat="1" applyFill="1"/>
    <xf numFmtId="2" fontId="0" fillId="5" borderId="0" xfId="0" applyNumberFormat="1" applyFill="1"/>
    <xf numFmtId="2" fontId="7" fillId="5" borderId="0" xfId="0" applyNumberFormat="1" applyFont="1" applyFill="1"/>
    <xf numFmtId="0" fontId="0" fillId="9" borderId="1" xfId="0" applyFill="1" applyBorder="1"/>
    <xf numFmtId="0" fontId="0" fillId="9" borderId="2" xfId="0" applyFill="1" applyBorder="1"/>
    <xf numFmtId="0" fontId="0" fillId="10" borderId="1" xfId="0" applyFill="1" applyBorder="1"/>
    <xf numFmtId="165" fontId="0" fillId="10" borderId="1" xfId="0" applyNumberFormat="1" applyFill="1" applyBorder="1"/>
    <xf numFmtId="0" fontId="0" fillId="10" borderId="2" xfId="0" applyFill="1" applyBorder="1"/>
    <xf numFmtId="165" fontId="0" fillId="10" borderId="2" xfId="0" applyNumberFormat="1" applyFill="1" applyBorder="1"/>
    <xf numFmtId="0" fontId="1" fillId="10" borderId="1" xfId="0" applyFont="1" applyFill="1" applyBorder="1"/>
    <xf numFmtId="0" fontId="0" fillId="10" borderId="3" xfId="0" applyFill="1" applyBorder="1"/>
    <xf numFmtId="166" fontId="0" fillId="9" borderId="1" xfId="0" applyNumberFormat="1" applyFill="1" applyBorder="1"/>
    <xf numFmtId="165" fontId="0" fillId="9" borderId="1" xfId="0" applyNumberFormat="1" applyFill="1" applyBorder="1"/>
    <xf numFmtId="165" fontId="0" fillId="9" borderId="2" xfId="0" applyNumberFormat="1" applyFill="1" applyBorder="1"/>
    <xf numFmtId="0" fontId="7" fillId="0" borderId="0" xfId="0" applyFont="1"/>
    <xf numFmtId="2" fontId="0" fillId="0" borderId="2" xfId="0" applyNumberFormat="1" applyBorder="1"/>
    <xf numFmtId="2" fontId="0" fillId="0" borderId="3" xfId="0" applyNumberFormat="1" applyBorder="1"/>
    <xf numFmtId="2" fontId="0" fillId="0" borderId="1" xfId="0" applyNumberFormat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1" borderId="1" xfId="0" applyFill="1" applyBorder="1"/>
    <xf numFmtId="166" fontId="0" fillId="11" borderId="1" xfId="0" applyNumberFormat="1" applyFill="1" applyBorder="1"/>
    <xf numFmtId="165" fontId="0" fillId="11" borderId="1" xfId="0" applyNumberFormat="1" applyFill="1" applyBorder="1"/>
    <xf numFmtId="0" fontId="0" fillId="11" borderId="2" xfId="0" applyFill="1" applyBorder="1"/>
    <xf numFmtId="165" fontId="0" fillId="11" borderId="2" xfId="0" applyNumberFormat="1" applyFill="1" applyBorder="1"/>
    <xf numFmtId="0" fontId="1" fillId="11" borderId="1" xfId="0" applyFont="1" applyFill="1" applyBorder="1"/>
    <xf numFmtId="2" fontId="0" fillId="11" borderId="3" xfId="0" applyNumberFormat="1" applyFill="1" applyBorder="1"/>
    <xf numFmtId="0" fontId="0" fillId="12" borderId="0" xfId="0" applyFill="1"/>
    <xf numFmtId="0" fontId="0" fillId="13" borderId="1" xfId="0" applyFill="1" applyBorder="1"/>
    <xf numFmtId="2" fontId="0" fillId="13" borderId="1" xfId="0" applyNumberFormat="1" applyFill="1" applyBorder="1"/>
    <xf numFmtId="0" fontId="0" fillId="13" borderId="2" xfId="0" applyFill="1" applyBorder="1"/>
    <xf numFmtId="0" fontId="8" fillId="13" borderId="1" xfId="0" applyFont="1" applyFill="1" applyBorder="1" applyAlignment="1">
      <alignment wrapText="1"/>
    </xf>
    <xf numFmtId="0" fontId="0" fillId="14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168" fontId="0" fillId="11" borderId="1" xfId="0" applyNumberFormat="1" applyFill="1" applyBorder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9525</xdr:rowOff>
    </xdr:from>
    <xdr:to>
      <xdr:col>1</xdr:col>
      <xdr:colOff>523875</xdr:colOff>
      <xdr:row>17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9269869-0854-E0ED-FB4F-3CEDDAFBCC58}"/>
            </a:ext>
          </a:extLst>
        </xdr:cNvPr>
        <xdr:cNvCxnSpPr>
          <a:cxnSpLocks/>
        </xdr:cNvCxnSpPr>
      </xdr:nvCxnSpPr>
      <xdr:spPr>
        <a:xfrm flipV="1">
          <a:off x="914400" y="3057525"/>
          <a:ext cx="523875" cy="3333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19050</xdr:rowOff>
    </xdr:from>
    <xdr:to>
      <xdr:col>1</xdr:col>
      <xdr:colOff>561975</xdr:colOff>
      <xdr:row>20</xdr:row>
      <xdr:rowOff>152400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7F2EFD5-93A0-4D9B-AE37-061B292F8021}"/>
            </a:ext>
            <a:ext uri="{147F2762-F138-4A5C-976F-8EAC2B608ADB}">
              <a16:predDERef xmlns:a16="http://schemas.microsoft.com/office/drawing/2014/main" pred="{89269869-0854-E0ED-FB4F-3CEDDAFBCC58}"/>
            </a:ext>
          </a:extLst>
        </xdr:cNvPr>
        <xdr:cNvCxnSpPr>
          <a:cxnSpLocks/>
        </xdr:cNvCxnSpPr>
      </xdr:nvCxnSpPr>
      <xdr:spPr>
        <a:xfrm>
          <a:off x="914400" y="3638550"/>
          <a:ext cx="561975" cy="323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1676400</xdr:colOff>
      <xdr:row>14</xdr:row>
      <xdr:rowOff>0</xdr:rowOff>
    </xdr:from>
    <xdr:to>
      <xdr:col>3</xdr:col>
      <xdr:colOff>542925</xdr:colOff>
      <xdr:row>15</xdr:row>
      <xdr:rowOff>9525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35A15018-CF7A-4BD9-B959-47AE869E7180}"/>
            </a:ext>
            <a:ext uri="{147F2762-F138-4A5C-976F-8EAC2B608ADB}">
              <a16:predDERef xmlns:a16="http://schemas.microsoft.com/office/drawing/2014/main" pred="{47F2EFD5-93A0-4D9B-AE37-061B292F8021}"/>
            </a:ext>
          </a:extLst>
        </xdr:cNvPr>
        <xdr:cNvCxnSpPr>
          <a:cxnSpLocks/>
        </xdr:cNvCxnSpPr>
      </xdr:nvCxnSpPr>
      <xdr:spPr>
        <a:xfrm flipV="1">
          <a:off x="3200400" y="2667000"/>
          <a:ext cx="581025" cy="2000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1695450</xdr:colOff>
      <xdr:row>19</xdr:row>
      <xdr:rowOff>47625</xdr:rowOff>
    </xdr:from>
    <xdr:to>
      <xdr:col>3</xdr:col>
      <xdr:colOff>552450</xdr:colOff>
      <xdr:row>21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BE4A73C9-2481-4F0D-84A7-D32C00485D97}"/>
            </a:ext>
            <a:ext uri="{147F2762-F138-4A5C-976F-8EAC2B608ADB}">
              <a16:predDERef xmlns:a16="http://schemas.microsoft.com/office/drawing/2014/main" pred="{35A15018-CF7A-4BD9-B959-47AE869E7180}"/>
            </a:ext>
          </a:extLst>
        </xdr:cNvPr>
        <xdr:cNvCxnSpPr>
          <a:cxnSpLocks/>
        </xdr:cNvCxnSpPr>
      </xdr:nvCxnSpPr>
      <xdr:spPr>
        <a:xfrm flipV="1">
          <a:off x="3219450" y="3667125"/>
          <a:ext cx="571500" cy="3429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1685925</xdr:colOff>
      <xdr:row>22</xdr:row>
      <xdr:rowOff>0</xdr:rowOff>
    </xdr:from>
    <xdr:to>
      <xdr:col>3</xdr:col>
      <xdr:colOff>581025</xdr:colOff>
      <xdr:row>22</xdr:row>
      <xdr:rowOff>152400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D0660A01-4FAD-4F24-AE12-638C59C533A9}"/>
            </a:ext>
            <a:ext uri="{147F2762-F138-4A5C-976F-8EAC2B608ADB}">
              <a16:predDERef xmlns:a16="http://schemas.microsoft.com/office/drawing/2014/main" pred="{BE4A73C9-2481-4F0D-84A7-D32C00485D97}"/>
            </a:ext>
          </a:extLst>
        </xdr:cNvPr>
        <xdr:cNvCxnSpPr>
          <a:cxnSpLocks/>
        </xdr:cNvCxnSpPr>
      </xdr:nvCxnSpPr>
      <xdr:spPr>
        <a:xfrm>
          <a:off x="3209925" y="4191000"/>
          <a:ext cx="609600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1695450</xdr:colOff>
      <xdr:row>15</xdr:row>
      <xdr:rowOff>180975</xdr:rowOff>
    </xdr:from>
    <xdr:to>
      <xdr:col>3</xdr:col>
      <xdr:colOff>590550</xdr:colOff>
      <xdr:row>17</xdr:row>
      <xdr:rowOff>9525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70F836A-B82B-4364-A88A-19675976D792}"/>
            </a:ext>
            <a:ext uri="{147F2762-F138-4A5C-976F-8EAC2B608ADB}">
              <a16:predDERef xmlns:a16="http://schemas.microsoft.com/office/drawing/2014/main" pred="{D0660A01-4FAD-4F24-AE12-638C59C533A9}"/>
            </a:ext>
          </a:extLst>
        </xdr:cNvPr>
        <xdr:cNvCxnSpPr>
          <a:cxnSpLocks/>
        </xdr:cNvCxnSpPr>
      </xdr:nvCxnSpPr>
      <xdr:spPr>
        <a:xfrm>
          <a:off x="3219450" y="3038475"/>
          <a:ext cx="6096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9525</xdr:rowOff>
    </xdr:from>
    <xdr:to>
      <xdr:col>1</xdr:col>
      <xdr:colOff>523875</xdr:colOff>
      <xdr:row>17</xdr:row>
      <xdr:rowOff>152400</xdr:rowOff>
    </xdr:to>
    <xdr:cxnSp macro="">
      <xdr:nvCxnSpPr>
        <xdr:cNvPr id="2" name="Conector recto 2">
          <a:extLst>
            <a:ext uri="{FF2B5EF4-FFF2-40B4-BE49-F238E27FC236}">
              <a16:creationId xmlns:a16="http://schemas.microsoft.com/office/drawing/2014/main" id="{46B19211-A1CC-4921-A522-69C4068E04FC}"/>
            </a:ext>
          </a:extLst>
        </xdr:cNvPr>
        <xdr:cNvCxnSpPr>
          <a:cxnSpLocks/>
        </xdr:cNvCxnSpPr>
      </xdr:nvCxnSpPr>
      <xdr:spPr>
        <a:xfrm flipV="1">
          <a:off x="914400" y="3105150"/>
          <a:ext cx="523875" cy="3333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19050</xdr:rowOff>
    </xdr:from>
    <xdr:to>
      <xdr:col>1</xdr:col>
      <xdr:colOff>561975</xdr:colOff>
      <xdr:row>20</xdr:row>
      <xdr:rowOff>152400</xdr:rowOff>
    </xdr:to>
    <xdr:cxnSp macro="">
      <xdr:nvCxnSpPr>
        <xdr:cNvPr id="3" name="Conector recto 3">
          <a:extLst>
            <a:ext uri="{FF2B5EF4-FFF2-40B4-BE49-F238E27FC236}">
              <a16:creationId xmlns:a16="http://schemas.microsoft.com/office/drawing/2014/main" id="{F044643B-5B3F-4EEC-A62B-2C2E1D7AD10C}"/>
            </a:ext>
            <a:ext uri="{147F2762-F138-4A5C-976F-8EAC2B608ADB}">
              <a16:predDERef xmlns:a16="http://schemas.microsoft.com/office/drawing/2014/main" pred="{46B19211-A1CC-4921-A522-69C4068E04FC}"/>
            </a:ext>
          </a:extLst>
        </xdr:cNvPr>
        <xdr:cNvCxnSpPr>
          <a:cxnSpLocks/>
        </xdr:cNvCxnSpPr>
      </xdr:nvCxnSpPr>
      <xdr:spPr>
        <a:xfrm>
          <a:off x="914400" y="3686175"/>
          <a:ext cx="561975" cy="323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1676400</xdr:colOff>
      <xdr:row>14</xdr:row>
      <xdr:rowOff>0</xdr:rowOff>
    </xdr:from>
    <xdr:to>
      <xdr:col>3</xdr:col>
      <xdr:colOff>542925</xdr:colOff>
      <xdr:row>15</xdr:row>
      <xdr:rowOff>9525</xdr:rowOff>
    </xdr:to>
    <xdr:cxnSp macro="">
      <xdr:nvCxnSpPr>
        <xdr:cNvPr id="4" name="Conector recto 4">
          <a:extLst>
            <a:ext uri="{FF2B5EF4-FFF2-40B4-BE49-F238E27FC236}">
              <a16:creationId xmlns:a16="http://schemas.microsoft.com/office/drawing/2014/main" id="{F9FC4029-4E21-48A2-88BF-2B3E44117515}"/>
            </a:ext>
            <a:ext uri="{147F2762-F138-4A5C-976F-8EAC2B608ADB}">
              <a16:predDERef xmlns:a16="http://schemas.microsoft.com/office/drawing/2014/main" pred="{F044643B-5B3F-4EEC-A62B-2C2E1D7AD10C}"/>
            </a:ext>
          </a:extLst>
        </xdr:cNvPr>
        <xdr:cNvCxnSpPr>
          <a:cxnSpLocks/>
        </xdr:cNvCxnSpPr>
      </xdr:nvCxnSpPr>
      <xdr:spPr>
        <a:xfrm flipV="1">
          <a:off x="3162300" y="2714625"/>
          <a:ext cx="581025" cy="2000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1695450</xdr:colOff>
      <xdr:row>19</xdr:row>
      <xdr:rowOff>47625</xdr:rowOff>
    </xdr:from>
    <xdr:to>
      <xdr:col>3</xdr:col>
      <xdr:colOff>552450</xdr:colOff>
      <xdr:row>21</xdr:row>
      <xdr:rowOff>9525</xdr:rowOff>
    </xdr:to>
    <xdr:cxnSp macro="">
      <xdr:nvCxnSpPr>
        <xdr:cNvPr id="5" name="Conector recto 5">
          <a:extLst>
            <a:ext uri="{FF2B5EF4-FFF2-40B4-BE49-F238E27FC236}">
              <a16:creationId xmlns:a16="http://schemas.microsoft.com/office/drawing/2014/main" id="{4BFE7A14-37D5-4DEE-B4F1-669D059153D4}"/>
            </a:ext>
            <a:ext uri="{147F2762-F138-4A5C-976F-8EAC2B608ADB}">
              <a16:predDERef xmlns:a16="http://schemas.microsoft.com/office/drawing/2014/main" pred="{F9FC4029-4E21-48A2-88BF-2B3E44117515}"/>
            </a:ext>
          </a:extLst>
        </xdr:cNvPr>
        <xdr:cNvCxnSpPr>
          <a:cxnSpLocks/>
        </xdr:cNvCxnSpPr>
      </xdr:nvCxnSpPr>
      <xdr:spPr>
        <a:xfrm flipV="1">
          <a:off x="3181350" y="3714750"/>
          <a:ext cx="571500" cy="3429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1685925</xdr:colOff>
      <xdr:row>22</xdr:row>
      <xdr:rowOff>0</xdr:rowOff>
    </xdr:from>
    <xdr:to>
      <xdr:col>3</xdr:col>
      <xdr:colOff>581025</xdr:colOff>
      <xdr:row>22</xdr:row>
      <xdr:rowOff>152400</xdr:rowOff>
    </xdr:to>
    <xdr:cxnSp macro="">
      <xdr:nvCxnSpPr>
        <xdr:cNvPr id="6" name="Conector recto 6">
          <a:extLst>
            <a:ext uri="{FF2B5EF4-FFF2-40B4-BE49-F238E27FC236}">
              <a16:creationId xmlns:a16="http://schemas.microsoft.com/office/drawing/2014/main" id="{A36C4305-85F6-4AF3-AA1E-CE7D36BFCCF1}"/>
            </a:ext>
            <a:ext uri="{147F2762-F138-4A5C-976F-8EAC2B608ADB}">
              <a16:predDERef xmlns:a16="http://schemas.microsoft.com/office/drawing/2014/main" pred="{4BFE7A14-37D5-4DEE-B4F1-669D059153D4}"/>
            </a:ext>
          </a:extLst>
        </xdr:cNvPr>
        <xdr:cNvCxnSpPr>
          <a:cxnSpLocks/>
        </xdr:cNvCxnSpPr>
      </xdr:nvCxnSpPr>
      <xdr:spPr>
        <a:xfrm>
          <a:off x="3171825" y="4238625"/>
          <a:ext cx="609600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1695450</xdr:colOff>
      <xdr:row>15</xdr:row>
      <xdr:rowOff>180975</xdr:rowOff>
    </xdr:from>
    <xdr:to>
      <xdr:col>3</xdr:col>
      <xdr:colOff>590550</xdr:colOff>
      <xdr:row>17</xdr:row>
      <xdr:rowOff>9525</xdr:rowOff>
    </xdr:to>
    <xdr:cxnSp macro="">
      <xdr:nvCxnSpPr>
        <xdr:cNvPr id="7" name="Conector recto 7">
          <a:extLst>
            <a:ext uri="{FF2B5EF4-FFF2-40B4-BE49-F238E27FC236}">
              <a16:creationId xmlns:a16="http://schemas.microsoft.com/office/drawing/2014/main" id="{90522A7B-B431-4FB0-97D7-7D8023824D47}"/>
            </a:ext>
            <a:ext uri="{147F2762-F138-4A5C-976F-8EAC2B608ADB}">
              <a16:predDERef xmlns:a16="http://schemas.microsoft.com/office/drawing/2014/main" pred="{A36C4305-85F6-4AF3-AA1E-CE7D36BFCCF1}"/>
            </a:ext>
          </a:extLst>
        </xdr:cNvPr>
        <xdr:cNvCxnSpPr>
          <a:cxnSpLocks/>
        </xdr:cNvCxnSpPr>
      </xdr:nvCxnSpPr>
      <xdr:spPr>
        <a:xfrm>
          <a:off x="3181350" y="3086100"/>
          <a:ext cx="6096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9525</xdr:rowOff>
    </xdr:from>
    <xdr:to>
      <xdr:col>1</xdr:col>
      <xdr:colOff>523875</xdr:colOff>
      <xdr:row>14</xdr:row>
      <xdr:rowOff>152400</xdr:rowOff>
    </xdr:to>
    <xdr:cxnSp macro="">
      <xdr:nvCxnSpPr>
        <xdr:cNvPr id="2" name="Conector recto 2">
          <a:extLst>
            <a:ext uri="{FF2B5EF4-FFF2-40B4-BE49-F238E27FC236}">
              <a16:creationId xmlns:a16="http://schemas.microsoft.com/office/drawing/2014/main" id="{80E1E40A-823E-4153-820F-137EF3C5BFA8}"/>
            </a:ext>
          </a:extLst>
        </xdr:cNvPr>
        <xdr:cNvCxnSpPr>
          <a:cxnSpLocks/>
        </xdr:cNvCxnSpPr>
      </xdr:nvCxnSpPr>
      <xdr:spPr>
        <a:xfrm flipV="1">
          <a:off x="914400" y="3105150"/>
          <a:ext cx="523875" cy="3333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19050</xdr:rowOff>
    </xdr:from>
    <xdr:to>
      <xdr:col>1</xdr:col>
      <xdr:colOff>561975</xdr:colOff>
      <xdr:row>17</xdr:row>
      <xdr:rowOff>152400</xdr:rowOff>
    </xdr:to>
    <xdr:cxnSp macro="">
      <xdr:nvCxnSpPr>
        <xdr:cNvPr id="3" name="Conector recto 3">
          <a:extLst>
            <a:ext uri="{FF2B5EF4-FFF2-40B4-BE49-F238E27FC236}">
              <a16:creationId xmlns:a16="http://schemas.microsoft.com/office/drawing/2014/main" id="{00D730A8-FF12-4534-B0C5-000558CCF391}"/>
            </a:ext>
            <a:ext uri="{147F2762-F138-4A5C-976F-8EAC2B608ADB}">
              <a16:predDERef xmlns:a16="http://schemas.microsoft.com/office/drawing/2014/main" pred="{80E1E40A-823E-4153-820F-137EF3C5BFA8}"/>
            </a:ext>
          </a:extLst>
        </xdr:cNvPr>
        <xdr:cNvCxnSpPr>
          <a:cxnSpLocks/>
        </xdr:cNvCxnSpPr>
      </xdr:nvCxnSpPr>
      <xdr:spPr>
        <a:xfrm>
          <a:off x="914400" y="3686175"/>
          <a:ext cx="561975" cy="323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1676400</xdr:colOff>
      <xdr:row>11</xdr:row>
      <xdr:rowOff>0</xdr:rowOff>
    </xdr:from>
    <xdr:to>
      <xdr:col>3</xdr:col>
      <xdr:colOff>542925</xdr:colOff>
      <xdr:row>12</xdr:row>
      <xdr:rowOff>9525</xdr:rowOff>
    </xdr:to>
    <xdr:cxnSp macro="">
      <xdr:nvCxnSpPr>
        <xdr:cNvPr id="4" name="Conector recto 4">
          <a:extLst>
            <a:ext uri="{FF2B5EF4-FFF2-40B4-BE49-F238E27FC236}">
              <a16:creationId xmlns:a16="http://schemas.microsoft.com/office/drawing/2014/main" id="{FB0A9119-5454-4F46-9021-E41693835BAB}"/>
            </a:ext>
            <a:ext uri="{147F2762-F138-4A5C-976F-8EAC2B608ADB}">
              <a16:predDERef xmlns:a16="http://schemas.microsoft.com/office/drawing/2014/main" pred="{00D730A8-FF12-4534-B0C5-000558CCF391}"/>
            </a:ext>
          </a:extLst>
        </xdr:cNvPr>
        <xdr:cNvCxnSpPr>
          <a:cxnSpLocks/>
        </xdr:cNvCxnSpPr>
      </xdr:nvCxnSpPr>
      <xdr:spPr>
        <a:xfrm flipV="1">
          <a:off x="3162300" y="2714625"/>
          <a:ext cx="581025" cy="2000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1695450</xdr:colOff>
      <xdr:row>16</xdr:row>
      <xdr:rowOff>47625</xdr:rowOff>
    </xdr:from>
    <xdr:to>
      <xdr:col>3</xdr:col>
      <xdr:colOff>552450</xdr:colOff>
      <xdr:row>18</xdr:row>
      <xdr:rowOff>9525</xdr:rowOff>
    </xdr:to>
    <xdr:cxnSp macro="">
      <xdr:nvCxnSpPr>
        <xdr:cNvPr id="5" name="Conector recto 5">
          <a:extLst>
            <a:ext uri="{FF2B5EF4-FFF2-40B4-BE49-F238E27FC236}">
              <a16:creationId xmlns:a16="http://schemas.microsoft.com/office/drawing/2014/main" id="{196F9887-AF1B-4E3D-9AA4-D7A06C63A346}"/>
            </a:ext>
            <a:ext uri="{147F2762-F138-4A5C-976F-8EAC2B608ADB}">
              <a16:predDERef xmlns:a16="http://schemas.microsoft.com/office/drawing/2014/main" pred="{FB0A9119-5454-4F46-9021-E41693835BAB}"/>
            </a:ext>
          </a:extLst>
        </xdr:cNvPr>
        <xdr:cNvCxnSpPr>
          <a:cxnSpLocks/>
        </xdr:cNvCxnSpPr>
      </xdr:nvCxnSpPr>
      <xdr:spPr>
        <a:xfrm flipV="1">
          <a:off x="3181350" y="3714750"/>
          <a:ext cx="571500" cy="3429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1685925</xdr:colOff>
      <xdr:row>19</xdr:row>
      <xdr:rowOff>0</xdr:rowOff>
    </xdr:from>
    <xdr:to>
      <xdr:col>3</xdr:col>
      <xdr:colOff>581025</xdr:colOff>
      <xdr:row>19</xdr:row>
      <xdr:rowOff>152400</xdr:rowOff>
    </xdr:to>
    <xdr:cxnSp macro="">
      <xdr:nvCxnSpPr>
        <xdr:cNvPr id="6" name="Conector recto 6">
          <a:extLst>
            <a:ext uri="{FF2B5EF4-FFF2-40B4-BE49-F238E27FC236}">
              <a16:creationId xmlns:a16="http://schemas.microsoft.com/office/drawing/2014/main" id="{EF95E9E0-00C6-45A0-B05F-A81E1A2921A0}"/>
            </a:ext>
            <a:ext uri="{147F2762-F138-4A5C-976F-8EAC2B608ADB}">
              <a16:predDERef xmlns:a16="http://schemas.microsoft.com/office/drawing/2014/main" pred="{196F9887-AF1B-4E3D-9AA4-D7A06C63A346}"/>
            </a:ext>
          </a:extLst>
        </xdr:cNvPr>
        <xdr:cNvCxnSpPr>
          <a:cxnSpLocks/>
        </xdr:cNvCxnSpPr>
      </xdr:nvCxnSpPr>
      <xdr:spPr>
        <a:xfrm>
          <a:off x="3171825" y="4238625"/>
          <a:ext cx="609600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1695450</xdr:colOff>
      <xdr:row>12</xdr:row>
      <xdr:rowOff>180975</xdr:rowOff>
    </xdr:from>
    <xdr:to>
      <xdr:col>3</xdr:col>
      <xdr:colOff>590550</xdr:colOff>
      <xdr:row>14</xdr:row>
      <xdr:rowOff>9525</xdr:rowOff>
    </xdr:to>
    <xdr:cxnSp macro="">
      <xdr:nvCxnSpPr>
        <xdr:cNvPr id="7" name="Conector recto 7">
          <a:extLst>
            <a:ext uri="{FF2B5EF4-FFF2-40B4-BE49-F238E27FC236}">
              <a16:creationId xmlns:a16="http://schemas.microsoft.com/office/drawing/2014/main" id="{331EC9A0-3380-4940-922A-A443F588930B}"/>
            </a:ext>
            <a:ext uri="{147F2762-F138-4A5C-976F-8EAC2B608ADB}">
              <a16:predDERef xmlns:a16="http://schemas.microsoft.com/office/drawing/2014/main" pred="{EF95E9E0-00C6-45A0-B05F-A81E1A2921A0}"/>
            </a:ext>
          </a:extLst>
        </xdr:cNvPr>
        <xdr:cNvCxnSpPr>
          <a:cxnSpLocks/>
        </xdr:cNvCxnSpPr>
      </xdr:nvCxnSpPr>
      <xdr:spPr>
        <a:xfrm>
          <a:off x="3181350" y="3086100"/>
          <a:ext cx="6096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9525</xdr:rowOff>
    </xdr:from>
    <xdr:to>
      <xdr:col>1</xdr:col>
      <xdr:colOff>523875</xdr:colOff>
      <xdr:row>28</xdr:row>
      <xdr:rowOff>152400</xdr:rowOff>
    </xdr:to>
    <xdr:cxnSp macro="">
      <xdr:nvCxnSpPr>
        <xdr:cNvPr id="2" name="Conector recto 2">
          <a:extLst>
            <a:ext uri="{FF2B5EF4-FFF2-40B4-BE49-F238E27FC236}">
              <a16:creationId xmlns:a16="http://schemas.microsoft.com/office/drawing/2014/main" id="{3A579808-7CBF-4718-8F05-A1E925F9BCE1}"/>
            </a:ext>
          </a:extLst>
        </xdr:cNvPr>
        <xdr:cNvCxnSpPr>
          <a:cxnSpLocks/>
        </xdr:cNvCxnSpPr>
      </xdr:nvCxnSpPr>
      <xdr:spPr>
        <a:xfrm flipV="1">
          <a:off x="914400" y="3105150"/>
          <a:ext cx="523875" cy="3333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19050</xdr:rowOff>
    </xdr:from>
    <xdr:to>
      <xdr:col>1</xdr:col>
      <xdr:colOff>561975</xdr:colOff>
      <xdr:row>31</xdr:row>
      <xdr:rowOff>152400</xdr:rowOff>
    </xdr:to>
    <xdr:cxnSp macro="">
      <xdr:nvCxnSpPr>
        <xdr:cNvPr id="3" name="Conector recto 3">
          <a:extLst>
            <a:ext uri="{FF2B5EF4-FFF2-40B4-BE49-F238E27FC236}">
              <a16:creationId xmlns:a16="http://schemas.microsoft.com/office/drawing/2014/main" id="{5B7BADF9-9320-479E-A94D-9786C674E57A}"/>
            </a:ext>
            <a:ext uri="{147F2762-F138-4A5C-976F-8EAC2B608ADB}">
              <a16:predDERef xmlns:a16="http://schemas.microsoft.com/office/drawing/2014/main" pred="{3A579808-7CBF-4718-8F05-A1E925F9BCE1}"/>
            </a:ext>
          </a:extLst>
        </xdr:cNvPr>
        <xdr:cNvCxnSpPr>
          <a:cxnSpLocks/>
        </xdr:cNvCxnSpPr>
      </xdr:nvCxnSpPr>
      <xdr:spPr>
        <a:xfrm>
          <a:off x="914400" y="3686175"/>
          <a:ext cx="561975" cy="323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20</xdr:row>
      <xdr:rowOff>123825</xdr:rowOff>
    </xdr:from>
    <xdr:to>
      <xdr:col>3</xdr:col>
      <xdr:colOff>590550</xdr:colOff>
      <xdr:row>24</xdr:row>
      <xdr:rowOff>161925</xdr:rowOff>
    </xdr:to>
    <xdr:cxnSp macro="">
      <xdr:nvCxnSpPr>
        <xdr:cNvPr id="4" name="Conector recto 4">
          <a:extLst>
            <a:ext uri="{FF2B5EF4-FFF2-40B4-BE49-F238E27FC236}">
              <a16:creationId xmlns:a16="http://schemas.microsoft.com/office/drawing/2014/main" id="{D8429E2B-276A-4B45-9BEF-AD91666C6605}"/>
            </a:ext>
            <a:ext uri="{147F2762-F138-4A5C-976F-8EAC2B608ADB}">
              <a16:predDERef xmlns:a16="http://schemas.microsoft.com/office/drawing/2014/main" pred="{5B7BADF9-9320-479E-A94D-9786C674E57A}"/>
            </a:ext>
          </a:extLst>
        </xdr:cNvPr>
        <xdr:cNvCxnSpPr>
          <a:cxnSpLocks/>
        </xdr:cNvCxnSpPr>
      </xdr:nvCxnSpPr>
      <xdr:spPr>
        <a:xfrm flipV="1">
          <a:off x="3228975" y="5886450"/>
          <a:ext cx="561975" cy="8001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1704975</xdr:colOff>
      <xdr:row>30</xdr:row>
      <xdr:rowOff>28575</xdr:rowOff>
    </xdr:from>
    <xdr:to>
      <xdr:col>3</xdr:col>
      <xdr:colOff>581025</xdr:colOff>
      <xdr:row>32</xdr:row>
      <xdr:rowOff>123825</xdr:rowOff>
    </xdr:to>
    <xdr:cxnSp macro="">
      <xdr:nvCxnSpPr>
        <xdr:cNvPr id="5" name="Conector recto 5">
          <a:extLst>
            <a:ext uri="{FF2B5EF4-FFF2-40B4-BE49-F238E27FC236}">
              <a16:creationId xmlns:a16="http://schemas.microsoft.com/office/drawing/2014/main" id="{F7666A6C-CD7E-4D97-AC90-5B8E3FAE3FDA}"/>
            </a:ext>
            <a:ext uri="{147F2762-F138-4A5C-976F-8EAC2B608ADB}">
              <a16:predDERef xmlns:a16="http://schemas.microsoft.com/office/drawing/2014/main" pred="{D8429E2B-276A-4B45-9BEF-AD91666C6605}"/>
            </a:ext>
          </a:extLst>
        </xdr:cNvPr>
        <xdr:cNvCxnSpPr>
          <a:cxnSpLocks/>
        </xdr:cNvCxnSpPr>
      </xdr:nvCxnSpPr>
      <xdr:spPr>
        <a:xfrm flipV="1">
          <a:off x="3190875" y="7696200"/>
          <a:ext cx="590550" cy="476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1685925</xdr:colOff>
      <xdr:row>33</xdr:row>
      <xdr:rowOff>0</xdr:rowOff>
    </xdr:from>
    <xdr:to>
      <xdr:col>3</xdr:col>
      <xdr:colOff>561975</xdr:colOff>
      <xdr:row>36</xdr:row>
      <xdr:rowOff>161925</xdr:rowOff>
    </xdr:to>
    <xdr:cxnSp macro="">
      <xdr:nvCxnSpPr>
        <xdr:cNvPr id="6" name="Conector recto 6">
          <a:extLst>
            <a:ext uri="{FF2B5EF4-FFF2-40B4-BE49-F238E27FC236}">
              <a16:creationId xmlns:a16="http://schemas.microsoft.com/office/drawing/2014/main" id="{EC0172C0-4F70-4635-A357-4E493FA7F86C}"/>
            </a:ext>
            <a:ext uri="{147F2762-F138-4A5C-976F-8EAC2B608ADB}">
              <a16:predDERef xmlns:a16="http://schemas.microsoft.com/office/drawing/2014/main" pred="{F7666A6C-CD7E-4D97-AC90-5B8E3FAE3FDA}"/>
            </a:ext>
          </a:extLst>
        </xdr:cNvPr>
        <xdr:cNvCxnSpPr>
          <a:cxnSpLocks/>
        </xdr:cNvCxnSpPr>
      </xdr:nvCxnSpPr>
      <xdr:spPr>
        <a:xfrm>
          <a:off x="3171825" y="8239125"/>
          <a:ext cx="590550" cy="7334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1695450</xdr:colOff>
      <xdr:row>26</xdr:row>
      <xdr:rowOff>180975</xdr:rowOff>
    </xdr:from>
    <xdr:to>
      <xdr:col>3</xdr:col>
      <xdr:colOff>600075</xdr:colOff>
      <xdr:row>29</xdr:row>
      <xdr:rowOff>123825</xdr:rowOff>
    </xdr:to>
    <xdr:cxnSp macro="">
      <xdr:nvCxnSpPr>
        <xdr:cNvPr id="7" name="Conector recto 7">
          <a:extLst>
            <a:ext uri="{FF2B5EF4-FFF2-40B4-BE49-F238E27FC236}">
              <a16:creationId xmlns:a16="http://schemas.microsoft.com/office/drawing/2014/main" id="{D33289EF-1D88-46E9-800B-E18BB0BF592A}"/>
            </a:ext>
            <a:ext uri="{147F2762-F138-4A5C-976F-8EAC2B608ADB}">
              <a16:predDERef xmlns:a16="http://schemas.microsoft.com/office/drawing/2014/main" pred="{EC0172C0-4F70-4635-A357-4E493FA7F86C}"/>
            </a:ext>
          </a:extLst>
        </xdr:cNvPr>
        <xdr:cNvCxnSpPr>
          <a:cxnSpLocks/>
        </xdr:cNvCxnSpPr>
      </xdr:nvCxnSpPr>
      <xdr:spPr>
        <a:xfrm>
          <a:off x="3181350" y="7086600"/>
          <a:ext cx="619125" cy="5143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16</xdr:row>
      <xdr:rowOff>152400</xdr:rowOff>
    </xdr:from>
    <xdr:to>
      <xdr:col>5</xdr:col>
      <xdr:colOff>581025</xdr:colOff>
      <xdr:row>20</xdr:row>
      <xdr:rowOff>19050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835102C7-7A60-4BBB-853C-02A61F38E769}"/>
            </a:ext>
            <a:ext uri="{147F2762-F138-4A5C-976F-8EAC2B608ADB}">
              <a16:predDERef xmlns:a16="http://schemas.microsoft.com/office/drawing/2014/main" pred="{D33289EF-1D88-46E9-800B-E18BB0BF592A}"/>
            </a:ext>
          </a:extLst>
        </xdr:cNvPr>
        <xdr:cNvCxnSpPr>
          <a:cxnSpLocks/>
        </xdr:cNvCxnSpPr>
      </xdr:nvCxnSpPr>
      <xdr:spPr>
        <a:xfrm flipV="1">
          <a:off x="4391025" y="5153025"/>
          <a:ext cx="609600" cy="6286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20</xdr:row>
      <xdr:rowOff>114300</xdr:rowOff>
    </xdr:from>
    <xdr:to>
      <xdr:col>6</xdr:col>
      <xdr:colOff>9525</xdr:colOff>
      <xdr:row>23</xdr:row>
      <xdr:rowOff>180975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62B800BC-F6C6-4811-8FB9-60DB1A615D02}"/>
            </a:ext>
            <a:ext uri="{147F2762-F138-4A5C-976F-8EAC2B608ADB}">
              <a16:predDERef xmlns:a16="http://schemas.microsoft.com/office/drawing/2014/main" pred="{835102C7-7A60-4BBB-853C-02A61F38E769}"/>
            </a:ext>
          </a:extLst>
        </xdr:cNvPr>
        <xdr:cNvCxnSpPr>
          <a:cxnSpLocks/>
        </xdr:cNvCxnSpPr>
      </xdr:nvCxnSpPr>
      <xdr:spPr>
        <a:xfrm>
          <a:off x="4438650" y="5876925"/>
          <a:ext cx="600075" cy="6381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38100</xdr:rowOff>
    </xdr:from>
    <xdr:to>
      <xdr:col>5</xdr:col>
      <xdr:colOff>542925</xdr:colOff>
      <xdr:row>28</xdr:row>
      <xdr:rowOff>171450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1C6BC01-F4D8-4B56-A255-807030CA9AA6}"/>
            </a:ext>
            <a:ext uri="{147F2762-F138-4A5C-976F-8EAC2B608ADB}">
              <a16:predDERef xmlns:a16="http://schemas.microsoft.com/office/drawing/2014/main" pred="{62B800BC-F6C6-4811-8FB9-60DB1A615D02}"/>
            </a:ext>
          </a:extLst>
        </xdr:cNvPr>
        <xdr:cNvCxnSpPr>
          <a:cxnSpLocks/>
        </xdr:cNvCxnSpPr>
      </xdr:nvCxnSpPr>
      <xdr:spPr>
        <a:xfrm flipV="1">
          <a:off x="4419600" y="6753225"/>
          <a:ext cx="542925" cy="704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571500</xdr:colOff>
      <xdr:row>33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6CD48039-FA85-4D4F-B495-76436C7C9FB2}"/>
            </a:ext>
            <a:ext uri="{147F2762-F138-4A5C-976F-8EAC2B608ADB}">
              <a16:predDERef xmlns:a16="http://schemas.microsoft.com/office/drawing/2014/main" pred="{41C6BC01-F4D8-4B56-A255-807030CA9AA6}"/>
            </a:ext>
          </a:extLst>
        </xdr:cNvPr>
        <xdr:cNvCxnSpPr>
          <a:cxnSpLocks/>
        </xdr:cNvCxnSpPr>
      </xdr:nvCxnSpPr>
      <xdr:spPr>
        <a:xfrm>
          <a:off x="4419600" y="7477125"/>
          <a:ext cx="571500" cy="7620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33</xdr:row>
      <xdr:rowOff>123825</xdr:rowOff>
    </xdr:from>
    <xdr:to>
      <xdr:col>5</xdr:col>
      <xdr:colOff>542925</xdr:colOff>
      <xdr:row>36</xdr:row>
      <xdr:rowOff>171450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63D5A310-E92D-4788-BA49-8BE950E391FB}"/>
            </a:ext>
            <a:ext uri="{147F2762-F138-4A5C-976F-8EAC2B608ADB}">
              <a16:predDERef xmlns:a16="http://schemas.microsoft.com/office/drawing/2014/main" pred="{6CD48039-FA85-4D4F-B495-76436C7C9FB2}"/>
            </a:ext>
          </a:extLst>
        </xdr:cNvPr>
        <xdr:cNvCxnSpPr>
          <a:cxnSpLocks/>
        </xdr:cNvCxnSpPr>
      </xdr:nvCxnSpPr>
      <xdr:spPr>
        <a:xfrm flipV="1">
          <a:off x="4400550" y="8362950"/>
          <a:ext cx="561975" cy="6191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37</xdr:row>
      <xdr:rowOff>47625</xdr:rowOff>
    </xdr:from>
    <xdr:to>
      <xdr:col>6</xdr:col>
      <xdr:colOff>0</xdr:colOff>
      <xdr:row>41</xdr:row>
      <xdr:rowOff>19050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C68B6B69-1409-4B2C-ACA7-641A4557B228}"/>
            </a:ext>
            <a:ext uri="{147F2762-F138-4A5C-976F-8EAC2B608ADB}">
              <a16:predDERef xmlns:a16="http://schemas.microsoft.com/office/drawing/2014/main" pred="{63D5A310-E92D-4788-BA49-8BE950E391FB}"/>
            </a:ext>
          </a:extLst>
        </xdr:cNvPr>
        <xdr:cNvCxnSpPr>
          <a:cxnSpLocks/>
        </xdr:cNvCxnSpPr>
      </xdr:nvCxnSpPr>
      <xdr:spPr>
        <a:xfrm>
          <a:off x="4438650" y="9048750"/>
          <a:ext cx="590550" cy="7334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9525</xdr:rowOff>
    </xdr:from>
    <xdr:to>
      <xdr:col>1</xdr:col>
      <xdr:colOff>523875</xdr:colOff>
      <xdr:row>27</xdr:row>
      <xdr:rowOff>152400</xdr:rowOff>
    </xdr:to>
    <xdr:cxnSp macro="">
      <xdr:nvCxnSpPr>
        <xdr:cNvPr id="2" name="Conector recto 2">
          <a:extLst>
            <a:ext uri="{FF2B5EF4-FFF2-40B4-BE49-F238E27FC236}">
              <a16:creationId xmlns:a16="http://schemas.microsoft.com/office/drawing/2014/main" id="{614FF964-621F-4935-A7AF-7944F21B166F}"/>
            </a:ext>
          </a:extLst>
        </xdr:cNvPr>
        <xdr:cNvCxnSpPr>
          <a:cxnSpLocks/>
        </xdr:cNvCxnSpPr>
      </xdr:nvCxnSpPr>
      <xdr:spPr>
        <a:xfrm flipV="1">
          <a:off x="914400" y="5200650"/>
          <a:ext cx="523875" cy="3333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19050</xdr:rowOff>
    </xdr:from>
    <xdr:to>
      <xdr:col>1</xdr:col>
      <xdr:colOff>561975</xdr:colOff>
      <xdr:row>30</xdr:row>
      <xdr:rowOff>152400</xdr:rowOff>
    </xdr:to>
    <xdr:cxnSp macro="">
      <xdr:nvCxnSpPr>
        <xdr:cNvPr id="3" name="Conector recto 3">
          <a:extLst>
            <a:ext uri="{FF2B5EF4-FFF2-40B4-BE49-F238E27FC236}">
              <a16:creationId xmlns:a16="http://schemas.microsoft.com/office/drawing/2014/main" id="{E4F12326-EF82-48CE-B281-A26247274468}"/>
            </a:ext>
            <a:ext uri="{147F2762-F138-4A5C-976F-8EAC2B608ADB}">
              <a16:predDERef xmlns:a16="http://schemas.microsoft.com/office/drawing/2014/main" pred="{614FF964-621F-4935-A7AF-7944F21B166F}"/>
            </a:ext>
          </a:extLst>
        </xdr:cNvPr>
        <xdr:cNvCxnSpPr>
          <a:cxnSpLocks/>
        </xdr:cNvCxnSpPr>
      </xdr:nvCxnSpPr>
      <xdr:spPr>
        <a:xfrm>
          <a:off x="914400" y="5781675"/>
          <a:ext cx="561975" cy="323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19</xdr:row>
      <xdr:rowOff>123825</xdr:rowOff>
    </xdr:from>
    <xdr:to>
      <xdr:col>3</xdr:col>
      <xdr:colOff>590550</xdr:colOff>
      <xdr:row>23</xdr:row>
      <xdr:rowOff>161925</xdr:rowOff>
    </xdr:to>
    <xdr:cxnSp macro="">
      <xdr:nvCxnSpPr>
        <xdr:cNvPr id="4" name="Conector recto 4">
          <a:extLst>
            <a:ext uri="{FF2B5EF4-FFF2-40B4-BE49-F238E27FC236}">
              <a16:creationId xmlns:a16="http://schemas.microsoft.com/office/drawing/2014/main" id="{BE5A22B6-AD29-49AB-AB06-FEFFCBA43856}"/>
            </a:ext>
            <a:ext uri="{147F2762-F138-4A5C-976F-8EAC2B608ADB}">
              <a16:predDERef xmlns:a16="http://schemas.microsoft.com/office/drawing/2014/main" pred="{E4F12326-EF82-48CE-B281-A26247274468}"/>
            </a:ext>
          </a:extLst>
        </xdr:cNvPr>
        <xdr:cNvCxnSpPr>
          <a:cxnSpLocks/>
        </xdr:cNvCxnSpPr>
      </xdr:nvCxnSpPr>
      <xdr:spPr>
        <a:xfrm flipV="1">
          <a:off x="3228975" y="3981450"/>
          <a:ext cx="561975" cy="8001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1704975</xdr:colOff>
      <xdr:row>29</xdr:row>
      <xdr:rowOff>28575</xdr:rowOff>
    </xdr:from>
    <xdr:to>
      <xdr:col>3</xdr:col>
      <xdr:colOff>581025</xdr:colOff>
      <xdr:row>31</xdr:row>
      <xdr:rowOff>123825</xdr:rowOff>
    </xdr:to>
    <xdr:cxnSp macro="">
      <xdr:nvCxnSpPr>
        <xdr:cNvPr id="5" name="Conector recto 5">
          <a:extLst>
            <a:ext uri="{FF2B5EF4-FFF2-40B4-BE49-F238E27FC236}">
              <a16:creationId xmlns:a16="http://schemas.microsoft.com/office/drawing/2014/main" id="{18DF176F-6E6E-4F21-9C78-347EC8F3E4C9}"/>
            </a:ext>
            <a:ext uri="{147F2762-F138-4A5C-976F-8EAC2B608ADB}">
              <a16:predDERef xmlns:a16="http://schemas.microsoft.com/office/drawing/2014/main" pred="{BE5A22B6-AD29-49AB-AB06-FEFFCBA43856}"/>
            </a:ext>
          </a:extLst>
        </xdr:cNvPr>
        <xdr:cNvCxnSpPr>
          <a:cxnSpLocks/>
        </xdr:cNvCxnSpPr>
      </xdr:nvCxnSpPr>
      <xdr:spPr>
        <a:xfrm flipV="1">
          <a:off x="3190875" y="5791200"/>
          <a:ext cx="590550" cy="476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1685925</xdr:colOff>
      <xdr:row>32</xdr:row>
      <xdr:rowOff>0</xdr:rowOff>
    </xdr:from>
    <xdr:to>
      <xdr:col>3</xdr:col>
      <xdr:colOff>561975</xdr:colOff>
      <xdr:row>35</xdr:row>
      <xdr:rowOff>161925</xdr:rowOff>
    </xdr:to>
    <xdr:cxnSp macro="">
      <xdr:nvCxnSpPr>
        <xdr:cNvPr id="6" name="Conector recto 6">
          <a:extLst>
            <a:ext uri="{FF2B5EF4-FFF2-40B4-BE49-F238E27FC236}">
              <a16:creationId xmlns:a16="http://schemas.microsoft.com/office/drawing/2014/main" id="{E010A6D0-C66F-43BA-8ADF-EB07648F6610}"/>
            </a:ext>
            <a:ext uri="{147F2762-F138-4A5C-976F-8EAC2B608ADB}">
              <a16:predDERef xmlns:a16="http://schemas.microsoft.com/office/drawing/2014/main" pred="{18DF176F-6E6E-4F21-9C78-347EC8F3E4C9}"/>
            </a:ext>
          </a:extLst>
        </xdr:cNvPr>
        <xdr:cNvCxnSpPr>
          <a:cxnSpLocks/>
        </xdr:cNvCxnSpPr>
      </xdr:nvCxnSpPr>
      <xdr:spPr>
        <a:xfrm>
          <a:off x="3171825" y="6334125"/>
          <a:ext cx="590550" cy="7334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1695450</xdr:colOff>
      <xdr:row>25</xdr:row>
      <xdr:rowOff>180975</xdr:rowOff>
    </xdr:from>
    <xdr:to>
      <xdr:col>3</xdr:col>
      <xdr:colOff>600075</xdr:colOff>
      <xdr:row>28</xdr:row>
      <xdr:rowOff>123825</xdr:rowOff>
    </xdr:to>
    <xdr:cxnSp macro="">
      <xdr:nvCxnSpPr>
        <xdr:cNvPr id="7" name="Conector recto 7">
          <a:extLst>
            <a:ext uri="{FF2B5EF4-FFF2-40B4-BE49-F238E27FC236}">
              <a16:creationId xmlns:a16="http://schemas.microsoft.com/office/drawing/2014/main" id="{BA525976-B206-4179-AB2D-267CCC8846B6}"/>
            </a:ext>
            <a:ext uri="{147F2762-F138-4A5C-976F-8EAC2B608ADB}">
              <a16:predDERef xmlns:a16="http://schemas.microsoft.com/office/drawing/2014/main" pred="{E010A6D0-C66F-43BA-8ADF-EB07648F6610}"/>
            </a:ext>
          </a:extLst>
        </xdr:cNvPr>
        <xdr:cNvCxnSpPr>
          <a:cxnSpLocks/>
        </xdr:cNvCxnSpPr>
      </xdr:nvCxnSpPr>
      <xdr:spPr>
        <a:xfrm>
          <a:off x="3181350" y="5181600"/>
          <a:ext cx="619125" cy="5143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15</xdr:row>
      <xdr:rowOff>152400</xdr:rowOff>
    </xdr:from>
    <xdr:to>
      <xdr:col>5</xdr:col>
      <xdr:colOff>581025</xdr:colOff>
      <xdr:row>19</xdr:row>
      <xdr:rowOff>19050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D19B73B4-FD1C-453D-8CEF-A33634EC1E06}"/>
            </a:ext>
            <a:ext uri="{147F2762-F138-4A5C-976F-8EAC2B608ADB}">
              <a16:predDERef xmlns:a16="http://schemas.microsoft.com/office/drawing/2014/main" pred="{BA525976-B206-4179-AB2D-267CCC8846B6}"/>
            </a:ext>
          </a:extLst>
        </xdr:cNvPr>
        <xdr:cNvCxnSpPr>
          <a:cxnSpLocks/>
        </xdr:cNvCxnSpPr>
      </xdr:nvCxnSpPr>
      <xdr:spPr>
        <a:xfrm flipV="1">
          <a:off x="4391025" y="3248025"/>
          <a:ext cx="742950" cy="6286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19</xdr:row>
      <xdr:rowOff>114300</xdr:rowOff>
    </xdr:from>
    <xdr:to>
      <xdr:col>6</xdr:col>
      <xdr:colOff>9525</xdr:colOff>
      <xdr:row>22</xdr:row>
      <xdr:rowOff>180975</xdr:rowOff>
    </xdr:to>
    <xdr:cxnSp macro="">
      <xdr:nvCxnSpPr>
        <xdr:cNvPr id="9" name="Conector recto 9">
          <a:extLst>
            <a:ext uri="{FF2B5EF4-FFF2-40B4-BE49-F238E27FC236}">
              <a16:creationId xmlns:a16="http://schemas.microsoft.com/office/drawing/2014/main" id="{35BD4306-9EAD-4B2B-B630-6F71178242C5}"/>
            </a:ext>
            <a:ext uri="{147F2762-F138-4A5C-976F-8EAC2B608ADB}">
              <a16:predDERef xmlns:a16="http://schemas.microsoft.com/office/drawing/2014/main" pred="{D19B73B4-FD1C-453D-8CEF-A33634EC1E06}"/>
            </a:ext>
          </a:extLst>
        </xdr:cNvPr>
        <xdr:cNvCxnSpPr>
          <a:cxnSpLocks/>
        </xdr:cNvCxnSpPr>
      </xdr:nvCxnSpPr>
      <xdr:spPr>
        <a:xfrm>
          <a:off x="4572000" y="3971925"/>
          <a:ext cx="600075" cy="6381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38100</xdr:rowOff>
    </xdr:from>
    <xdr:to>
      <xdr:col>5</xdr:col>
      <xdr:colOff>542925</xdr:colOff>
      <xdr:row>27</xdr:row>
      <xdr:rowOff>171450</xdr:rowOff>
    </xdr:to>
    <xdr:cxnSp macro="">
      <xdr:nvCxnSpPr>
        <xdr:cNvPr id="10" name="Conector recto 10">
          <a:extLst>
            <a:ext uri="{FF2B5EF4-FFF2-40B4-BE49-F238E27FC236}">
              <a16:creationId xmlns:a16="http://schemas.microsoft.com/office/drawing/2014/main" id="{EB42A2D3-1095-4495-AFB9-859B0D60F435}"/>
            </a:ext>
            <a:ext uri="{147F2762-F138-4A5C-976F-8EAC2B608ADB}">
              <a16:predDERef xmlns:a16="http://schemas.microsoft.com/office/drawing/2014/main" pred="{35BD4306-9EAD-4B2B-B630-6F71178242C5}"/>
            </a:ext>
          </a:extLst>
        </xdr:cNvPr>
        <xdr:cNvCxnSpPr>
          <a:cxnSpLocks/>
        </xdr:cNvCxnSpPr>
      </xdr:nvCxnSpPr>
      <xdr:spPr>
        <a:xfrm flipV="1">
          <a:off x="4552950" y="4848225"/>
          <a:ext cx="542925" cy="704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571500</xdr:colOff>
      <xdr:row>32</xdr:row>
      <xdr:rowOff>0</xdr:rowOff>
    </xdr:to>
    <xdr:cxnSp macro="">
      <xdr:nvCxnSpPr>
        <xdr:cNvPr id="11" name="Conector recto 11">
          <a:extLst>
            <a:ext uri="{FF2B5EF4-FFF2-40B4-BE49-F238E27FC236}">
              <a16:creationId xmlns:a16="http://schemas.microsoft.com/office/drawing/2014/main" id="{021151E9-5089-45D6-B48A-A69C5B1D50B8}"/>
            </a:ext>
            <a:ext uri="{147F2762-F138-4A5C-976F-8EAC2B608ADB}">
              <a16:predDERef xmlns:a16="http://schemas.microsoft.com/office/drawing/2014/main" pred="{EB42A2D3-1095-4495-AFB9-859B0D60F435}"/>
            </a:ext>
          </a:extLst>
        </xdr:cNvPr>
        <xdr:cNvCxnSpPr>
          <a:cxnSpLocks/>
        </xdr:cNvCxnSpPr>
      </xdr:nvCxnSpPr>
      <xdr:spPr>
        <a:xfrm>
          <a:off x="4552950" y="5572125"/>
          <a:ext cx="571500" cy="7620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32</xdr:row>
      <xdr:rowOff>123825</xdr:rowOff>
    </xdr:from>
    <xdr:to>
      <xdr:col>5</xdr:col>
      <xdr:colOff>542925</xdr:colOff>
      <xdr:row>35</xdr:row>
      <xdr:rowOff>171450</xdr:rowOff>
    </xdr:to>
    <xdr:cxnSp macro="">
      <xdr:nvCxnSpPr>
        <xdr:cNvPr id="12" name="Conector recto 12">
          <a:extLst>
            <a:ext uri="{FF2B5EF4-FFF2-40B4-BE49-F238E27FC236}">
              <a16:creationId xmlns:a16="http://schemas.microsoft.com/office/drawing/2014/main" id="{F2213F50-2418-4AD3-8B6D-D914FE252F96}"/>
            </a:ext>
            <a:ext uri="{147F2762-F138-4A5C-976F-8EAC2B608ADB}">
              <a16:predDERef xmlns:a16="http://schemas.microsoft.com/office/drawing/2014/main" pred="{021151E9-5089-45D6-B48A-A69C5B1D50B8}"/>
            </a:ext>
          </a:extLst>
        </xdr:cNvPr>
        <xdr:cNvCxnSpPr>
          <a:cxnSpLocks/>
        </xdr:cNvCxnSpPr>
      </xdr:nvCxnSpPr>
      <xdr:spPr>
        <a:xfrm flipV="1">
          <a:off x="4400550" y="6457950"/>
          <a:ext cx="695325" cy="6191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36</xdr:row>
      <xdr:rowOff>47625</xdr:rowOff>
    </xdr:from>
    <xdr:to>
      <xdr:col>6</xdr:col>
      <xdr:colOff>0</xdr:colOff>
      <xdr:row>40</xdr:row>
      <xdr:rowOff>19050</xdr:rowOff>
    </xdr:to>
    <xdr:cxnSp macro="">
      <xdr:nvCxnSpPr>
        <xdr:cNvPr id="13" name="Conector recto 13">
          <a:extLst>
            <a:ext uri="{FF2B5EF4-FFF2-40B4-BE49-F238E27FC236}">
              <a16:creationId xmlns:a16="http://schemas.microsoft.com/office/drawing/2014/main" id="{82EC8E5D-C4A1-4E9C-A910-4DA680A41AEA}"/>
            </a:ext>
            <a:ext uri="{147F2762-F138-4A5C-976F-8EAC2B608ADB}">
              <a16:predDERef xmlns:a16="http://schemas.microsoft.com/office/drawing/2014/main" pred="{F2213F50-2418-4AD3-8B6D-D914FE252F96}"/>
            </a:ext>
          </a:extLst>
        </xdr:cNvPr>
        <xdr:cNvCxnSpPr>
          <a:cxnSpLocks/>
        </xdr:cNvCxnSpPr>
      </xdr:nvCxnSpPr>
      <xdr:spPr>
        <a:xfrm>
          <a:off x="4572000" y="7143750"/>
          <a:ext cx="590550" cy="7334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10" workbookViewId="0">
      <selection activeCell="C24" sqref="C24"/>
    </sheetView>
  </sheetViews>
  <sheetFormatPr defaultRowHeight="15"/>
  <cols>
    <col min="1" max="1" width="13.7109375" bestFit="1" customWidth="1"/>
    <col min="2" max="2" width="8.5703125" customWidth="1"/>
    <col min="3" max="3" width="25.7109375" bestFit="1" customWidth="1"/>
    <col min="8" max="8" width="17.42578125" customWidth="1"/>
  </cols>
  <sheetData>
    <row r="1" spans="1:9">
      <c r="A1" s="19" t="s">
        <v>0</v>
      </c>
      <c r="B1" s="19" t="s">
        <v>1</v>
      </c>
    </row>
    <row r="2" spans="1:9">
      <c r="H2" t="s">
        <v>2</v>
      </c>
    </row>
    <row r="3" spans="1:9">
      <c r="A3" s="1" t="s">
        <v>3</v>
      </c>
      <c r="B3" s="1">
        <v>60</v>
      </c>
      <c r="C3" t="s">
        <v>4</v>
      </c>
      <c r="H3" t="s">
        <v>5</v>
      </c>
    </row>
    <row r="4" spans="1:9">
      <c r="A4" s="1" t="s">
        <v>6</v>
      </c>
      <c r="B4" s="1">
        <v>65</v>
      </c>
      <c r="C4" t="s">
        <v>7</v>
      </c>
      <c r="H4" t="s">
        <v>8</v>
      </c>
      <c r="I4" s="14" cm="1">
        <f t="array" ref="I4">k-C16</f>
        <v>-4</v>
      </c>
    </row>
    <row r="5" spans="1:9">
      <c r="A5" s="1" t="s">
        <v>9</v>
      </c>
      <c r="B5" s="1">
        <v>1.1499999999999999</v>
      </c>
      <c r="C5" t="s">
        <v>10</v>
      </c>
    </row>
    <row r="6" spans="1:9">
      <c r="A6" s="1" t="s">
        <v>11</v>
      </c>
      <c r="B6" s="44">
        <v>0.85</v>
      </c>
      <c r="C6" t="s">
        <v>12</v>
      </c>
      <c r="H6" t="s">
        <v>13</v>
      </c>
    </row>
    <row r="7" spans="1:9">
      <c r="A7" s="1" t="s">
        <v>14</v>
      </c>
      <c r="B7" s="1">
        <v>0.1</v>
      </c>
      <c r="C7" t="s">
        <v>15</v>
      </c>
      <c r="H7" t="s">
        <v>8</v>
      </c>
      <c r="I7" s="15" cm="1">
        <f t="array" ref="I7">k-C22</f>
        <v>14</v>
      </c>
    </row>
    <row r="8" spans="1:9">
      <c r="A8" s="1" t="s">
        <v>16</v>
      </c>
      <c r="B8" s="2" cm="1">
        <f t="array" ref="B8">(EXP((r_0*B12))-D)/(u-D)</f>
        <v>0.63603591397462755</v>
      </c>
      <c r="C8" t="s">
        <v>17</v>
      </c>
    </row>
    <row r="9" spans="1:9">
      <c r="A9" s="5" t="s">
        <v>18</v>
      </c>
      <c r="B9" s="6" cm="1">
        <f t="array" ref="B9">1-p</f>
        <v>0.36396408602537245</v>
      </c>
      <c r="C9" t="s">
        <v>19</v>
      </c>
      <c r="H9" t="s">
        <v>20</v>
      </c>
    </row>
    <row r="10" spans="1:9">
      <c r="A10" s="5" t="s">
        <v>21</v>
      </c>
      <c r="B10" s="5">
        <v>0.8</v>
      </c>
      <c r="C10" t="s">
        <v>22</v>
      </c>
      <c r="H10" t="s">
        <v>8</v>
      </c>
    </row>
    <row r="11" spans="1:9">
      <c r="A11" s="5" t="s">
        <v>23</v>
      </c>
      <c r="B11" s="1">
        <v>2</v>
      </c>
      <c r="I11" cm="1">
        <f t="array" ref="I11">k-A19</f>
        <v>5</v>
      </c>
    </row>
    <row r="12" spans="1:9" ht="18.75">
      <c r="A12" s="9" t="s">
        <v>24</v>
      </c>
      <c r="B12" s="10">
        <f>B10/B11</f>
        <v>0.4</v>
      </c>
      <c r="H12" t="s">
        <v>25</v>
      </c>
    </row>
    <row r="13" spans="1:9">
      <c r="E13" s="13" t="s">
        <v>26</v>
      </c>
      <c r="H13" t="s">
        <v>27</v>
      </c>
    </row>
    <row r="14" spans="1:9">
      <c r="E14" s="4">
        <f>C16*B5</f>
        <v>79.349999999999994</v>
      </c>
      <c r="H14" t="s">
        <v>28</v>
      </c>
      <c r="I14" s="8">
        <f>A21</f>
        <v>6.2526701863897669</v>
      </c>
    </row>
    <row r="15" spans="1:9">
      <c r="C15" s="13" t="s">
        <v>29</v>
      </c>
      <c r="E15" s="7" cm="1">
        <f t="array" ref="E15">MAX(k-E14,0)</f>
        <v>0</v>
      </c>
    </row>
    <row r="16" spans="1:9">
      <c r="C16" s="4" cm="1">
        <f t="array" ref="C16">A19*u</f>
        <v>69</v>
      </c>
    </row>
    <row r="17" spans="1:5">
      <c r="C17" s="11" cm="1">
        <f t="array" ref="C17">EXP(-r_0*B12)*(E15*p+E20*q)</f>
        <v>2.2205495980328003</v>
      </c>
      <c r="E17" s="13" t="s">
        <v>30</v>
      </c>
    </row>
    <row r="18" spans="1:5">
      <c r="A18" s="13" t="s">
        <v>31</v>
      </c>
      <c r="C18" s="17">
        <f>IF(I4&gt;0,I4,C17)</f>
        <v>2.2205495980328003</v>
      </c>
      <c r="E18" s="46">
        <f>C16*B6</f>
        <v>58.65</v>
      </c>
    </row>
    <row r="19" spans="1:5">
      <c r="A19" s="4" cm="1">
        <f t="array" ref="A19">S_0</f>
        <v>60</v>
      </c>
      <c r="E19" s="46"/>
    </row>
    <row r="20" spans="1:5">
      <c r="A20" s="12" cm="1">
        <f t="array" ref="A20">EXP(-2*r_0*B12)*(E15*p^2+2*E20*p*q+E25*q^2)</f>
        <v>5.3614127559359543</v>
      </c>
      <c r="E20" s="7" cm="1">
        <f t="array" ref="E20">MAX(k-E18,0)</f>
        <v>6.3500000000000014</v>
      </c>
    </row>
    <row r="21" spans="1:5">
      <c r="A21" s="16" cm="1">
        <f t="array" ref="A21">EXP(-r_0*B12)*(C18*p+C24*q)</f>
        <v>6.2526701863897669</v>
      </c>
      <c r="C21" s="13" t="s">
        <v>32</v>
      </c>
    </row>
    <row r="22" spans="1:5">
      <c r="C22" s="4" cm="1">
        <f t="array" ref="C22">A19*D</f>
        <v>51</v>
      </c>
    </row>
    <row r="23" spans="1:5">
      <c r="C23" s="11" cm="1">
        <f t="array" ref="C23">EXP(-r_0*B12)*(E20*p+E25*q)</f>
        <v>11.451313544901005</v>
      </c>
      <c r="E23" s="13" t="s">
        <v>33</v>
      </c>
    </row>
    <row r="24" spans="1:5">
      <c r="C24" s="18">
        <f>IF(I7&gt;0,I7,C22)</f>
        <v>14</v>
      </c>
      <c r="E24" s="4" cm="1">
        <f t="array" ref="E24">C22*D</f>
        <v>43.35</v>
      </c>
    </row>
    <row r="25" spans="1:5">
      <c r="E25" s="7" cm="1">
        <f t="array" ref="E25">MAX(k-E24,0)</f>
        <v>21.65</v>
      </c>
    </row>
  </sheetData>
  <mergeCells count="1">
    <mergeCell ref="E18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6949-8F11-4DE1-8D7D-D869539216EE}">
  <dimension ref="A1:I25"/>
  <sheetViews>
    <sheetView workbookViewId="0">
      <selection activeCell="D33" sqref="D33"/>
    </sheetView>
  </sheetViews>
  <sheetFormatPr defaultRowHeight="15"/>
  <cols>
    <col min="1" max="1" width="13.7109375" bestFit="1" customWidth="1"/>
    <col min="2" max="2" width="8.5703125" customWidth="1"/>
    <col min="3" max="3" width="25.7109375" bestFit="1" customWidth="1"/>
    <col min="8" max="8" width="17.42578125" customWidth="1"/>
  </cols>
  <sheetData>
    <row r="1" spans="1:9">
      <c r="A1" s="19" t="s">
        <v>34</v>
      </c>
      <c r="B1" s="19" t="s">
        <v>1</v>
      </c>
    </row>
    <row r="2" spans="1:9">
      <c r="H2" t="s">
        <v>2</v>
      </c>
    </row>
    <row r="3" spans="1:9">
      <c r="A3" s="1" t="s">
        <v>3</v>
      </c>
      <c r="B3" s="1">
        <v>20</v>
      </c>
      <c r="C3" t="s">
        <v>4</v>
      </c>
      <c r="H3" t="s">
        <v>5</v>
      </c>
    </row>
    <row r="4" spans="1:9">
      <c r="A4" s="1" t="s">
        <v>6</v>
      </c>
      <c r="B4" s="1">
        <v>21</v>
      </c>
      <c r="C4" t="s">
        <v>7</v>
      </c>
      <c r="H4" t="s">
        <v>8</v>
      </c>
      <c r="I4" s="41" cm="1">
        <f t="array" ref="I4">C16-k</f>
        <v>1</v>
      </c>
    </row>
    <row r="5" spans="1:9">
      <c r="A5" s="1" t="s">
        <v>9</v>
      </c>
      <c r="B5" s="1">
        <v>1.1000000000000001</v>
      </c>
      <c r="C5" t="s">
        <v>10</v>
      </c>
      <c r="I5" s="41"/>
    </row>
    <row r="6" spans="1:9">
      <c r="A6" s="1" t="s">
        <v>11</v>
      </c>
      <c r="B6" s="3">
        <v>0.9</v>
      </c>
      <c r="C6" t="s">
        <v>12</v>
      </c>
      <c r="H6" t="s">
        <v>13</v>
      </c>
    </row>
    <row r="7" spans="1:9">
      <c r="A7" s="1" t="s">
        <v>14</v>
      </c>
      <c r="B7" s="1">
        <v>0.12</v>
      </c>
      <c r="C7" t="s">
        <v>15</v>
      </c>
      <c r="H7" t="s">
        <v>8</v>
      </c>
      <c r="I7" s="41" cm="1">
        <f t="array" ref="I7">C22-k</f>
        <v>-3</v>
      </c>
    </row>
    <row r="8" spans="1:9">
      <c r="A8" s="30" t="s">
        <v>16</v>
      </c>
      <c r="B8" s="39" cm="1">
        <f t="array" ref="B8">(EXP((r_0*B12))-D)/(u-D)</f>
        <v>0.65227266976758436</v>
      </c>
      <c r="C8" t="s">
        <v>17</v>
      </c>
    </row>
    <row r="9" spans="1:9">
      <c r="A9" s="31" t="s">
        <v>18</v>
      </c>
      <c r="B9" s="40" cm="1">
        <f t="array" ref="B9">1-p</f>
        <v>0.34772733023241564</v>
      </c>
      <c r="C9" t="s">
        <v>19</v>
      </c>
      <c r="H9" t="s">
        <v>20</v>
      </c>
    </row>
    <row r="10" spans="1:9">
      <c r="A10" s="5" t="s">
        <v>21</v>
      </c>
      <c r="B10" s="42">
        <v>3</v>
      </c>
      <c r="C10" t="s">
        <v>22</v>
      </c>
      <c r="H10" t="s">
        <v>8</v>
      </c>
    </row>
    <row r="11" spans="1:9">
      <c r="A11" s="5" t="s">
        <v>23</v>
      </c>
      <c r="B11" s="1">
        <v>12</v>
      </c>
      <c r="I11" cm="1">
        <f t="array" ref="I11">k-A19</f>
        <v>1</v>
      </c>
    </row>
    <row r="12" spans="1:9" ht="18.75">
      <c r="A12" s="9" t="s">
        <v>24</v>
      </c>
      <c r="B12" s="43">
        <f>B10/B11</f>
        <v>0.25</v>
      </c>
      <c r="H12" t="s">
        <v>25</v>
      </c>
    </row>
    <row r="13" spans="1:9">
      <c r="E13" s="13" t="s">
        <v>26</v>
      </c>
      <c r="H13" t="s">
        <v>27</v>
      </c>
    </row>
    <row r="14" spans="1:9">
      <c r="E14" s="4">
        <f>C16*B5</f>
        <v>24.200000000000003</v>
      </c>
      <c r="H14" t="s">
        <v>28</v>
      </c>
      <c r="I14" s="8">
        <f>A21</f>
        <v>1.2821849452741405</v>
      </c>
    </row>
    <row r="15" spans="1:9">
      <c r="C15" s="13" t="s">
        <v>29</v>
      </c>
      <c r="E15" s="7" cm="1">
        <f t="array" ref="E15">MAX(E14-k,0)</f>
        <v>3.2000000000000028</v>
      </c>
    </row>
    <row r="16" spans="1:9">
      <c r="C16" s="4" cm="1">
        <f t="array" ref="C16">A19*u</f>
        <v>22</v>
      </c>
    </row>
    <row r="17" spans="1:5">
      <c r="C17" s="11" cm="1">
        <f t="array" ref="C17">EXP(-r_0*B12)*(E15*p+E20*q)</f>
        <v>2.0255843169014844</v>
      </c>
      <c r="E17" s="13" t="s">
        <v>30</v>
      </c>
    </row>
    <row r="18" spans="1:5">
      <c r="A18" s="13" t="s">
        <v>31</v>
      </c>
      <c r="C18" s="17">
        <f>IF(I4&lt;C17,I4,C17)</f>
        <v>1</v>
      </c>
      <c r="E18" s="46">
        <f>C16*B6</f>
        <v>19.8</v>
      </c>
    </row>
    <row r="19" spans="1:5">
      <c r="A19" s="4" cm="1">
        <f t="array" ref="A19">S_0</f>
        <v>20</v>
      </c>
      <c r="E19" s="46"/>
    </row>
    <row r="20" spans="1:5">
      <c r="A20" s="12" cm="1">
        <f t="array" ref="A20">EXP(-2*r_0*B12)*(E15*p^2+2*E20*p*q+E25*q^2)</f>
        <v>1.2821849452741403</v>
      </c>
      <c r="E20" s="7" cm="1">
        <f t="array" ref="E20">MAX(E18-k,0)</f>
        <v>0</v>
      </c>
    </row>
    <row r="21" spans="1:5">
      <c r="A21" s="16" cm="1">
        <f t="array" ref="A21">EXP(-r_0*B12)*(C17*p+C24*q)</f>
        <v>1.2821849452741405</v>
      </c>
      <c r="C21" s="13" t="s">
        <v>32</v>
      </c>
    </row>
    <row r="22" spans="1:5">
      <c r="C22" s="4" cm="1">
        <f t="array" ref="C22">A19*D</f>
        <v>18</v>
      </c>
    </row>
    <row r="23" spans="1:5">
      <c r="C23" s="11" cm="1">
        <f t="array" ref="C23">EXP(-r_0*B12)*(E20*p+E25*q)</f>
        <v>0</v>
      </c>
      <c r="E23" s="13" t="s">
        <v>33</v>
      </c>
    </row>
    <row r="24" spans="1:5">
      <c r="C24" s="18">
        <f>IF(I7&lt;0,0,C23)</f>
        <v>0</v>
      </c>
      <c r="E24" s="4" cm="1">
        <f t="array" ref="E24">C22*D</f>
        <v>16.2</v>
      </c>
    </row>
    <row r="25" spans="1:5">
      <c r="E25" s="7" cm="1">
        <f t="array" ref="E25">MAX(E24-k,0)</f>
        <v>0</v>
      </c>
    </row>
  </sheetData>
  <mergeCells count="1">
    <mergeCell ref="E18:E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3AFD-26E7-47AB-B9A7-0C093775C392}">
  <dimension ref="A1:H22"/>
  <sheetViews>
    <sheetView workbookViewId="0">
      <selection activeCell="E3" sqref="E3"/>
    </sheetView>
  </sheetViews>
  <sheetFormatPr defaultRowHeight="15"/>
  <cols>
    <col min="1" max="1" width="13.7109375" bestFit="1" customWidth="1"/>
    <col min="2" max="2" width="8.5703125" customWidth="1"/>
    <col min="3" max="3" width="25.7109375" bestFit="1" customWidth="1"/>
    <col min="6" max="6" width="14" customWidth="1"/>
    <col min="8" max="8" width="17.42578125" customWidth="1"/>
    <col min="12" max="12" width="17.28515625" customWidth="1"/>
  </cols>
  <sheetData>
    <row r="1" spans="1:8">
      <c r="A1" s="19" t="s">
        <v>35</v>
      </c>
      <c r="B1" s="19" t="s">
        <v>36</v>
      </c>
      <c r="D1" s="54" t="s">
        <v>37</v>
      </c>
      <c r="E1" s="54"/>
    </row>
    <row r="2" spans="1:8">
      <c r="A2" s="55" t="s">
        <v>38</v>
      </c>
      <c r="B2" s="55"/>
      <c r="D2" s="47" t="s">
        <v>9</v>
      </c>
      <c r="E2" s="47">
        <f>EXP(B8*SQRT(E6))</f>
        <v>1.1051709180756477</v>
      </c>
      <c r="G2" t="s">
        <v>2</v>
      </c>
      <c r="H2" t="s">
        <v>39</v>
      </c>
    </row>
    <row r="3" spans="1:8">
      <c r="A3" s="55" t="s">
        <v>3</v>
      </c>
      <c r="B3" s="55">
        <v>100</v>
      </c>
      <c r="D3" s="47" t="s">
        <v>11</v>
      </c>
      <c r="E3" s="48">
        <f>1/E2</f>
        <v>0.90483741803595952</v>
      </c>
      <c r="G3" t="s">
        <v>5</v>
      </c>
    </row>
    <row r="4" spans="1:8">
      <c r="A4" s="55" t="s">
        <v>6</v>
      </c>
      <c r="B4" s="55">
        <v>105</v>
      </c>
      <c r="D4" s="47" t="s">
        <v>16</v>
      </c>
      <c r="E4" s="49" cm="1">
        <f t="array" ref="E4">(EXP((r_0*E6))-D)/(u-D)</f>
        <v>0.60138570166548</v>
      </c>
      <c r="G4" t="s">
        <v>8</v>
      </c>
      <c r="H4" s="41" cm="1">
        <f t="array" ref="H4">C13-k</f>
        <v>5.5170918075647677</v>
      </c>
    </row>
    <row r="5" spans="1:8">
      <c r="A5" s="55" t="s">
        <v>14</v>
      </c>
      <c r="B5" s="55">
        <v>0.1</v>
      </c>
      <c r="D5" s="50" t="s">
        <v>18</v>
      </c>
      <c r="E5" s="51" cm="1">
        <f t="array" ref="E5">1-p</f>
        <v>0.39861429833452</v>
      </c>
      <c r="H5" s="41"/>
    </row>
    <row r="6" spans="1:8" ht="18.75">
      <c r="A6" s="55" t="s">
        <v>21</v>
      </c>
      <c r="B6" s="56">
        <f>6/12</f>
        <v>0.5</v>
      </c>
      <c r="D6" s="52" t="s">
        <v>24</v>
      </c>
      <c r="E6" s="53">
        <f>B6/B7</f>
        <v>0.25</v>
      </c>
      <c r="G6" t="s">
        <v>13</v>
      </c>
    </row>
    <row r="7" spans="1:8">
      <c r="A7" s="57" t="s">
        <v>23</v>
      </c>
      <c r="B7" s="57">
        <v>2</v>
      </c>
      <c r="G7" t="s">
        <v>8</v>
      </c>
      <c r="H7" s="41" cm="1">
        <f t="array" ref="H7">C19-k</f>
        <v>-14.516258196404053</v>
      </c>
    </row>
    <row r="8" spans="1:8" ht="16.5">
      <c r="A8" s="58" t="s">
        <v>40</v>
      </c>
      <c r="B8" s="55">
        <v>0.2</v>
      </c>
    </row>
    <row r="9" spans="1:8">
      <c r="G9" t="s">
        <v>20</v>
      </c>
    </row>
    <row r="10" spans="1:8">
      <c r="E10" s="13" t="s">
        <v>26</v>
      </c>
      <c r="G10" t="s">
        <v>8</v>
      </c>
    </row>
    <row r="11" spans="1:8">
      <c r="E11" s="4">
        <f>C13*E2</f>
        <v>122.140275816017</v>
      </c>
      <c r="H11" cm="1">
        <f t="array" ref="H11">k-A16</f>
        <v>5</v>
      </c>
    </row>
    <row r="12" spans="1:8">
      <c r="C12" s="13" t="s">
        <v>29</v>
      </c>
      <c r="E12" s="7" cm="1">
        <f t="array" ref="E12">MAX(E11-k,0)</f>
        <v>17.140275816016995</v>
      </c>
      <c r="G12" t="s">
        <v>25</v>
      </c>
    </row>
    <row r="13" spans="1:8">
      <c r="C13" s="4" cm="1">
        <f t="array" ref="C13">A16*u</f>
        <v>110.51709180756477</v>
      </c>
      <c r="G13" t="s">
        <v>27</v>
      </c>
    </row>
    <row r="14" spans="1:8">
      <c r="C14" s="11" cm="1">
        <f t="array" ref="C14">EXP(-r_0*E6)*(E12*p+E17*q)</f>
        <v>10.053413425799219</v>
      </c>
      <c r="E14" s="13" t="s">
        <v>30</v>
      </c>
      <c r="G14" t="s">
        <v>28</v>
      </c>
      <c r="H14" s="8">
        <f>A18</f>
        <v>0</v>
      </c>
    </row>
    <row r="15" spans="1:8">
      <c r="A15" s="13" t="s">
        <v>31</v>
      </c>
      <c r="C15" s="17"/>
      <c r="E15" s="45">
        <f>C13*E3</f>
        <v>100</v>
      </c>
    </row>
    <row r="16" spans="1:8">
      <c r="A16" s="4" cm="1">
        <f t="array" ref="A16">S_0</f>
        <v>100</v>
      </c>
      <c r="E16" s="45" cm="1">
        <f t="array" ref="E16">MAX(E15-k,0)</f>
        <v>0</v>
      </c>
    </row>
    <row r="17" spans="1:5">
      <c r="A17" s="12" cm="1">
        <f t="array" ref="A17">EXP(-2*r_0*E6)*(E12*p^2+2*E16*p*q+E22*q^2)</f>
        <v>5.8967033316694089</v>
      </c>
      <c r="E17" s="7"/>
    </row>
    <row r="18" spans="1:5">
      <c r="A18" s="16"/>
      <c r="C18" s="13" t="s">
        <v>32</v>
      </c>
    </row>
    <row r="19" spans="1:5">
      <c r="C19" s="4" cm="1">
        <f t="array" ref="C19">A16*D</f>
        <v>90.483741803595947</v>
      </c>
    </row>
    <row r="20" spans="1:5">
      <c r="C20" s="11" cm="1">
        <f t="array" ref="C20">EXP(-r_0*E6)*(E17*p+E22*q)</f>
        <v>0</v>
      </c>
      <c r="E20" s="13" t="s">
        <v>33</v>
      </c>
    </row>
    <row r="21" spans="1:5">
      <c r="C21" s="18"/>
      <c r="E21" s="4" cm="1">
        <f t="array" ref="E21">C19*D</f>
        <v>81.873075307798175</v>
      </c>
    </row>
    <row r="22" spans="1:5">
      <c r="E22" s="7" cm="1">
        <f t="array" ref="E22">MAX(E21-k,0)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E2B0-3AD4-415D-B393-91E074D581E2}">
  <dimension ref="A1:K44"/>
  <sheetViews>
    <sheetView workbookViewId="0">
      <selection activeCell="N34" sqref="N34"/>
    </sheetView>
  </sheetViews>
  <sheetFormatPr defaultRowHeight="15"/>
  <cols>
    <col min="1" max="1" width="13.7109375" bestFit="1" customWidth="1"/>
    <col min="2" max="2" width="8.5703125" customWidth="1"/>
    <col min="3" max="3" width="25.7109375" bestFit="1" customWidth="1"/>
    <col min="5" max="5" width="11.140625" bestFit="1" customWidth="1"/>
    <col min="8" max="8" width="17.42578125" customWidth="1"/>
    <col min="10" max="10" width="16.42578125" customWidth="1"/>
  </cols>
  <sheetData>
    <row r="1" spans="1:11">
      <c r="A1" s="19" t="s">
        <v>0</v>
      </c>
      <c r="B1" s="19" t="s">
        <v>1</v>
      </c>
    </row>
    <row r="2" spans="1:11">
      <c r="J2" t="s">
        <v>2</v>
      </c>
    </row>
    <row r="3" spans="1:11">
      <c r="A3" s="30" t="s">
        <v>3</v>
      </c>
      <c r="B3" s="30">
        <v>100</v>
      </c>
      <c r="C3" t="s">
        <v>4</v>
      </c>
      <c r="D3" t="s">
        <v>41</v>
      </c>
      <c r="J3" t="s">
        <v>42</v>
      </c>
    </row>
    <row r="4" spans="1:11">
      <c r="A4" s="30" t="s">
        <v>6</v>
      </c>
      <c r="B4" s="30">
        <v>100</v>
      </c>
      <c r="C4" t="s">
        <v>7</v>
      </c>
      <c r="D4" t="s">
        <v>43</v>
      </c>
      <c r="J4" t="s">
        <v>8</v>
      </c>
      <c r="K4" s="14" cm="1">
        <f t="array" ref="K4">k-E22</f>
        <v>-44</v>
      </c>
    </row>
    <row r="5" spans="1:11">
      <c r="A5" s="30" t="s">
        <v>9</v>
      </c>
      <c r="B5" s="30">
        <v>1.2</v>
      </c>
      <c r="C5" t="s">
        <v>10</v>
      </c>
    </row>
    <row r="6" spans="1:11">
      <c r="A6" s="30" t="s">
        <v>11</v>
      </c>
      <c r="B6" s="38">
        <f>0.8</f>
        <v>0.8</v>
      </c>
      <c r="C6" t="s">
        <v>12</v>
      </c>
      <c r="J6" t="s">
        <v>44</v>
      </c>
    </row>
    <row r="7" spans="1:11">
      <c r="A7" s="30" t="s">
        <v>14</v>
      </c>
      <c r="B7" s="30">
        <v>0.05</v>
      </c>
      <c r="C7" t="s">
        <v>15</v>
      </c>
      <c r="J7" t="s">
        <v>8</v>
      </c>
      <c r="K7" s="26" cm="1">
        <f t="array" ref="K7">k-E31</f>
        <v>4</v>
      </c>
    </row>
    <row r="8" spans="1:11">
      <c r="A8" s="32" t="s">
        <v>16</v>
      </c>
      <c r="B8" s="33" cm="1">
        <f t="array" ref="B8">(EXP((r_0*B12))-D)/(u-D)</f>
        <v>0.56328780131107214</v>
      </c>
      <c r="C8" t="s">
        <v>17</v>
      </c>
    </row>
    <row r="9" spans="1:11">
      <c r="A9" s="34" t="s">
        <v>18</v>
      </c>
      <c r="B9" s="35" cm="1">
        <f t="array" ref="B9">1-p</f>
        <v>0.43671219868892786</v>
      </c>
      <c r="C9" t="s">
        <v>19</v>
      </c>
      <c r="J9" t="s">
        <v>45</v>
      </c>
    </row>
    <row r="10" spans="1:11">
      <c r="A10" s="31" t="s">
        <v>21</v>
      </c>
      <c r="B10" s="31">
        <v>1.5</v>
      </c>
      <c r="C10" t="s">
        <v>22</v>
      </c>
      <c r="J10" t="s">
        <v>8</v>
      </c>
      <c r="K10" s="15" cm="1">
        <f t="array" ref="K10">k-E39</f>
        <v>36</v>
      </c>
    </row>
    <row r="11" spans="1:11">
      <c r="A11" s="31" t="s">
        <v>23</v>
      </c>
      <c r="B11" s="30">
        <v>3</v>
      </c>
    </row>
    <row r="12" spans="1:11" ht="18.75">
      <c r="A12" s="36" t="s">
        <v>24</v>
      </c>
      <c r="B12" s="37">
        <f>B10/B11</f>
        <v>0.5</v>
      </c>
      <c r="J12" t="s">
        <v>5</v>
      </c>
    </row>
    <row r="13" spans="1:11">
      <c r="J13" t="s">
        <v>8</v>
      </c>
      <c r="K13" cm="1">
        <f t="array" ref="K13">k-C27</f>
        <v>-20</v>
      </c>
    </row>
    <row r="16" spans="1:11">
      <c r="G16" s="13" t="s">
        <v>46</v>
      </c>
    </row>
    <row r="17" spans="1:11">
      <c r="G17" s="21" cm="1">
        <f t="array" ref="G17">E22*u</f>
        <v>172.79999999999998</v>
      </c>
    </row>
    <row r="18" spans="1:11">
      <c r="G18" s="24" cm="1">
        <f t="array" ref="G18">MAX(k-G17,0)</f>
        <v>0</v>
      </c>
      <c r="J18" t="s">
        <v>25</v>
      </c>
    </row>
    <row r="19" spans="1:11">
      <c r="J19" t="s">
        <v>27</v>
      </c>
    </row>
    <row r="20" spans="1:11">
      <c r="J20" t="s">
        <v>28</v>
      </c>
      <c r="K20" s="8">
        <f>A32</f>
        <v>11.155503439331852</v>
      </c>
    </row>
    <row r="21" spans="1:11">
      <c r="E21" s="13" t="s">
        <v>26</v>
      </c>
    </row>
    <row r="22" spans="1:11">
      <c r="E22" s="4">
        <f>C27*B5</f>
        <v>144</v>
      </c>
    </row>
    <row r="23" spans="1:11">
      <c r="E23" s="24" cm="1">
        <f t="array" ref="E23">EXP(-r_0*B12)*(G18*p+G27*q)</f>
        <v>0</v>
      </c>
    </row>
    <row r="24" spans="1:11">
      <c r="E24" s="18">
        <f>IF(K4&gt;E23,K4,E23)</f>
        <v>0</v>
      </c>
    </row>
    <row r="25" spans="1:11">
      <c r="G25" s="13" t="s">
        <v>47</v>
      </c>
    </row>
    <row r="26" spans="1:11">
      <c r="C26" s="13" t="s">
        <v>29</v>
      </c>
      <c r="G26" s="4" cm="1">
        <f t="array" ref="G26">E22*D</f>
        <v>115.2</v>
      </c>
    </row>
    <row r="27" spans="1:11">
      <c r="C27" s="4" cm="1">
        <f t="array" ref="C27">A30*u</f>
        <v>120</v>
      </c>
      <c r="G27" s="24" cm="1">
        <f t="array" ref="G27">MAX(k-G26,0)</f>
        <v>0</v>
      </c>
    </row>
    <row r="28" spans="1:11">
      <c r="C28" s="23" cm="1">
        <f t="array" ref="C28">EXP(-r_0*B12)*(p*E24+q*E33)</f>
        <v>4.208854449889313</v>
      </c>
    </row>
    <row r="29" spans="1:11">
      <c r="A29" s="13" t="s">
        <v>31</v>
      </c>
      <c r="C29" s="28">
        <f>IF(K13&gt;C28,K13,C28)</f>
        <v>4.208854449889313</v>
      </c>
    </row>
    <row r="30" spans="1:11">
      <c r="A30" s="4" cm="1">
        <f t="array" ref="A30">S_0</f>
        <v>100</v>
      </c>
      <c r="E30" s="13" t="s">
        <v>30</v>
      </c>
    </row>
    <row r="31" spans="1:11">
      <c r="A31" s="22" cm="1">
        <f t="array" ref="A31">EXP(-n*r_0*B12)*(G18*p^3+3*G27*p^2*q+3*G36*p*q^2+G44*q^3)</f>
        <v>10.707585393522754</v>
      </c>
      <c r="B31" s="25"/>
      <c r="E31" s="4">
        <f>C27*B6</f>
        <v>96</v>
      </c>
    </row>
    <row r="32" spans="1:11">
      <c r="A32" s="17" cm="1">
        <f t="array" ref="A32">EXP(-r_0*B12)*(C29*p+C34*q)</f>
        <v>11.155503439331852</v>
      </c>
      <c r="C32" s="13" t="s">
        <v>32</v>
      </c>
      <c r="E32" s="23" cm="1">
        <f t="array" ref="E32">EXP(-r_0*B12)*(G27*p+G36*q)</f>
        <v>9.8815698771719465</v>
      </c>
    </row>
    <row r="33" spans="3:11">
      <c r="C33" s="4" cm="1">
        <f t="array" ref="C33">A30*D</f>
        <v>80</v>
      </c>
      <c r="E33" s="29">
        <f>IF(K7&gt;E32,K7,E32)</f>
        <v>9.8815698771719465</v>
      </c>
    </row>
    <row r="34" spans="3:11">
      <c r="C34" s="23" cm="1">
        <f t="array" ref="C34">EXP(-r_0*B12)*(p*E33+q*E41)</f>
        <v>20.762209096777006</v>
      </c>
      <c r="G34" s="13" t="s">
        <v>48</v>
      </c>
    </row>
    <row r="35" spans="3:11">
      <c r="C35" s="27"/>
      <c r="G35" s="4" cm="1">
        <f t="array" ref="G35">E31*D</f>
        <v>76.800000000000011</v>
      </c>
      <c r="H35" s="20"/>
    </row>
    <row r="36" spans="3:11">
      <c r="G36" s="24" cm="1">
        <f t="array" ref="G36">MAX(k-G35,0)</f>
        <v>23.199999999999989</v>
      </c>
    </row>
    <row r="38" spans="3:11">
      <c r="E38" s="13" t="s">
        <v>33</v>
      </c>
      <c r="K38">
        <v>3</v>
      </c>
    </row>
    <row r="39" spans="3:11">
      <c r="E39" s="4" cm="1">
        <f t="array" ref="E39">C33*D</f>
        <v>64</v>
      </c>
    </row>
    <row r="40" spans="3:11">
      <c r="E40" s="23" cm="1">
        <f t="array" ref="E40">EXP(-r_0*B12)*(G36*p+G44*q)</f>
        <v>33.530991202833256</v>
      </c>
    </row>
    <row r="41" spans="3:11">
      <c r="E41" s="18">
        <f>IF(K10&gt;E40,K10,E40)</f>
        <v>36</v>
      </c>
    </row>
    <row r="42" spans="3:11">
      <c r="G42" s="13" t="s">
        <v>49</v>
      </c>
    </row>
    <row r="43" spans="3:11">
      <c r="G43" s="4" cm="1">
        <f t="array" ref="G43">E39*D</f>
        <v>51.2</v>
      </c>
    </row>
    <row r="44" spans="3:11">
      <c r="G44" s="24" cm="1">
        <f t="array" ref="G44">MAX(k-G43,0)</f>
        <v>48.8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E4FE-DEC0-4F24-8FA2-9AF86AE4C5E5}">
  <dimension ref="A1:N43"/>
  <sheetViews>
    <sheetView tabSelected="1" workbookViewId="0">
      <selection activeCell="A14" sqref="A14:G43"/>
    </sheetView>
  </sheetViews>
  <sheetFormatPr defaultRowHeight="15"/>
  <cols>
    <col min="1" max="1" width="13.7109375" bestFit="1" customWidth="1"/>
    <col min="2" max="2" width="8.5703125" customWidth="1"/>
    <col min="3" max="3" width="25.7109375" bestFit="1" customWidth="1"/>
    <col min="5" max="5" width="13.28515625" bestFit="1" customWidth="1"/>
    <col min="8" max="8" width="17.42578125" customWidth="1"/>
    <col min="10" max="10" width="16.42578125" customWidth="1"/>
    <col min="13" max="13" width="12.5703125" customWidth="1"/>
  </cols>
  <sheetData>
    <row r="1" spans="1:14">
      <c r="A1" s="19" t="s">
        <v>0</v>
      </c>
      <c r="B1" s="19" t="s">
        <v>1</v>
      </c>
      <c r="D1" s="61" t="s">
        <v>37</v>
      </c>
      <c r="E1" s="61"/>
    </row>
    <row r="2" spans="1:14">
      <c r="A2" s="59" t="s">
        <v>50</v>
      </c>
      <c r="B2" s="60"/>
      <c r="D2" s="47" t="s">
        <v>9</v>
      </c>
      <c r="E2" s="62">
        <f>EXP(B8*SQRT(E6))</f>
        <v>1.0778841508846315</v>
      </c>
      <c r="J2" t="s">
        <v>2</v>
      </c>
    </row>
    <row r="3" spans="1:14">
      <c r="A3" s="55" t="s">
        <v>3</v>
      </c>
      <c r="B3" s="55">
        <v>1200</v>
      </c>
      <c r="D3" s="47" t="s">
        <v>11</v>
      </c>
      <c r="E3" s="62">
        <f>1/E2</f>
        <v>0.92774348632855286</v>
      </c>
      <c r="J3" t="s">
        <v>42</v>
      </c>
    </row>
    <row r="4" spans="1:14">
      <c r="A4" s="55" t="s">
        <v>6</v>
      </c>
      <c r="B4" s="55">
        <v>1150</v>
      </c>
      <c r="D4" s="47" t="s">
        <v>16</v>
      </c>
      <c r="E4" s="62" cm="1">
        <f t="array" ref="E4">(EXP((r_0*E6))-D)/(u-D)</f>
        <v>0.64986813855104697</v>
      </c>
      <c r="J4" t="s">
        <v>8</v>
      </c>
      <c r="K4" s="63" cm="1">
        <f t="array" ref="K4">k-E21</f>
        <v>-244.20109127393971</v>
      </c>
    </row>
    <row r="5" spans="1:14">
      <c r="A5" s="55" t="s">
        <v>14</v>
      </c>
      <c r="B5" s="55">
        <v>0.1</v>
      </c>
      <c r="D5" s="47" t="s">
        <v>18</v>
      </c>
      <c r="E5" s="62" cm="1">
        <f t="array" ref="E5">1-p</f>
        <v>0.35013186144895303</v>
      </c>
      <c r="K5" s="63"/>
    </row>
    <row r="6" spans="1:14" ht="18.75">
      <c r="A6" s="55" t="s">
        <v>21</v>
      </c>
      <c r="B6" s="55">
        <f>9/12</f>
        <v>0.75</v>
      </c>
      <c r="D6" s="52" t="s">
        <v>24</v>
      </c>
      <c r="E6" s="62">
        <f>B6/B7</f>
        <v>0.25</v>
      </c>
      <c r="J6" t="s">
        <v>44</v>
      </c>
      <c r="K6" s="63"/>
    </row>
    <row r="7" spans="1:14">
      <c r="A7" s="55" t="s">
        <v>23</v>
      </c>
      <c r="B7" s="55">
        <v>3</v>
      </c>
      <c r="J7" t="s">
        <v>8</v>
      </c>
      <c r="K7" s="64" cm="1">
        <f t="array" ref="K7">k-E30</f>
        <v>-49.999999999999773</v>
      </c>
    </row>
    <row r="8" spans="1:14" ht="16.5">
      <c r="A8" s="58" t="s">
        <v>40</v>
      </c>
      <c r="B8" s="55">
        <v>0.15</v>
      </c>
      <c r="K8" s="63"/>
    </row>
    <row r="9" spans="1:14">
      <c r="J9" t="s">
        <v>45</v>
      </c>
      <c r="K9" s="63"/>
    </row>
    <row r="10" spans="1:14">
      <c r="J10" t="s">
        <v>8</v>
      </c>
      <c r="K10" s="63" cm="1">
        <f t="array" ref="K10">k-E38</f>
        <v>117.15042828993069</v>
      </c>
    </row>
    <row r="12" spans="1:14">
      <c r="J12" t="s">
        <v>5</v>
      </c>
      <c r="M12" t="s">
        <v>13</v>
      </c>
    </row>
    <row r="13" spans="1:14">
      <c r="J13" t="s">
        <v>8</v>
      </c>
      <c r="K13" cm="1">
        <f t="array" ref="K13">k-C26</f>
        <v>-143.46098106155773</v>
      </c>
      <c r="M13" t="s">
        <v>8</v>
      </c>
      <c r="N13" cm="1">
        <f t="array" ref="N13">k-C32</f>
        <v>36.707816405736594</v>
      </c>
    </row>
    <row r="15" spans="1:14">
      <c r="G15" s="13" t="s">
        <v>46</v>
      </c>
    </row>
    <row r="16" spans="1:14">
      <c r="G16" s="21" cm="1">
        <f t="array" ref="G16">E21*u</f>
        <v>1502.7872594302371</v>
      </c>
    </row>
    <row r="17" spans="1:11">
      <c r="G17" s="24" cm="1">
        <f t="array" ref="G17">MAX(k-G16,0)</f>
        <v>0</v>
      </c>
    </row>
    <row r="18" spans="1:11">
      <c r="J18" t="s">
        <v>25</v>
      </c>
    </row>
    <row r="19" spans="1:11">
      <c r="J19" t="s">
        <v>27</v>
      </c>
    </row>
    <row r="20" spans="1:11">
      <c r="E20" s="13" t="s">
        <v>26</v>
      </c>
      <c r="J20" t="s">
        <v>28</v>
      </c>
      <c r="K20" s="8">
        <f>A31</f>
        <v>19.087626998491068</v>
      </c>
    </row>
    <row r="21" spans="1:11">
      <c r="E21" s="4">
        <f>C26*E2</f>
        <v>1394.2010912739397</v>
      </c>
    </row>
    <row r="22" spans="1:11">
      <c r="E22" s="24" cm="1">
        <f t="array" ref="E22">EXP(-r_0*E6)*(G17*p+G26*q)</f>
        <v>0</v>
      </c>
    </row>
    <row r="23" spans="1:11">
      <c r="E23" s="18">
        <f>IF(K4&gt;E22,K4,E22)</f>
        <v>0</v>
      </c>
    </row>
    <row r="24" spans="1:11">
      <c r="G24" s="13" t="s">
        <v>47</v>
      </c>
    </row>
    <row r="25" spans="1:11">
      <c r="C25" s="13" t="s">
        <v>29</v>
      </c>
      <c r="G25" s="4" cm="1">
        <f t="array" ref="G25">E21*D</f>
        <v>1293.4609810615577</v>
      </c>
    </row>
    <row r="26" spans="1:11">
      <c r="C26" s="4" cm="1">
        <f t="array" ref="C26">A29*u</f>
        <v>1293.4609810615577</v>
      </c>
      <c r="G26" s="24" cm="1">
        <f t="array" ref="G26">MAX(k-G25,0)</f>
        <v>0</v>
      </c>
    </row>
    <row r="27" spans="1:11">
      <c r="C27" s="23" cm="1">
        <f t="array" ref="C27">EXP(-r_0*E6)*(p*E23+q*E32)</f>
        <v>4.2806240993137461</v>
      </c>
    </row>
    <row r="28" spans="1:11">
      <c r="A28" s="13" t="s">
        <v>31</v>
      </c>
      <c r="C28" s="28">
        <f>IF(K13&gt;C27,K13,C27)</f>
        <v>4.2806240993137461</v>
      </c>
    </row>
    <row r="29" spans="1:11">
      <c r="A29" s="4" cm="1">
        <f t="array" ref="A29">S_0</f>
        <v>1200</v>
      </c>
      <c r="E29" s="13" t="s">
        <v>30</v>
      </c>
    </row>
    <row r="30" spans="1:11">
      <c r="A30" s="22" cm="1">
        <f t="array" ref="A30">EXP(-n*r_0*E6)*(G17*p^3+3*G26*p^2*q+3*G35*p*q^2+G43*q^3)</f>
        <v>15.776551992554335</v>
      </c>
      <c r="B30" s="25"/>
      <c r="E30" s="4">
        <f>C26*E3</f>
        <v>1199.9999999999998</v>
      </c>
    </row>
    <row r="31" spans="1:11">
      <c r="A31" s="17" cm="1">
        <f t="array" ref="A31">EXP(-r_0*E6)*(C28*p+C34*q)</f>
        <v>19.087626998491068</v>
      </c>
      <c r="C31" s="13" t="s">
        <v>32</v>
      </c>
      <c r="E31" s="23" cm="1">
        <f t="array" ref="E31">EXP(-r_0*E6)*(G26*p+G35*q)</f>
        <v>12.535244853595064</v>
      </c>
    </row>
    <row r="32" spans="1:11">
      <c r="C32" s="4" cm="1">
        <f t="array" ref="C32">A29*D</f>
        <v>1113.2921835942634</v>
      </c>
      <c r="E32" s="29">
        <f>IF(K7&gt;E31,K7,E31)</f>
        <v>12.535244853595064</v>
      </c>
    </row>
    <row r="33" spans="3:11">
      <c r="C33" s="23" cm="1">
        <f t="array" ref="C33">EXP(-r_0*E6)*(p*E32+q*E40)</f>
        <v>47.950481546430645</v>
      </c>
      <c r="G33" s="13" t="s">
        <v>48</v>
      </c>
    </row>
    <row r="34" spans="3:11">
      <c r="C34" s="28">
        <f>IF(N13&gt;C33,N13,C33)</f>
        <v>47.950481546430645</v>
      </c>
      <c r="G34" s="4" cm="1">
        <f t="array" ref="G34">E30*D</f>
        <v>1113.2921835942632</v>
      </c>
    </row>
    <row r="35" spans="3:11">
      <c r="G35" s="24" cm="1">
        <f t="array" ref="G35">MAX(k-G34,0)</f>
        <v>36.707816405736821</v>
      </c>
      <c r="H35" s="20"/>
    </row>
    <row r="37" spans="3:11">
      <c r="E37" s="13" t="s">
        <v>33</v>
      </c>
    </row>
    <row r="38" spans="3:11">
      <c r="E38" s="4" cm="1">
        <f t="array" ref="E38">C32*D</f>
        <v>1032.8495717100693</v>
      </c>
      <c r="K38">
        <v>3</v>
      </c>
    </row>
    <row r="39" spans="3:11">
      <c r="E39" s="23" cm="1">
        <f t="array" ref="E39">EXP(-r_0*E6)*(G35*p+G43*q)</f>
        <v>88.756827122513386</v>
      </c>
    </row>
    <row r="40" spans="3:11">
      <c r="E40" s="18">
        <f>IF(K10&gt;E39,K10,E39)</f>
        <v>117.15042828993069</v>
      </c>
    </row>
    <row r="41" spans="3:11">
      <c r="G41" s="13" t="s">
        <v>49</v>
      </c>
    </row>
    <row r="42" spans="3:11">
      <c r="G42" s="4" cm="1">
        <f t="array" ref="G42">E38*D</f>
        <v>958.21946251125235</v>
      </c>
    </row>
    <row r="43" spans="3:11">
      <c r="G43" s="24" cm="1">
        <f t="array" ref="G43">MAX(k-G42,0)</f>
        <v>191.78053748874765</v>
      </c>
    </row>
  </sheetData>
  <mergeCells count="2">
    <mergeCell ref="A2:B2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2023-10-18T19:08:33Z</dcterms:created>
  <dcterms:modified xsi:type="dcterms:W3CDTF">2023-11-08T08:01:53Z</dcterms:modified>
  <cp:category/>
  <cp:contentStatus/>
</cp:coreProperties>
</file>