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4.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bookViews>
    <workbookView firstSheet="2" activeTab="2"/>
  </bookViews>
  <sheets>
    <sheet name="Festivos Colombia" sheetId="1" r:id="rId1" state="hidden"/>
    <sheet name="DICIEMBRE" sheetId="2" r:id="rId2" state="hidden"/>
    <sheet name="ENERO" sheetId="3" r:id="rId3"/>
    <sheet name="FEBRERO" sheetId="4" r:id="rId4"/>
    <sheet name="MARZO" sheetId="5" r:id="rId5"/>
    <sheet name="ABRIL" sheetId="6" r:id="rId6"/>
    <sheet name="DISTRIBUCIÓN" sheetId="7" r:id="rId7"/>
    <sheet name="MONETIZACIONES PEND" sheetId="8" r:id="rId8"/>
    <sheet name="DISTRIBUCIÓN (2)" sheetId="9" r:id="rId9" state="hidden"/>
    <sheet name="Balanza DF" sheetId="10" r:id="rId10" state="hidden"/>
    <sheet name="Hoja2" sheetId="11" r:id="rId11" state="hidden"/>
    <sheet name="Análisis" sheetId="12" r:id="rId12" state="hidden"/>
    <sheet name="Hoja1" sheetId="13" r:id="rId13" state="hidden"/>
    <sheet name="Proyectado Moneti " sheetId="14" r:id="rId14" state="hidden"/>
  </sheets>
  <definedNames>
    <definedName name="_xlnm._FilterDatabase" localSheetId="5" hidden="1">'ABRIL'!C91:K202</definedName>
    <definedName name="_xlnm._FilterDatabase" localSheetId="1" hidden="1">'DICIEMBRE'!C114:K324</definedName>
    <definedName name="_xlnm._FilterDatabase" localSheetId="2" hidden="1">'ENERO'!C115:K312</definedName>
    <definedName name="_xlnm._FilterDatabase" localSheetId="3" hidden="1">'FEBRERO'!C124:K327</definedName>
    <definedName name="_xlnm._FilterDatabase" localSheetId="4" hidden="1">'MARZO'!C100:K291</definedName>
    <definedName name="_xlnm._FilterDatabase" localSheetId="7" hidden="1">'MONETIZACIONES PEND'!B31:XFC506</definedName>
    <definedName name="_xlnm._FilterDatabase" localSheetId="13" hidden="1">'Proyectado Moneti '!#REF!</definedName>
    <definedName name="_Key1" localSheetId="5" hidden="1">#REF!</definedName>
    <definedName name="_Key1" localSheetId="1" hidden="1">#REF!</definedName>
    <definedName name="_Key1" localSheetId="2" hidden="1">#REF!</definedName>
    <definedName name="_Key1" localSheetId="3" hidden="1">#REF!</definedName>
    <definedName name="_Key1" localSheetId="4" hidden="1">#REF!</definedName>
    <definedName name="_Key1" hidden="1">#REF!</definedName>
    <definedName name="_Order1" hidden="1">255</definedName>
    <definedName name="_Sort" localSheetId="5" hidden="1">#REF!</definedName>
    <definedName name="_Sort" localSheetId="1" hidden="1">#REF!</definedName>
    <definedName name="_Sort" localSheetId="2" hidden="1">#REF!</definedName>
    <definedName name="_Sort" localSheetId="3" hidden="1">#REF!</definedName>
    <definedName name="_Sort" localSheetId="4" hidden="1">#REF!</definedName>
    <definedName name="_Sort" hidden="1">#REF!</definedName>
    <definedName name="_xlnm.Print_Area" localSheetId="7">'MONETIZACIONES PEND'!$A$1:$M$23</definedName>
    <definedName name="_xlnm.Print_Area" localSheetId="13">'Proyectado Moneti '!#REF!</definedName>
    <definedName name="B" localSheetId="5" hidden="1">#REF!</definedName>
    <definedName name="B" localSheetId="1" hidden="1">#REF!</definedName>
    <definedName name="B" localSheetId="2" hidden="1">#REF!</definedName>
    <definedName name="B" localSheetId="3" hidden="1">#REF!</definedName>
    <definedName name="B" localSheetId="4" hidden="1">#REF!</definedName>
    <definedName name="B" hidden="1">#REF!</definedName>
    <definedName name="Fact" localSheetId="6">DISTRIBUCIÓN!#REF!</definedName>
    <definedName name="Fact" localSheetId="8">'DISTRIBUCIÓN (2)'!#REF!</definedName>
    <definedName name="Fact">#REF!</definedName>
    <definedName name="I" localSheetId="5" hidden="1">#REF!</definedName>
    <definedName name="I" localSheetId="1" hidden="1">#REF!</definedName>
    <definedName name="I" localSheetId="2" hidden="1">#REF!</definedName>
    <definedName name="I" localSheetId="3" hidden="1">#REF!</definedName>
    <definedName name="I" localSheetId="4" hidden="1">#REF!</definedName>
    <definedName name="I" hidden="1">#REF!</definedName>
    <definedName name="Marca">#REF!</definedName>
    <definedName name="Marca1">#REF!</definedName>
    <definedName name="Marcas">#REF!</definedName>
    <definedName name="Valor">#REF!</definedName>
    <definedName name="Value">#REF!</definedName>
    <definedName name="values">#REF!</definedName>
  </definedNames>
</workbook>
</file>

<file path=xl/comments2.xml><?xml version="1.0" encoding="utf-8"?>
<comments xmlns="http://schemas.openxmlformats.org/spreadsheetml/2006/main">
  <authors>
    <author>Alfonso Fonseca</author>
    <author>Julieth Bonilla</author>
  </authors>
  <commentList>
    <comment ref="D65" authorId="0">
      <text>
        <t xml:space="preserve">Tiene nota credito Nro 176 por valor de USD 16,62 
</t>
      </text>
    </comment>
    <comment ref="D67" authorId="0">
      <text>
        <t xml:space="preserve">Tiene nota credito Nro 176 por valor de USD 16,62 
</t>
      </text>
    </comment>
    <comment ref="E104" authorId="0">
      <text>
        <t xml:space="preserve">Alfonso Fonseca:
Se recibe mayor ingreso de lo facturado por valor de USD 501,11 debido a que se le genero una nota credito al cliente pero no la tuvo en cuenta en el pago. Por lo que este valor se tomará como anticipo</t>
      </text>
    </comment>
    <comment ref="E105" authorId="0">
      <text>
        <t xml:space="preserve">Alfonso Fonseca:
Se recibe mayor ingreso de lo facturado por valor de USD 501,11 debido a que se le genero una nota credito al cliente pero no la tuvo en cuenta en el pago. Por lo que este valor se tomará como anticipo</t>
      </text>
    </comment>
    <comment ref="E243" authorId="1">
      <text>
        <t xml:space="preserve">Julieth Bonilla:
Se descuentan 102,500 por pago duplicado de la factura 6735</t>
      </text>
    </comment>
    <comment ref="E268" authorId="0">
      <text>
        <t>Alfonso Fonseca: Incluido impuestos</t>
      </text>
    </comment>
    <comment ref="E286" authorId="0">
      <text>
        <t>Alfonso Fonseca: Incluido impuestos</t>
      </text>
    </comment>
    <comment ref="D323" authorId="0">
      <text>
        <t xml:space="preserve">Syohuo Marume $ 48.512.000 feb/23 ,
valentina Penagos $ 41.000.000 mes sep/23
</t>
      </text>
    </comment>
    <comment ref="D362" authorId="0">
      <text>
        <t xml:space="preserve">Incluido Global y PM
</t>
      </text>
    </comment>
    <comment ref="D363" authorId="0">
      <text>
        <t xml:space="preserve">Incluido Global y PM
</t>
      </text>
    </comment>
  </commentList>
</comments>
</file>

<file path=xl/comments3.xml><?xml version="1.0" encoding="utf-8"?>
<comments xmlns="http://schemas.openxmlformats.org/spreadsheetml/2006/main">
  <authors>
    <author>Alfonso Fonseca</author>
  </authors>
  <commentList>
    <comment ref="E275" authorId="0">
      <text>
        <t>Alfonso Fonseca: Incluido impuestos</t>
      </text>
    </comment>
    <comment ref="E276" authorId="0">
      <text>
        <t>Alfonso Fonseca: Incluido impuestos</t>
      </text>
    </comment>
    <comment ref="E347" authorId="0">
      <text>
        <t xml:space="preserve">Cuenta cerrada por el banco el 13 enero
</t>
      </text>
    </comment>
    <comment ref="D350" authorId="0">
      <text>
        <t xml:space="preserve">Incluido Global y PM
</t>
      </text>
    </comment>
    <comment ref="D351" authorId="0">
      <text>
        <t xml:space="preserve">Incluido Global y PM
</t>
      </text>
    </comment>
  </commentList>
</comments>
</file>

<file path=xl/comments4.xml><?xml version="1.0" encoding="utf-8"?>
<comments xmlns="http://schemas.openxmlformats.org/spreadsheetml/2006/main">
  <authors>
    <author>Alfonso Fonseca</author>
  </authors>
  <commentList>
    <comment ref="E273" authorId="0">
      <text>
        <t>Alfonso Fonseca: Incluido impuestos</t>
      </text>
    </comment>
    <comment ref="E274" authorId="0">
      <text>
        <t>Alfonso Fonseca: Incluido impuestos</t>
      </text>
    </comment>
    <comment ref="E297" authorId="0">
      <text>
        <t>Alfonso Fonseca: Incluido impuestos</t>
      </text>
    </comment>
    <comment ref="E363" authorId="0">
      <text>
        <t xml:space="preserve">Cuenta cerrada por el banco el 13 enero
</t>
      </text>
    </comment>
    <comment ref="D366" authorId="0">
      <text>
        <t xml:space="preserve">Incluido Global y PM
</t>
      </text>
    </comment>
    <comment ref="D367" authorId="0">
      <text>
        <t xml:space="preserve">Incluido Global y PM
</t>
      </text>
    </comment>
  </commentList>
</comments>
</file>

<file path=xl/comments5.xml><?xml version="1.0" encoding="utf-8"?>
<comments xmlns="http://schemas.openxmlformats.org/spreadsheetml/2006/main">
  <authors>
    <author>Alfonso Fonseca</author>
  </authors>
  <commentList>
    <comment ref="E272" authorId="0">
      <text>
        <t>Alfonso Fonseca: Incluido impuestos</t>
      </text>
    </comment>
    <comment ref="E327" authorId="0">
      <text>
        <t xml:space="preserve">Cuenta cerrada por el banco el 13 enero
</t>
      </text>
    </comment>
    <comment ref="D330" authorId="0">
      <text>
        <t xml:space="preserve">Incluido Global y PM
</t>
      </text>
    </comment>
    <comment ref="D331" authorId="0">
      <text>
        <t xml:space="preserve">Incluido Global y PM
</t>
      </text>
    </comment>
  </commentList>
</comments>
</file>

<file path=xl/comments6.xml><?xml version="1.0" encoding="utf-8"?>
<comments xmlns="http://schemas.openxmlformats.org/spreadsheetml/2006/main">
  <authors>
    <author>Alfonso Fonseca</author>
  </authors>
  <commentList>
    <comment ref="E187" authorId="0">
      <text>
        <t>Alfonso Fonseca: Incluido impuestos</t>
      </text>
    </comment>
    <comment ref="E238" authorId="0">
      <text>
        <t xml:space="preserve">Cuenta cerrada por el banco el 13 enero
</t>
      </text>
    </comment>
    <comment ref="D241" authorId="0">
      <text>
        <t xml:space="preserve">Incluido Global y PM
</t>
      </text>
    </comment>
    <comment ref="D242" authorId="0">
      <text>
        <t xml:space="preserve">Incluido Global y PM
</t>
      </text>
    </comment>
  </commentList>
</comments>
</file>

<file path=xl/comments7.xml><?xml version="1.0" encoding="utf-8"?>
<comments xmlns="http://schemas.openxmlformats.org/spreadsheetml/2006/main">
  <authors>
    <author>Alfonso Fonseca</author>
  </authors>
  <commentList>
    <comment ref="I97" authorId="0">
      <text>
        <t xml:space="preserve">Alfonso Fonseca:
Incluido impuestos</t>
      </text>
    </comment>
    <comment ref="F100" authorId="0">
      <text>
        <t xml:space="preserve">Alfonso Fonseca:
Incluido impuestos</t>
      </text>
    </comment>
  </commentList>
</comments>
</file>

<file path=xl/comments8.xml><?xml version="1.0" encoding="utf-8"?>
<comments xmlns="http://schemas.openxmlformats.org/spreadsheetml/2006/main">
  <authors>
    <author>Alfonso Fonseca</author>
  </authors>
  <commentList>
    <comment ref="C64" authorId="0">
      <text>
        <t xml:space="preserve">Tener en cuenta que el cliente envio USD 236,12 de los que se le facturo. Se toma este mayor valor como anticipo para ser cruzado con las futuras facturas.
</t>
      </text>
    </comment>
    <comment ref="K102" authorId="0">
      <text>
        <t xml:space="preserve">Nota crédito Nro 150 por valor de USD 827,72. el día 31/03/2025.
</t>
      </text>
    </comment>
    <comment ref="C148" authorId="0">
      <text>
        <t xml:space="preserve">Favor tener en cuenta que al pago de este dinero le aplicaron la NC 149 por valor de USD 1.357,06.
Las notas créditos emitidas para la factura 6015 que fue la Nro. 160 y 162 por valor de USD 1.801,05 no las aplicó el cliente. 
</t>
      </text>
    </comment>
    <comment ref="K167" authorId="0">
      <text>
        <t xml:space="preserve">Tiene NC 167 Se aplica nota crédito a la factura 6114 por ajuste en TRM por modificación en política de manejo
</t>
      </text>
    </comment>
    <comment ref="K174" authorId="0">
      <text>
        <t xml:space="preserve">El cliente aplica al pago la NC 162 por valor de USD 1.658,25
</t>
      </text>
    </comment>
    <comment ref="K175" authorId="0">
      <text>
        <t xml:space="preserve">El cliente aplica al pago la NC 161 por valor de USD 292.46
</t>
      </text>
    </comment>
    <comment ref="K201" authorId="0">
      <text>
        <t xml:space="preserve">Alfonso Fonseca:
1) Nota crédito 170 por devolución de dinero que no se le pago a Max Turner USD 19.391,52
2) Nota crédito 169 etiro de empleado  USD 502,91</t>
      </text>
    </comment>
    <comment ref="L201" authorId="0">
      <text>
        <t xml:space="preserve">Alfonso Fonseca:
1) Nota crédito 170 por devolución de dinero que no se le pago a Max Turner USD 19.391,52
2) Nota crédito 169 etiro de empleado  USD 502,91</t>
      </text>
    </comment>
    <comment ref="C340" authorId="0">
      <text>
        <t>Perú</t>
      </text>
    </comment>
  </commentList>
</comments>
</file>

<file path=xl/comments9.xml><?xml version="1.0" encoding="utf-8"?>
<comments xmlns="http://schemas.openxmlformats.org/spreadsheetml/2006/main">
  <authors>
    <author>Alfonso Fonseca</author>
  </authors>
  <commentList>
    <comment ref="M126" authorId="0">
      <text>
        <t xml:space="preserve">Alfonso Fonseca:
Incluido impuestos</t>
      </text>
    </comment>
    <comment ref="F128" authorId="0">
      <text>
        <t xml:space="preserve">Alfonso Fonseca:
Incluido impuestos</t>
      </text>
    </comment>
    <comment ref="I129" authorId="0">
      <text>
        <t xml:space="preserve">Alfonso Fonseca:
Incluido impuestos</t>
      </text>
    </comment>
  </commentList>
</comments>
</file>

<file path=xl/comments14.xml><?xml version="1.0" encoding="utf-8"?>
<comments xmlns="http://schemas.openxmlformats.org/spreadsheetml/2006/main">
  <authors>
    <author>Alfonso Fonseca</author>
  </authors>
  <commentList>
    <comment ref="K23" authorId="0">
      <text>
        <t xml:space="preserve">Banking Taxes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2">
    <numFmt numFmtId="43" formatCode="_-* #,##0.00_-;\-* #,##0.00_-;_-* &quot;-&quot;??_-;_-@_-"/>
    <numFmt numFmtId="44" formatCode="_-&quot;$&quot;\ * #,##0.00_-;\-&quot;$&quot;\ * #,##0.00_-;_-&quot;$&quot;\ * &quot;-&quot;??_-;_-@_-"/>
    <numFmt numFmtId="56" formatCode="&quot;上午/下午 &quot;hh&quot;時&quot;mm&quot;分&quot;ss&quot;秒 &quot;"/>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
    <numFmt numFmtId="169" formatCode=";\:;;"/>
    <numFmt numFmtId="170" formatCode="[$$-240A]\ #,##0"/>
    <numFmt numFmtId="171" formatCode="0.0%"/>
    <numFmt numFmtId="172" formatCode="[$USD]\ #,##0.00"/>
    <numFmt numFmtId="173" formatCode="_(&quot;$&quot;* #,##0_);_(&quot;$&quot;* \(#,##0\);_(&quot;$&quot;* &quot;-&quot;??_);_(@_)"/>
    <numFmt numFmtId="174" formatCode="_(&quot;$&quot;* #,##0.00_);_(&quot;$&quot;* \(#,##0.00\);_(&quot;$&quot;* &quot;-&quot;_);_(@_)"/>
    <numFmt numFmtId="175" formatCode="[$-F800]dddd\,\ mmmm\ dd\,\ yyyy"/>
    <numFmt numFmtId="176" formatCode="[$USD]\ #,##0.00000"/>
    <numFmt numFmtId="177" formatCode="[$S/-280A]\ #,##0.00"/>
    <numFmt numFmtId="178" formatCode="_-&quot;$&quot;\ * #,##0_-;\-&quot;$&quot;\ * #,##0_-;_-&quot;$&quot;\ * &quot;-&quot;??_-;_-@_-"/>
    <numFmt numFmtId="179" formatCode="_-* #,##0_-;\-* #,##0_-;_-* &quot;-&quot;??_-;_-@"/>
    <numFmt numFmtId="180" formatCode="[$EUR]\ #,##0.00"/>
    <numFmt numFmtId="181" formatCode="0.0000%"/>
    <numFmt numFmtId="182" formatCode="_-&quot;$&quot;\ * #,##0_-;\-&quot;$&quot;\ * #,##0_-;_-&quot;$&quot;\ * &quot;-&quot;????_-;_-@_-"/>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6">
    <xf numFmtId="0" fontId="0" fillId="0" borderId="0" xfId="0" applyNumberFormat="1"/>
    <xf numFmtId="14" fontId="0" fillId="0" borderId="0" xfId="0" applyNumberFormat="1"/>
    <xf numFmtId="164" fontId="0" fillId="0" borderId="0" xfId="0" applyNumberFormat="1"/>
    <xf numFmtId="178" fontId="0" fillId="0" borderId="0" xfId="0" applyNumberFormat="1"/>
    <xf numFmtId="49" fontId="0" fillId="0" borderId="0" xfId="0" applyNumberFormat="1"/>
    <xf numFmtId="172" fontId="0" fillId="0" borderId="0" xfId="0" applyNumberFormat="1"/>
    <xf numFmtId="168" fontId="0" fillId="0" borderId="0" xfId="0" applyNumberFormat="1"/>
    <xf numFmtId="169" fontId="0" fillId="0" borderId="0" xfId="0" applyNumberFormat="1"/>
    <xf numFmtId="10" fontId="0" fillId="0" borderId="0" xfId="0" applyNumberFormat="1"/>
    <xf numFmtId="175" fontId="0" fillId="0" borderId="0" xfId="0" applyNumberFormat="1"/>
    <xf numFmtId="4" fontId="0" fillId="0" borderId="0" xfId="0" applyNumberFormat="1"/>
    <xf numFmtId="177" fontId="0" fillId="0" borderId="0" xfId="0" applyNumberFormat="1"/>
    <xf numFmtId="170" fontId="0" fillId="0" borderId="0" xfId="0" applyNumberFormat="1"/>
    <xf numFmtId="182" fontId="0" fillId="0" borderId="0" xfId="0" applyNumberFormat="1"/>
    <xf numFmtId="9" fontId="0" fillId="0" borderId="0" xfId="0" applyNumberFormat="1"/>
    <xf numFmtId="181" fontId="0" fillId="0" borderId="0" xfId="0" applyNumberFormat="1"/>
    <xf numFmtId="174" fontId="0" fillId="0" borderId="0" xfId="0" applyNumberFormat="1"/>
    <xf numFmtId="3" fontId="0" fillId="0" borderId="0" xfId="0" applyNumberFormat="1"/>
    <xf numFmtId="173" fontId="0" fillId="0" borderId="0" xfId="0" applyNumberFormat="1"/>
    <xf numFmtId="2" fontId="0" fillId="0" borderId="0" xfId="0" applyNumberFormat="1"/>
    <xf numFmtId="171" fontId="0" fillId="0" borderId="0" xfId="0" applyNumberFormat="1"/>
    <xf numFmtId="44" fontId="0" fillId="0" borderId="0" xfId="0" applyNumberFormat="1"/>
    <xf numFmtId="43" fontId="0" fillId="0" borderId="0" xfId="0" applyNumberFormat="1"/>
    <xf numFmtId="166" fontId="0" fillId="0" borderId="0" xfId="0" applyNumberFormat="1"/>
    <xf numFmtId="180" fontId="0" fillId="0" borderId="0" xfId="0" applyNumberFormat="1"/>
    <xf numFmtId="17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sheet1.xml><?xml version="1.0" encoding="utf-8"?>
<worksheet xmlns="http://schemas.openxmlformats.org/spreadsheetml/2006/main" xmlns:r="http://schemas.openxmlformats.org/officeDocument/2006/relationships">
  <dimension ref="A2:D35"/>
  <sheetViews>
    <sheetView workbookViewId="0" rightToLeft="0"/>
  </sheetViews>
  <cols>
    <col min="1" max="1" customWidth="1" width="11.42578125"/>
    <col min="2" max="2" customWidth="1" width="11.42578125"/>
    <col min="3" max="3" customWidth="1" width="11.42578125"/>
    <col min="4" max="4" customWidth="1" width="11.42578125"/>
    <col min="5" max="5" customWidth="1" width="11.42578125"/>
    <col min="6" max="6" customWidth="1" width="11.42578125"/>
    <col min="7" max="7" customWidth="1" width="11.42578125"/>
    <col min="8" max="8" customWidth="1" width="11.42578125"/>
    <col min="9" max="9" customWidth="1" width="11.42578125"/>
    <col min="10" max="10" customWidth="1" width="11.42578125"/>
    <col min="11" max="11" customWidth="1" width="11.42578125"/>
    <col min="12" max="12" customWidth="1" width="11.42578125"/>
    <col min="13" max="13" customWidth="1" width="11.42578125"/>
    <col min="14" max="14" customWidth="1" width="11.42578125"/>
    <col min="15" max="15" customWidth="1" width="11.42578125"/>
    <col min="16" max="16" customWidth="1" width="11.42578125"/>
    <col min="17" max="17" customWidth="1" width="11.42578125"/>
    <col min="18" max="18" customWidth="1" width="11.42578125"/>
    <col min="19" max="19" customWidth="1" width="11.42578125"/>
    <col min="20" max="20" customWidth="1" width="11.42578125"/>
    <col min="21" max="21" customWidth="1" width="11.42578125"/>
    <col min="22" max="22" customWidth="1" width="11.42578125"/>
    <col min="23" max="23" customWidth="1" width="11.42578125"/>
    <col min="24" max="24" customWidth="1" width="11.42578125"/>
    <col min="25" max="25" customWidth="1" width="11.42578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2">
      <c r="A2" t="str">
        <v>FESTIVOS COLOMBIA</v>
      </c>
    </row>
    <row r="3">
      <c r="A3" s="1">
        <v>46023</v>
      </c>
    </row>
    <row r="4">
      <c r="A4" s="1">
        <v>46034</v>
      </c>
    </row>
    <row r="5">
      <c r="A5" s="1">
        <v>46104</v>
      </c>
    </row>
    <row r="6">
      <c r="A6" s="1">
        <v>46110</v>
      </c>
    </row>
    <row r="7">
      <c r="A7" s="1">
        <v>46114</v>
      </c>
    </row>
    <row r="8">
      <c r="A8" s="1">
        <v>46115</v>
      </c>
    </row>
    <row r="9">
      <c r="A9" s="1">
        <v>46117</v>
      </c>
    </row>
    <row r="10">
      <c r="A10" s="1">
        <v>46143</v>
      </c>
    </row>
    <row r="11">
      <c r="A11" s="1">
        <v>46160</v>
      </c>
    </row>
    <row r="12">
      <c r="A12" s="1">
        <v>46181</v>
      </c>
    </row>
    <row r="13">
      <c r="A13" s="1">
        <v>46188</v>
      </c>
    </row>
    <row r="14">
      <c r="A14" s="1">
        <v>46202</v>
      </c>
    </row>
    <row r="15">
      <c r="A15" s="1">
        <v>46223</v>
      </c>
    </row>
    <row r="16">
      <c r="A16" s="1">
        <v>46241</v>
      </c>
    </row>
    <row r="17">
      <c r="A17" s="1">
        <v>46251</v>
      </c>
    </row>
    <row r="18">
      <c r="A18" s="1">
        <v>46307</v>
      </c>
    </row>
    <row r="19">
      <c r="A19" s="1">
        <v>46328</v>
      </c>
    </row>
    <row r="20">
      <c r="A20" s="1">
        <v>46342</v>
      </c>
    </row>
    <row r="21">
      <c r="A21" s="1">
        <v>46364</v>
      </c>
    </row>
    <row r="22">
      <c r="A22" s="1">
        <v>46381</v>
      </c>
    </row>
    <row r="23"/>
    <row r="24"/>
    <row r="25"/>
    <row r="26"/>
    <row r="27"/>
    <row r="28"/>
    <row r="29"/>
    <row r="30"/>
    <row r="31"/>
    <row r="32"/>
    <row r="33"/>
    <row r="34"/>
    <row r="35"/>
  </sheetData>
  <pageMargins left="0.7" right="0.7" top="0.75" bottom="0.75" header="0.3" footer="0.3"/>
  <ignoredErrors>
    <ignoredError numberStoredAsText="1" sqref="A2:D35"/>
  </ignoredErrors>
</worksheet>
</file>

<file path=xl/worksheets/sheet2.xml><?xml version="1.0" encoding="utf-8"?>
<worksheet xmlns="http://schemas.openxmlformats.org/spreadsheetml/2006/main" xmlns:r="http://schemas.openxmlformats.org/officeDocument/2006/relationships">
  <dimension ref="A1:X372"/>
  <sheetViews>
    <sheetView workbookViewId="0" rightToLeft="0"/>
  </sheetViews>
  <cols>
    <col min="1" max="1" customWidth="1" width="10.140625" hidden="true"/>
    <col min="2" max="2" customWidth="1" width="6.5703125" hidden="true"/>
    <col min="3" max="3" customWidth="1" width="16.42578125"/>
    <col min="4" max="4" customWidth="1" width="81.42578125"/>
    <col min="5" max="5" customWidth="1" width="24.42578125"/>
    <col min="6" max="6" customWidth="1" width="24.7109375"/>
    <col min="7" max="7" customWidth="1" width="16.85546875"/>
    <col min="8" max="8" customWidth="1" width="3" hidden="true"/>
    <col min="9" max="9" customWidth="1" width="6.7109375" hidden="true"/>
    <col min="10" max="10" customWidth="1" width="16.5703125"/>
    <col min="11" max="11" customWidth="1" width="19.5703125"/>
    <col min="12" max="12" customWidth="1" width="21.5703125"/>
    <col min="13" max="13" customWidth="1" width="15.7109375"/>
    <col min="14" max="14" customWidth="1" width="13.85546875"/>
    <col min="15" max="15" customWidth="1" width="15.85546875"/>
    <col min="16" max="16" customWidth="1" width="15.85546875"/>
    <col min="17" max="17" customWidth="1" width="15.85546875"/>
    <col min="18" max="18" customWidth="1" width="14.5703125"/>
    <col min="19" max="19" customWidth="1" width="13.140625"/>
    <col min="20" max="20" customWidth="1" width="26.140625"/>
    <col min="21" max="21" customWidth="1" width="19.28515625"/>
    <col min="22" max="22" customWidth="1" width="15.28515625"/>
    <col min="23" max="23" customWidth="1" width="14"/>
    <col min="24" max="24" customWidth="1" width="13"/>
    <col min="25" max="25" customWidth="1" width="11.42578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idden="1" ht="15" customHeight="1">
      <c r="E1" s="2">
        <v>42400</v>
      </c>
    </row>
    <row r="2">
      <c r="I2">
        <v>1</v>
      </c>
    </row>
    <row r="3">
      <c r="I3">
        <v>2</v>
      </c>
    </row>
    <row r="4" ht="15.75" customHeight="1">
      <c r="D4" t="str">
        <v>BANCOS</v>
      </c>
      <c r="E4" s="2">
        <f>SUBTOTAL(9,E5:E11)</f>
        <v>1339387045.6</v>
      </c>
      <c r="I4">
        <v>3</v>
      </c>
    </row>
    <row r="5" outlineLevel="1">
      <c r="D5" t="str">
        <v>Bancos</v>
      </c>
      <c r="E5" s="2">
        <v>1139744261.6</v>
      </c>
      <c r="I5">
        <v>4</v>
      </c>
    </row>
    <row r="6" outlineLevel="1">
      <c r="D6" t="str">
        <v>Devolucion tiquete Cristian Ferney Parada Cabrera</v>
      </c>
      <c r="E6" s="2">
        <v>139474</v>
      </c>
    </row>
    <row r="7" outlineLevel="1">
      <c r="D7" t="str">
        <v>Ingreso Bancolombia Panamá Pago primas</v>
      </c>
      <c r="E7" s="2">
        <v>183919680</v>
      </c>
    </row>
    <row r="8" outlineLevel="1">
      <c r="D8" t="str">
        <v>Ingreso Banco Finandina</v>
      </c>
      <c r="E8" s="2">
        <v>5000000</v>
      </c>
    </row>
    <row r="9" outlineLevel="1">
      <c r="D9" t="str">
        <v>Pago intereses PM</v>
      </c>
      <c r="E9" s="2">
        <v>4808596</v>
      </c>
    </row>
    <row r="10" outlineLevel="1">
      <c r="D10" t="str">
        <v>devolucion saldo caja menor</v>
      </c>
      <c r="E10" s="2">
        <v>215700</v>
      </c>
    </row>
    <row r="11" outlineLevel="1">
      <c r="D11" t="str">
        <v>Suramericana Incapacidad</v>
      </c>
      <c r="E11" s="2">
        <v>5559334</v>
      </c>
    </row>
    <row r="12" ht="15.75" customHeight="1">
      <c r="D12" t="str">
        <v>CLIENTES</v>
      </c>
      <c r="E12" s="2">
        <f>SUBTOTAL(9,E13:E58)</f>
        <v>342202086.40769994</v>
      </c>
    </row>
    <row r="13" ht="14.25" customHeight="1" outlineLevel="1">
      <c r="C13" s="2" t="str">
        <v>Pagado</v>
      </c>
      <c r="D13" t="str">
        <v>ACT&amp;J Consultores Factura 6472-6337-6423 y saldo Factura 6182 $ 77,525</v>
      </c>
      <c r="E13" s="3">
        <v>4524531.51</v>
      </c>
      <c r="F13" s="4" t="str">
        <v>***</v>
      </c>
    </row>
    <row r="14" ht="14.25" customHeight="1" outlineLevel="1">
      <c r="C14" s="2" t="str">
        <v>Pagado</v>
      </c>
      <c r="D14" t="str">
        <v>ACT&amp;J Consultores Factura 6502-Noviembre Pretalires</v>
      </c>
      <c r="E14" s="3">
        <v>1549380</v>
      </c>
      <c r="F14" s="4" t="str">
        <v>***</v>
      </c>
    </row>
    <row r="15" ht="14.25" customHeight="1" outlineLevel="1">
      <c r="C15" s="2" t="str">
        <v>Pagado</v>
      </c>
      <c r="D15" t="str">
        <v xml:space="preserve">AECID Factura # 6533-Octubre y noviembre </v>
      </c>
      <c r="E15" s="2">
        <v>51544068.98</v>
      </c>
    </row>
    <row r="16" ht="14.25" customHeight="1" outlineLevel="1">
      <c r="C16" s="2" t="str">
        <v>Pagado</v>
      </c>
      <c r="D16" t="str">
        <v>AECID Factura #5-132-Octubre y noviembre</v>
      </c>
      <c r="E16" s="2">
        <v>5260000</v>
      </c>
    </row>
    <row r="17" ht="14.25" customHeight="1" outlineLevel="1">
      <c r="C17" s="2" t="str">
        <v>Pagado</v>
      </c>
      <c r="D17" t="str">
        <v>AECID Factura # 6574</v>
      </c>
      <c r="E17" s="2">
        <v>34362712.65</v>
      </c>
    </row>
    <row r="18" outlineLevel="1">
      <c r="C18" s="2" t="str">
        <v>Pagado</v>
      </c>
      <c r="D18" t="str">
        <v>Clarke Modet factura # 6459</v>
      </c>
      <c r="E18" s="2">
        <v>2455029.18</v>
      </c>
      <c r="F18" s="4" t="str">
        <v>***</v>
      </c>
    </row>
    <row r="19" outlineLevel="1">
      <c r="C19" s="2" t="str">
        <v>Pagado</v>
      </c>
      <c r="D19" t="str">
        <v>Compassion international factura # 6542</v>
      </c>
      <c r="E19" s="2">
        <v>6563937.34</v>
      </c>
    </row>
    <row r="20" outlineLevel="1">
      <c r="C20" s="2" t="str">
        <v>Pagado</v>
      </c>
      <c r="D20" t="str">
        <v>Consorcio HL-AB Factura #  6107-6205</v>
      </c>
      <c r="E20" s="2">
        <v>9784261</v>
      </c>
    </row>
    <row r="21" outlineLevel="1">
      <c r="C21" s="2" t="str">
        <v>Pagado</v>
      </c>
      <c r="D21" t="str">
        <v>Consorcio HL-AB Factura #  6107-6205</v>
      </c>
      <c r="E21" s="2">
        <v>1880863</v>
      </c>
      <c r="J21" s="2">
        <f>E20+E21+E23+E40+E41+E42+E43</f>
        <v>87943892</v>
      </c>
    </row>
    <row r="22" outlineLevel="1">
      <c r="C22" s="2" t="str">
        <v>Sin Pagar</v>
      </c>
      <c r="D22" t="str">
        <v>Consorcio HL-A&amp;D Factura 6478</v>
      </c>
      <c r="E22" s="2">
        <f>1341880.13*0</f>
        <v>0</v>
      </c>
    </row>
    <row r="23" outlineLevel="1">
      <c r="C23" s="2" t="str">
        <v>Pagado</v>
      </c>
      <c r="D23" t="str">
        <v>Consorcio HL Gisaico Factura 6432</v>
      </c>
      <c r="E23" s="2">
        <f>605371</f>
        <v>605371</v>
      </c>
    </row>
    <row r="24" outlineLevel="1">
      <c r="C24" s="2" t="str">
        <v>Pagado</v>
      </c>
      <c r="D24" t="str">
        <v>Consorcio SK-HL facturas 6422</v>
      </c>
      <c r="E24" s="2">
        <f>229392</f>
        <v>229392</v>
      </c>
      <c r="F24" s="5" t="str">
        <v>***</v>
      </c>
    </row>
    <row r="25" outlineLevel="1">
      <c r="C25" s="2" t="str">
        <v>Pagado</v>
      </c>
      <c r="D25" t="str">
        <v>Consorcio SK-HL facturas 6501</v>
      </c>
      <c r="E25" s="2">
        <f>229392</f>
        <v>229392</v>
      </c>
    </row>
    <row r="26" outlineLevel="1">
      <c r="C26" s="2" t="str">
        <v>Sin Pagar</v>
      </c>
      <c r="D26" t="str">
        <v>Corporación punto azul factura # 6424</v>
      </c>
      <c r="E26" s="2">
        <f>1692717.2*0</f>
        <v>0</v>
      </c>
      <c r="F26" s="4" t="str">
        <v>***</v>
      </c>
    </row>
    <row r="27" outlineLevel="1">
      <c r="C27" s="2" t="str">
        <v>Sin Pagar</v>
      </c>
      <c r="D27" t="str">
        <v>Dinterweb factura # 5646-5725-5805-5892-5974-6061</v>
      </c>
      <c r="E27" s="2">
        <f>7528323*0</f>
        <v>0</v>
      </c>
    </row>
    <row r="28" outlineLevel="1">
      <c r="C28" s="2" t="str">
        <v>Sin Pagar</v>
      </c>
      <c r="D28" t="str">
        <v>Distritech facturas # 6235 Llega por Panamá</v>
      </c>
      <c r="E28" s="2">
        <f>5391183.76*0</f>
        <v>0</v>
      </c>
    </row>
    <row r="29" outlineLevel="1">
      <c r="C29" s="2" t="str">
        <v>Sin Pagar</v>
      </c>
      <c r="D29" t="str">
        <v>Dream Tyme resort Factura # 1-27</v>
      </c>
      <c r="E29" s="2">
        <f>9781142.24*0</f>
        <v>0</v>
      </c>
    </row>
    <row r="30" outlineLevel="1">
      <c r="C30" s="2" t="str">
        <v>Sin Pagar</v>
      </c>
      <c r="D30" t="str">
        <v>Dream Tyme resort Factura #  6437</v>
      </c>
      <c r="E30" s="2">
        <f>1007999.64*0</f>
        <v>0</v>
      </c>
    </row>
    <row r="31" outlineLevel="1">
      <c r="C31" s="2" t="str">
        <v>Sin Pagar</v>
      </c>
      <c r="D31" t="str">
        <v>Dream Tyme Primera y segunda quincena Diciembre</v>
      </c>
      <c r="E31" s="2">
        <f>9781142.24*2*0</f>
        <v>0</v>
      </c>
    </row>
    <row r="32" outlineLevel="1">
      <c r="C32" s="2" t="str">
        <v>Sin Pagar</v>
      </c>
      <c r="D32" t="str">
        <v>Dream Tyme Primera y segunda quincena Diciembre</v>
      </c>
      <c r="E32" s="2">
        <f>4713074*0</f>
        <v>0</v>
      </c>
    </row>
    <row r="33" outlineLevel="1">
      <c r="C33" s="2" t="str">
        <v>Sin Pagar</v>
      </c>
      <c r="D33" t="str">
        <v>Ecohl factura # 6373-6375</v>
      </c>
      <c r="E33" s="2">
        <f>1228866.62*0</f>
        <v>0</v>
      </c>
    </row>
    <row r="34" outlineLevel="1">
      <c r="C34" s="2" t="str">
        <v>Pagado</v>
      </c>
      <c r="D34" t="str">
        <v>Gilead Scense Colombia Factura # 5-154</v>
      </c>
      <c r="E34" s="2">
        <v>821905.26</v>
      </c>
    </row>
    <row r="35" outlineLevel="1">
      <c r="C35" s="2" t="str">
        <v>Pagado</v>
      </c>
      <c r="D35" t="str">
        <v>Global CS Colombia SAS -Solutions &amp; payroll-Servicio Noviembre 2025 Factura  6467</v>
      </c>
      <c r="E35" s="2">
        <v>17406803.72</v>
      </c>
      <c r="F35" s="4" t="str">
        <v>***</v>
      </c>
    </row>
    <row r="36" outlineLevel="1">
      <c r="C36" s="2" t="str">
        <v>Pagado</v>
      </c>
      <c r="D36" t="str">
        <v>Global CS Colombia SAS -Solutions &amp; payroll-Factura 5-93 Reembolso Gastos Nov</v>
      </c>
      <c r="E36" s="2">
        <v>359994</v>
      </c>
      <c r="F36" s="4" t="str">
        <v>***</v>
      </c>
    </row>
    <row r="37" ht="14.25" customHeight="1" outlineLevel="1">
      <c r="C37" s="2" t="str">
        <v>Pagado</v>
      </c>
      <c r="D37" t="str">
        <v>Global Projects service AG facturas # 6268</v>
      </c>
      <c r="E37" s="3">
        <v>2455134.4499999997</v>
      </c>
      <c r="F37" s="3">
        <v>2676010.9999999995</v>
      </c>
      <c r="G37" s="2">
        <f>(E37-F37)</f>
        <v>-220876.5499999998</v>
      </c>
    </row>
    <row r="38" ht="14.25" customHeight="1" outlineLevel="1">
      <c r="C38" s="2" t="str">
        <v>Sin Pagar</v>
      </c>
      <c r="D38" t="str">
        <v>Global Projects service AG facturas # 6315</v>
      </c>
      <c r="E38" s="3">
        <f>2709294*0</f>
        <v>0</v>
      </c>
    </row>
    <row r="39" outlineLevel="1">
      <c r="C39" s="2" t="str">
        <v>Sin Pagar</v>
      </c>
      <c r="D39" t="str">
        <v>HL Gestiones factura # 6395</v>
      </c>
      <c r="E39" s="2">
        <f>597907.31*0</f>
        <v>0</v>
      </c>
      <c r="I39">
        <v>4</v>
      </c>
    </row>
    <row r="40" outlineLevel="1">
      <c r="C40" s="2" t="str">
        <v>Pagado</v>
      </c>
      <c r="D40" t="str">
        <v>HL Ingenieros factura # 6127 a 6226</v>
      </c>
      <c r="E40" s="2">
        <v>2568994</v>
      </c>
    </row>
    <row r="41" outlineLevel="1">
      <c r="C41" s="2" t="str">
        <v>Pagado</v>
      </c>
      <c r="D41" t="str">
        <v>HL Ingenieros factura # 6280 a 6283</v>
      </c>
      <c r="E41" s="2">
        <v>383449</v>
      </c>
    </row>
    <row r="42" outlineLevel="1">
      <c r="C42" s="2" t="str">
        <v>Pagado</v>
      </c>
      <c r="D42" t="str">
        <v>Hl Infraestructura factura # 6146-6208</v>
      </c>
      <c r="E42" s="2">
        <v>46541148</v>
      </c>
    </row>
    <row r="43" outlineLevel="1">
      <c r="C43" s="2" t="str">
        <v>Pagado</v>
      </c>
      <c r="D43" t="str">
        <v>Hl Infraestructura factura # 6318</v>
      </c>
      <c r="E43" s="2">
        <v>26179806</v>
      </c>
    </row>
    <row r="44" outlineLevel="1">
      <c r="C44" s="2" t="str">
        <v>Pagado</v>
      </c>
      <c r="D44" t="str">
        <v>Inversiones el Bosque factura # 6569</v>
      </c>
      <c r="E44" s="2">
        <f>1897290</f>
        <v>1897290</v>
      </c>
    </row>
    <row r="45" outlineLevel="1">
      <c r="C45" s="2" t="str">
        <v>Sin Pagar</v>
      </c>
      <c r="D45" t="str">
        <v>Live Systems technology factura # 6466</v>
      </c>
      <c r="E45" s="2">
        <f>1202975.28*0</f>
        <v>0</v>
      </c>
    </row>
    <row r="46" outlineLevel="1">
      <c r="C46" s="2" t="str">
        <v>Pagado</v>
      </c>
      <c r="D46" t="str">
        <v>Ortho Clinical Diagnostics # 6381</v>
      </c>
      <c r="E46" s="2">
        <f>1380793.13</f>
        <v>1380793.13</v>
      </c>
    </row>
    <row r="47" outlineLevel="1">
      <c r="C47" s="2" t="str">
        <v>Pagado</v>
      </c>
      <c r="D47" t="str">
        <v>Petrobras Colombia Factura # 6474</v>
      </c>
      <c r="E47" s="2">
        <v>17383715.23</v>
      </c>
    </row>
    <row r="48" outlineLevel="1">
      <c r="C48" s="2" t="str">
        <v>Pagado</v>
      </c>
      <c r="D48" t="str">
        <v>Petrobras Internacional Baspetro Factura # 6426</v>
      </c>
      <c r="E48" s="2">
        <v>6565950.06</v>
      </c>
    </row>
    <row r="49" outlineLevel="1">
      <c r="C49" s="2" t="str">
        <v>Pagado</v>
      </c>
      <c r="D49" t="str">
        <v>Safeguard por identificar  Deel</v>
      </c>
      <c r="E49" s="2">
        <v>3462300</v>
      </c>
    </row>
    <row r="50" outlineLevel="1">
      <c r="C50" s="2" t="str">
        <v>Pagado</v>
      </c>
      <c r="D50" t="str">
        <v>Safeguard por identificar  Deel</v>
      </c>
      <c r="E50" s="2">
        <f>'MONETIZACIONES PEND'!$R$348+'MONETIZACIONES PEND'!$R$349+'MONETIZACIONES PEND'!$R$350+'MONETIZACIONES PEND'!$R$351</f>
        <v>90383091.25770001</v>
      </c>
    </row>
    <row r="51" ht="14.25" customHeight="1" outlineLevel="1">
      <c r="C51" s="2" t="str">
        <v>Sin Pagar</v>
      </c>
      <c r="D51" t="str">
        <v>Safeguard Payroll LTD y LLC Julio-(vencio en septiembre)</v>
      </c>
      <c r="E51" s="2">
        <f>87111218.1195*0</f>
        <v>0</v>
      </c>
      <c r="F51" s="2">
        <v>0</v>
      </c>
      <c r="G51" s="2">
        <f>(E51-F51)*0</f>
        <v>0</v>
      </c>
      <c r="J51" s="5">
        <v>20841.55</v>
      </c>
    </row>
    <row r="52" ht="14.25" customHeight="1" outlineLevel="1">
      <c r="C52" s="2" t="str">
        <v>Sin Pagar</v>
      </c>
      <c r="D52" t="str">
        <v>Safeguard Payroll LTD y LLC Agosto-(vencio en Octubre)</v>
      </c>
      <c r="E52" s="2">
        <f>66875205.9551*0</f>
        <v>0</v>
      </c>
      <c r="F52" s="2">
        <v>0</v>
      </c>
      <c r="G52" s="2">
        <f>(E52-F52)*0</f>
        <v>0</v>
      </c>
      <c r="J52" s="5">
        <v>16639.39</v>
      </c>
    </row>
    <row r="53" ht="14.25" customHeight="1" outlineLevel="1">
      <c r="C53" s="2" t="str">
        <v>Sin Pagar</v>
      </c>
      <c r="D53" t="str">
        <v>Safeguard Payroll LTD y LLC Septiembre-(vencio en Noviembre)</v>
      </c>
      <c r="E53" s="2">
        <f>63738690.8265*0</f>
        <v>0</v>
      </c>
      <c r="F53" s="2">
        <v>0</v>
      </c>
      <c r="G53" s="2">
        <f>(E53-F53)*0</f>
        <v>0</v>
      </c>
      <c r="J53" s="5">
        <v>16337.849999999999</v>
      </c>
    </row>
    <row r="54" ht="30" customHeight="1" outlineLevel="1">
      <c r="C54" s="2" t="str">
        <v>Sin Pagar</v>
      </c>
      <c r="D54" t="str">
        <v>Rejimetal  Factura # 4441-4524-4609-4688-4788-4865-4970-5060-5150-5272-5372-5485-5565-5642-5721-5802-588</v>
      </c>
      <c r="E54" s="2">
        <f>7370606*0</f>
        <v>0</v>
      </c>
      <c r="J54" s="5">
        <f>SUM(J51:J53)</f>
        <v>53818.79</v>
      </c>
    </row>
    <row r="55" outlineLevel="1">
      <c r="C55" s="2" t="str">
        <v>Pagado</v>
      </c>
      <c r="D55" t="str">
        <v>Sinerware SAS Factura # 6392-6469-6570</v>
      </c>
      <c r="E55" s="2">
        <v>1843176</v>
      </c>
    </row>
    <row r="56" outlineLevel="1">
      <c r="C56" s="2" t="str">
        <v>Sin Pagar</v>
      </c>
      <c r="D56" t="str">
        <v>Soluciones ambientales punto azul Factura #  6504</v>
      </c>
      <c r="E56" s="2">
        <f>694763.99*0</f>
        <v>0</v>
      </c>
    </row>
    <row r="57" outlineLevel="1">
      <c r="C57" s="2" t="str">
        <v>Pagado</v>
      </c>
      <c r="D57" t="str">
        <v>TPL Logistics factura # 6478</v>
      </c>
      <c r="E57" s="2">
        <f>1826568.28</f>
        <v>1826568.28</v>
      </c>
    </row>
    <row r="58" outlineLevel="1">
      <c r="C58" s="2" t="str">
        <v>Pagado</v>
      </c>
      <c r="D58" t="str">
        <v>TPL Logistics factura # 6568</v>
      </c>
      <c r="E58" s="2">
        <v>1753029.36</v>
      </c>
    </row>
    <row r="59" ht="15" customHeight="1">
      <c r="D59" t="str">
        <v>PE</v>
      </c>
      <c r="E59" s="2" t="e">
        <f>SUBTOTAL(9,E60:E109)</f>
        <v>#REF!</v>
      </c>
      <c r="F59" s="6">
        <v>1</v>
      </c>
    </row>
    <row r="60" ht="15" customHeight="1" outlineLevel="1">
      <c r="C60" s="2" t="str">
        <v>Sin Pagar</v>
      </c>
      <c r="D60" t="str">
        <v>Advancio Factura # 5461 EO Third parties service ADVANCIO - (November)</v>
      </c>
      <c r="E60" s="2" t="e">
        <f>'MONETIZACIONES PEND'!#REF!*0</f>
        <v>#REF!</v>
      </c>
      <c r="G60" s="2" t="e">
        <f>(E60-F60)*0</f>
        <v>#REF!</v>
      </c>
    </row>
    <row r="61" outlineLevel="1">
      <c r="C61" s="2" t="str">
        <v>Pagado</v>
      </c>
      <c r="D61" t="str">
        <v>Action Factura # 6561</v>
      </c>
      <c r="E61" s="2">
        <v>1265173.3499999999</v>
      </c>
      <c r="F61" s="2">
        <v>1293165.9438</v>
      </c>
      <c r="G61" s="2">
        <f>(E61-F61)</f>
        <v>-27992.593800000148</v>
      </c>
    </row>
    <row r="62" outlineLevel="1">
      <c r="C62" s="2" t="str">
        <v>Pagado</v>
      </c>
      <c r="D62" t="str">
        <v>Action Factura # 5-156</v>
      </c>
      <c r="E62" s="2">
        <v>11501681.45</v>
      </c>
      <c r="F62" s="2">
        <v>11756161.910600001</v>
      </c>
      <c r="G62" s="2">
        <f>(E62-F62)</f>
        <v>-254480.46060000174</v>
      </c>
    </row>
    <row r="63" outlineLevel="1">
      <c r="C63" s="2" t="str">
        <v>Pagado</v>
      </c>
      <c r="D63" t="str">
        <v>Bubble BPM Factura # 6523</v>
      </c>
      <c r="E63" s="2">
        <v>484792.18038345256</v>
      </c>
      <c r="F63" s="2">
        <v>493290.8003</v>
      </c>
      <c r="G63" s="2">
        <f>(E63-F63)</f>
        <v>-8498.619916547439</v>
      </c>
    </row>
    <row r="64" outlineLevel="1">
      <c r="C64" s="2" t="str">
        <v>Pagado</v>
      </c>
      <c r="D64" t="str">
        <v>Bubble BPM Factura # 5-136</v>
      </c>
      <c r="E64" s="2">
        <v>4407288.838116547</v>
      </c>
      <c r="F64" s="2">
        <v>4484550.5478</v>
      </c>
      <c r="G64" s="2">
        <f>(E64-F64)</f>
        <v>-77261.70968345273</v>
      </c>
    </row>
    <row r="65" outlineLevel="1">
      <c r="C65" s="2" t="str">
        <v>Pagado</v>
      </c>
      <c r="D65" t="str">
        <v>Edrington  Factura # 6363 Octubre</v>
      </c>
      <c r="E65" s="2">
        <v>2235488.0954</v>
      </c>
      <c r="F65" s="2">
        <v>2228468.5282</v>
      </c>
      <c r="G65" s="2">
        <f>(E65-F65)</f>
        <v>7019.567199999932</v>
      </c>
    </row>
    <row r="66" outlineLevel="1">
      <c r="C66" s="2" t="str">
        <v>Pagado</v>
      </c>
      <c r="D66" t="str">
        <v>Edrington  Factura # 5-84 Octubre</v>
      </c>
      <c r="E66" s="2">
        <v>40644342.782400005</v>
      </c>
      <c r="F66" s="2">
        <v>40516717.0992</v>
      </c>
      <c r="G66" s="2">
        <f>(E66-F66)</f>
        <v>127625.68320000172</v>
      </c>
    </row>
    <row r="67" outlineLevel="1">
      <c r="C67" s="2" t="str">
        <v>Pagado</v>
      </c>
      <c r="D67" t="str">
        <v>Edrington  Factura #  6527 Diciembre</v>
      </c>
      <c r="E67" s="2">
        <v>1621642.8</v>
      </c>
      <c r="F67" s="2">
        <v>1615169.928</v>
      </c>
      <c r="G67" s="2">
        <f>(E67-F67)</f>
        <v>6472.871999999974</v>
      </c>
    </row>
    <row r="68" outlineLevel="1">
      <c r="C68" s="2" t="str">
        <v>Pagado</v>
      </c>
      <c r="D68" t="str">
        <v>Edrington  Factura # 5-139 Diciembre</v>
      </c>
      <c r="E68" s="2">
        <v>29484466.2</v>
      </c>
      <c r="F68" s="2">
        <v>29366777.412</v>
      </c>
      <c r="G68" s="2">
        <f>(E68-F68)</f>
        <v>117688.78799999878</v>
      </c>
    </row>
    <row r="69" outlineLevel="1">
      <c r="C69" s="2" t="str">
        <v>Pagado</v>
      </c>
      <c r="D69" t="str">
        <v>EPDM Factura # 6541</v>
      </c>
      <c r="E69" s="2">
        <v>1004663</v>
      </c>
      <c r="G69" s="2">
        <f>(E69-F69)*0</f>
        <v>0</v>
      </c>
    </row>
    <row r="70" outlineLevel="1">
      <c r="C70" s="2" t="str">
        <v>Pagado</v>
      </c>
      <c r="D70" t="str">
        <v>EPDM Factura # 5-146</v>
      </c>
      <c r="E70" s="2">
        <v>10046625</v>
      </c>
      <c r="G70" s="2">
        <f>(E70-F70)*0</f>
        <v>0</v>
      </c>
    </row>
    <row r="71" outlineLevel="1">
      <c r="C71" s="2" t="str">
        <v>Pagado</v>
      </c>
      <c r="D71" t="str">
        <v>Equus Global Expansion, LLC Factura # 6524</v>
      </c>
      <c r="E71" s="2">
        <v>676247.25</v>
      </c>
      <c r="F71" s="2">
        <v>670058.655</v>
      </c>
      <c r="G71" s="2">
        <f>(E71-F71)</f>
        <v>6188.594999999972</v>
      </c>
    </row>
    <row r="72" outlineLevel="1">
      <c r="C72" s="2" t="str">
        <v>Pagado</v>
      </c>
      <c r="D72" t="str">
        <v>Equus Global Expansion, LLC Factura # 5-137</v>
      </c>
      <c r="E72" s="2">
        <v>5928055.375</v>
      </c>
      <c r="F72" s="2">
        <v>5873805.4925</v>
      </c>
      <c r="G72" s="2">
        <f>(E72-F72)</f>
        <v>54249.8825000003</v>
      </c>
    </row>
    <row r="73" outlineLevel="1">
      <c r="C73" s="2" t="str">
        <v>Pagado</v>
      </c>
      <c r="D73" t="str">
        <v>Europortage Factura # 6525</v>
      </c>
      <c r="E73" s="2">
        <v>3109612.8003479433</v>
      </c>
      <c r="F73" s="2">
        <v>3100513.4268</v>
      </c>
      <c r="G73" s="2">
        <f>(E73-F73)</f>
        <v>9099.373547943309</v>
      </c>
    </row>
    <row r="74" outlineLevel="1">
      <c r="C74" s="2" t="str">
        <v>Pagado</v>
      </c>
      <c r="D74" t="str">
        <v>Europortage Factura # 5-138</v>
      </c>
      <c r="E74" s="2">
        <v>53099097.010852054</v>
      </c>
      <c r="F74" s="2">
        <v>52943718.0136</v>
      </c>
      <c r="G74" s="2">
        <f>(E74-F74)</f>
        <v>155378.9972520545</v>
      </c>
    </row>
    <row r="75" outlineLevel="1">
      <c r="C75" s="2" t="str">
        <v>Sin Pagar</v>
      </c>
      <c r="D75" t="str">
        <v>Hemmebarsch GMBH &amp; Co KG , factura # 6447 Diciembre</v>
      </c>
      <c r="E75" s="2">
        <f>683895.328*0</f>
        <v>0</v>
      </c>
      <c r="G75" s="2">
        <f>(E75-F75)*0</f>
        <v>0</v>
      </c>
    </row>
    <row r="76" outlineLevel="1">
      <c r="C76" s="2" t="str">
        <v>Sin Pagar</v>
      </c>
      <c r="D76" t="str">
        <v>Hemmebarsch GMBH &amp; Co KG , factura # 5-104 Diciembre</v>
      </c>
      <c r="E76" s="2">
        <f>6838916.456*0</f>
        <v>0</v>
      </c>
      <c r="G76" s="2">
        <f>(E76-F76)*0</f>
        <v>0</v>
      </c>
    </row>
    <row r="77" outlineLevel="1">
      <c r="C77" s="2" t="str">
        <v>Sin Pagar</v>
      </c>
      <c r="D77" t="str">
        <v>Hemmebarsch GMBH &amp; Co KG , factura # 6448 Diciembre</v>
      </c>
      <c r="E77" s="2">
        <f>427452.992*0</f>
        <v>0</v>
      </c>
      <c r="G77" s="2">
        <f>(E77-F77)*0</f>
        <v>0</v>
      </c>
    </row>
    <row r="78" outlineLevel="1">
      <c r="C78" s="2" t="str">
        <v>Sin Pagar</v>
      </c>
      <c r="D78" t="str">
        <v>Hemmebarsch GMBH &amp; Co KG , factura # 5-105 Diciembre</v>
      </c>
      <c r="E78" s="2">
        <f>4274640.392*0</f>
        <v>0</v>
      </c>
      <c r="G78" s="2">
        <f>(E78-F78)*0</f>
        <v>0</v>
      </c>
    </row>
    <row r="79" outlineLevel="1">
      <c r="C79" s="2" t="str">
        <v>Sin Pagar</v>
      </c>
      <c r="D79" t="str">
        <v>Hemmebarsch GMBH &amp; Co KG , factura # 6540 Enero</v>
      </c>
      <c r="E79" s="2">
        <f>427980.3884*0</f>
        <v>0</v>
      </c>
      <c r="G79" s="2">
        <f>(E79-F79)*0</f>
        <v>0</v>
      </c>
    </row>
    <row r="80" outlineLevel="1">
      <c r="C80" s="2" t="str">
        <v>Sin Pagar</v>
      </c>
      <c r="D80" t="str">
        <v>Hemmebarsch GMBH &amp; Co KG , factura # 5-144 Enero</v>
      </c>
      <c r="E80" s="2">
        <f>4279879.4722*0</f>
        <v>0</v>
      </c>
      <c r="G80" s="2">
        <f>(E80-F80)*0</f>
        <v>0</v>
      </c>
    </row>
    <row r="81" ht="30" customHeight="1" outlineLevel="1">
      <c r="C81" s="2" t="str">
        <v>Sin Pagar</v>
      </c>
      <c r="D81" t="str">
        <v>Hong kong yonyou xinfushe cloud technology co., limited Factura 6559-(Pendiente monetizar)</v>
      </c>
      <c r="E81" s="2">
        <f>2855434.869*0</f>
        <v>0</v>
      </c>
      <c r="G81" s="2">
        <f>(E81-F81)*0</f>
        <v>0</v>
      </c>
    </row>
    <row r="82" ht="30" customHeight="1" outlineLevel="1">
      <c r="C82" s="2" t="str">
        <v>Sin Pagar</v>
      </c>
      <c r="D82" t="str">
        <v>Hong kong yonyou xinfushe cloud technology co., limited Factura 5-152 (Pendiente monetizar)</v>
      </c>
      <c r="E82" s="2">
        <f>53276427.2691*0</f>
        <v>0</v>
      </c>
      <c r="G82" s="2">
        <f>(E82-F82)*0</f>
        <v>0</v>
      </c>
    </row>
    <row r="83" outlineLevel="1">
      <c r="C83" s="2" t="str">
        <v>Pagado</v>
      </c>
      <c r="D83" t="str">
        <v>Flexco Factura # 6558</v>
      </c>
      <c r="E83" s="2">
        <v>2230013.8633892382</v>
      </c>
      <c r="F83" s="2">
        <v>2282657.749</v>
      </c>
      <c r="G83" s="2">
        <f>(E83-F83)</f>
        <v>-52643.88561076159</v>
      </c>
    </row>
    <row r="84" outlineLevel="1">
      <c r="C84" s="2" t="str">
        <v>Pagado</v>
      </c>
      <c r="D84" t="str">
        <v>Flexco Factura # 5-151</v>
      </c>
      <c r="E84" s="2">
        <v>24778064.786610764</v>
      </c>
      <c r="F84" s="2">
        <v>25362999.987999998</v>
      </c>
      <c r="G84" s="2">
        <f>(E84-F84)</f>
        <v>-584935.2013892345</v>
      </c>
    </row>
    <row r="85" outlineLevel="1">
      <c r="C85" s="2" t="str">
        <v>Pagado</v>
      </c>
      <c r="D85" t="str">
        <v>Insider factura  #5-145  Prima</v>
      </c>
      <c r="E85" s="2">
        <v>144494834.04000002</v>
      </c>
      <c r="F85" s="2">
        <v>144570834.03</v>
      </c>
      <c r="G85" s="2">
        <f>(E85-F85)</f>
        <v>-75999.98999997973</v>
      </c>
    </row>
    <row r="86" outlineLevel="1">
      <c r="C86" s="2" t="str">
        <v>Pagado</v>
      </c>
      <c r="D86" t="str">
        <v>Insider factura  # 159</v>
      </c>
      <c r="E86" s="2">
        <v>761389470.9</v>
      </c>
      <c r="F86" s="2">
        <v>783834187.5849999</v>
      </c>
      <c r="G86" s="2">
        <f>(E86-F86)</f>
        <v>-22444716.684999943</v>
      </c>
    </row>
    <row r="87" outlineLevel="1">
      <c r="C87" s="2" t="str">
        <v>Sin Pagar</v>
      </c>
      <c r="D87" t="str">
        <v>Insider factura  # 160</v>
      </c>
      <c r="E87" s="2">
        <f>3973041.075*0</f>
        <v>0</v>
      </c>
      <c r="G87" s="2">
        <f>(E87-F87)*0</f>
        <v>0</v>
      </c>
    </row>
    <row r="88" ht="14.25" customHeight="1" outlineLevel="1">
      <c r="C88" s="2" t="str">
        <v>Pagado</v>
      </c>
      <c r="D88" t="str">
        <v>MKD Factura # 6521</v>
      </c>
      <c r="E88" s="2">
        <v>645767.343</v>
      </c>
      <c r="F88" s="2">
        <v>640408.6512000001</v>
      </c>
      <c r="G88" s="2">
        <f>(E88-F88)</f>
        <v>5358.691799999913</v>
      </c>
    </row>
    <row r="89" ht="14.25" customHeight="1" outlineLevel="1">
      <c r="C89" s="2" t="str">
        <v>Pagado</v>
      </c>
      <c r="D89" t="str">
        <v>MKD Factura # 5-134</v>
      </c>
      <c r="E89" s="2">
        <v>5870456.5725</v>
      </c>
      <c r="F89" s="2">
        <v>5821742.484</v>
      </c>
      <c r="G89" s="2">
        <f>(E89-F89)</f>
        <v>48714.088499999605</v>
      </c>
    </row>
    <row r="90" outlineLevel="1">
      <c r="C90" s="2" t="str">
        <v>Pagado</v>
      </c>
      <c r="D90" t="str">
        <v>Nazdar Factura # 6538</v>
      </c>
      <c r="E90" s="2">
        <v>3725117.558913311</v>
      </c>
      <c r="F90" s="2">
        <v>3762553.8313999996</v>
      </c>
      <c r="G90" s="2">
        <f>(E90-F90)</f>
        <v>-37436.27248668857</v>
      </c>
    </row>
    <row r="91" outlineLevel="1">
      <c r="C91" s="2" t="str">
        <v>Pagado</v>
      </c>
      <c r="D91" t="str">
        <v>Nazdar Factura # 5-142</v>
      </c>
      <c r="E91" s="2">
        <v>62084793.7410867</v>
      </c>
      <c r="F91" s="2">
        <v>62708726.602</v>
      </c>
      <c r="G91" s="2">
        <f>(E91-F91)</f>
        <v>-623932.860913299</v>
      </c>
    </row>
    <row r="92" outlineLevel="1">
      <c r="C92" s="2" t="str">
        <v>Pagado</v>
      </c>
      <c r="D92" t="str">
        <v>Neo Factura # 6552</v>
      </c>
      <c r="E92" s="2">
        <v>7560646.469450439</v>
      </c>
      <c r="F92" s="2">
        <v>7531872.2035</v>
      </c>
      <c r="G92" s="2">
        <f>(E92-F92)</f>
        <v>28774.265950439498</v>
      </c>
    </row>
    <row r="93" outlineLevel="1">
      <c r="C93" s="2" t="str">
        <v>Pagado</v>
      </c>
      <c r="D93" t="str">
        <v>Neo Factura # FV-5-135</v>
      </c>
      <c r="E93" s="2">
        <v>96515781.1557806</v>
      </c>
      <c r="F93" s="2">
        <v>96148461.9369</v>
      </c>
      <c r="G93" s="2">
        <f>(E93-F93)</f>
        <v>367319.2188805938</v>
      </c>
    </row>
    <row r="94" outlineLevel="1">
      <c r="C94" s="2" t="str">
        <v>Pagado</v>
      </c>
      <c r="D94" t="str">
        <v>Neo Factura # 6557</v>
      </c>
      <c r="E94" s="2">
        <v>160637.12476895624</v>
      </c>
      <c r="F94" s="2">
        <v>160025.7729</v>
      </c>
      <c r="G94" s="2">
        <f>(E94-F94)</f>
        <v>611.3518689562334</v>
      </c>
    </row>
    <row r="95" outlineLevel="1">
      <c r="C95" s="2" t="str">
        <v>Pagado</v>
      </c>
      <c r="D95" t="str">
        <v>Oncehub Factura # 5-31</v>
      </c>
      <c r="E95" s="2">
        <v>5028811.92</v>
      </c>
      <c r="F95" s="2">
        <v>5039027.5416</v>
      </c>
      <c r="G95" s="2">
        <f>(E95-F95)</f>
        <v>-10215.621600000188</v>
      </c>
    </row>
    <row r="96" outlineLevel="1">
      <c r="C96" s="2" t="str">
        <v>Pagado</v>
      </c>
      <c r="D96" t="str">
        <v>Oncehub Factura # 6551</v>
      </c>
      <c r="E96" s="2">
        <v>1062609.6653399668</v>
      </c>
      <c r="F96" s="2">
        <v>1072405.152</v>
      </c>
      <c r="G96" s="2">
        <f>(E96-F96)</f>
        <v>-9795.486660033232</v>
      </c>
    </row>
    <row r="97" outlineLevel="1">
      <c r="C97" s="2" t="str">
        <v>Pagado</v>
      </c>
      <c r="D97" t="str">
        <v>Oncehub Factura # 5-156</v>
      </c>
      <c r="E97" s="2">
        <v>11523622.317160033</v>
      </c>
      <c r="F97" s="2">
        <v>11629850.8716</v>
      </c>
      <c r="G97" s="2">
        <f>(E97-F97)</f>
        <v>-106228.5544399675</v>
      </c>
    </row>
    <row r="98" outlineLevel="1">
      <c r="C98" s="2" t="str">
        <v>Sin Pagar</v>
      </c>
      <c r="D98" t="str">
        <v>Oncehub Factura # 5-160</v>
      </c>
      <c r="E98" s="2">
        <f>11287082.5151*0</f>
        <v>0</v>
      </c>
      <c r="G98" s="2">
        <f>(E98-F98)*0</f>
        <v>0</v>
      </c>
    </row>
    <row r="99" outlineLevel="1">
      <c r="C99" s="2" t="str">
        <v>Sin Pagar</v>
      </c>
      <c r="D99" t="str">
        <v>Remofirst Factura # 5-60 Octubre (Pendiente monetizar)</v>
      </c>
      <c r="E99" s="2">
        <f>(3255.57*3890.28)*0</f>
        <v>0</v>
      </c>
      <c r="G99" s="2">
        <f>(E99-F99)*0</f>
        <v>0</v>
      </c>
    </row>
    <row r="100" outlineLevel="1">
      <c r="C100" s="2" t="str">
        <v>Sin Pagar</v>
      </c>
      <c r="D100" t="str">
        <v>Remofirst Factura # 6338 Octubre (Pendiente monetizar)</v>
      </c>
      <c r="E100" s="2">
        <f>3333190.9*0</f>
        <v>0</v>
      </c>
      <c r="G100" s="2">
        <f>(E100-F100)*0</f>
        <v>0</v>
      </c>
    </row>
    <row r="101" outlineLevel="1">
      <c r="C101" s="2" t="str">
        <v>Sin Pagar</v>
      </c>
      <c r="D101" t="str">
        <v>Remofirst Factura # 5-79 Octubre (Pendiente monetizar)</v>
      </c>
      <c r="E101" s="2">
        <f>868549.5952*0</f>
        <v>0</v>
      </c>
      <c r="G101" s="2">
        <f>(E101-F101)*0</f>
        <v>0</v>
      </c>
    </row>
    <row r="102" outlineLevel="1">
      <c r="C102" s="2" t="str">
        <v>Pagado</v>
      </c>
      <c r="D102" t="str">
        <v>Remofirst Factura # 6506- Diciembre</v>
      </c>
      <c r="E102" s="2">
        <v>46700436.63600001</v>
      </c>
      <c r="F102" s="2">
        <v>46501659.036000006</v>
      </c>
      <c r="G102" s="2">
        <f>(E102-F102)</f>
        <v>198777.6000000015</v>
      </c>
    </row>
    <row r="103" outlineLevel="1">
      <c r="C103" s="2" t="str">
        <v>Pagado</v>
      </c>
      <c r="D103" t="str">
        <v>Remofirst Factura # 5-129 Diciembre</v>
      </c>
      <c r="E103" s="2">
        <v>1172839274.9849</v>
      </c>
      <c r="F103" s="2">
        <v>1167847155.1449</v>
      </c>
      <c r="G103" s="2">
        <f>(E103-F103)</f>
        <v>4992119.839999914</v>
      </c>
    </row>
    <row r="104" outlineLevel="1">
      <c r="C104" s="2" t="str">
        <v>Pagado</v>
      </c>
      <c r="D104" t="str">
        <v>Remofirst Factura # 6535- Diciembre</v>
      </c>
      <c r="E104" s="2">
        <v>29020404.721272483</v>
      </c>
      <c r="F104" s="2">
        <v>28765256.430600002</v>
      </c>
      <c r="G104" s="2">
        <f>(E104-F104)</f>
        <v>255148.29067248106</v>
      </c>
    </row>
    <row r="105" outlineLevel="1">
      <c r="C105" s="2" t="str">
        <v>Pagado</v>
      </c>
      <c r="D105" t="str">
        <v>Remofirst Factura # 5-150 Diciembre</v>
      </c>
      <c r="E105" s="2">
        <v>2930762.2787275184</v>
      </c>
      <c r="F105" s="2">
        <v>3100513.4268</v>
      </c>
      <c r="G105" s="2">
        <f>(E105-F105)</f>
        <v>-169751.14807248162</v>
      </c>
    </row>
    <row r="106" outlineLevel="1">
      <c r="C106" s="2" t="str">
        <v>Sin Pagar</v>
      </c>
      <c r="D106" t="str">
        <v>Remofirst Factura # 5-150 Diciembre</v>
      </c>
      <c r="E106" s="2">
        <f>23615660.7027*0</f>
        <v>0</v>
      </c>
      <c r="G106" s="2">
        <f>(E106-F106)*0</f>
        <v>0</v>
      </c>
    </row>
    <row r="107" outlineLevel="1">
      <c r="C107" s="2" t="str">
        <v>Sin Pagar</v>
      </c>
      <c r="D107" t="str">
        <v>Remofirst Factura # 6580- Diciembre</v>
      </c>
      <c r="E107" s="2">
        <f>2672509.14*0</f>
        <v>0</v>
      </c>
      <c r="G107" s="2">
        <f>(E107-F107)*0</f>
        <v>0</v>
      </c>
    </row>
    <row r="108" outlineLevel="1">
      <c r="C108" s="2" t="str">
        <v>Pagado</v>
      </c>
      <c r="D108" t="str">
        <v>Rivermate Factura # 6520</v>
      </c>
      <c r="E108" s="2">
        <v>1265349</v>
      </c>
      <c r="G108" s="2">
        <f>(E108-F108)*0</f>
        <v>0</v>
      </c>
    </row>
    <row r="109" outlineLevel="1">
      <c r="C109" s="2" t="str">
        <v>Pagado</v>
      </c>
      <c r="D109" t="str">
        <v>Rivermate Factura # 5-133</v>
      </c>
      <c r="E109" s="2">
        <v>71495628</v>
      </c>
      <c r="G109" s="2">
        <f>(E109-F109)*0</f>
        <v>0</v>
      </c>
    </row>
    <row r="110" ht="15.75" customHeight="1">
      <c r="D110" t="str">
        <v>TOTAL INGRESOS</v>
      </c>
      <c r="E110" s="2" t="e">
        <f>SUBTOTAL(9,E4:E109)</f>
        <v>#REF!</v>
      </c>
      <c r="G110" s="2" t="e">
        <f>SUM(G13:G109)</f>
        <v>#REF!</v>
      </c>
    </row>
    <row r="111" ht="15.75" customHeight="1"/>
    <row r="112" ht="15.75" customHeight="1"/>
    <row r="113" ht="15.75" customHeight="1">
      <c r="C113" t="str">
        <v xml:space="preserve">CUENTAS X PAGAR MES </v>
      </c>
      <c r="E113" t="str">
        <v>DICIEMBRE</v>
      </c>
      <c r="F113" t="str">
        <v>Fecha de Elaboración:</v>
      </c>
      <c r="J113" s="1">
        <v>45992</v>
      </c>
    </row>
    <row r="114" ht="16.5" customHeight="1">
      <c r="C114" t="str">
        <v>Factura</v>
      </c>
      <c r="D114" t="str">
        <v>PROVEEDOR</v>
      </c>
      <c r="E114" s="2" t="str">
        <v>VALOR</v>
      </c>
      <c r="F114" t="str">
        <v>Fecha vencimiento</v>
      </c>
      <c r="G114" t="str">
        <v>Estado</v>
      </c>
      <c r="J114" t="str">
        <v>KPI</v>
      </c>
      <c r="K114" t="str">
        <v>Objeto</v>
      </c>
    </row>
    <row r="115" ht="16.5" customHeight="1">
      <c r="D115" t="str">
        <v>PAGOS ANTICIPADOS</v>
      </c>
      <c r="E115" s="2">
        <f>SUBTOTAL(9,E116:E120)</f>
        <v>20226326</v>
      </c>
    </row>
    <row r="116" outlineLevel="1">
      <c r="A116" t="str">
        <f>G116</f>
        <v>Cancelado</v>
      </c>
      <c r="B116">
        <f>IF(I116&lt;=-1,1,IF(I116&lt;=5,2,IF(I116&lt;=15,3,IF(H116&lt;=60,4))))</f>
        <v>2</v>
      </c>
      <c r="D116" t="str">
        <v>Anticipo nómina Action</v>
      </c>
      <c r="E116" s="2">
        <f>3668594*0</f>
        <v>0</v>
      </c>
      <c r="F116" s="1">
        <v>45992</v>
      </c>
      <c r="G116" t="str">
        <v>Cancelado</v>
      </c>
      <c r="H116">
        <f>IF(OR(G116="Sin pagar",G116="Pagar"),NETWORKDAYS($J$113,F116,'Festivos Colombia'!$A$3:$A$22),0)</f>
        <v>0</v>
      </c>
      <c r="I116">
        <f>NETWORKDAYS($J$113,F116,'Festivos Colombia'!$A$3:$A$22)</f>
        <v>1</v>
      </c>
      <c r="J116" s="7">
        <f>H116</f>
        <v>0</v>
      </c>
    </row>
    <row r="117" outlineLevel="1">
      <c r="A117" t="str">
        <f>G117</f>
        <v>Cancelado</v>
      </c>
      <c r="B117">
        <f>IF(I117&lt;=-1,1,IF(I117&lt;=5,2,IF(I117&lt;=15,3,IF(H117&lt;=60,4))))</f>
        <v>3</v>
      </c>
      <c r="D117" t="str">
        <v>Anticipo nómina Nazdar</v>
      </c>
      <c r="E117" s="2">
        <v>9500000</v>
      </c>
      <c r="F117" s="1">
        <v>46003</v>
      </c>
      <c r="G117" t="str">
        <v>Cancelado</v>
      </c>
      <c r="H117">
        <f>IF(OR(G117="Sin pagar",G117="Pagar"),NETWORKDAYS($J$113,F117,'Festivos Colombia'!$A$3:$A$22),0)</f>
        <v>0</v>
      </c>
      <c r="I117">
        <f>NETWORKDAYS($J$113,F117,'Festivos Colombia'!$A$3:$A$22)</f>
        <v>10</v>
      </c>
      <c r="J117" s="7">
        <f>H117</f>
        <v>0</v>
      </c>
    </row>
    <row r="118" outlineLevel="1">
      <c r="A118" t="str">
        <f>G118</f>
        <v>Cancelado</v>
      </c>
      <c r="B118">
        <f>IF(I118&lt;=-1,1,IF(I118&lt;=5,2,IF(I118&lt;=15,3,IF(H118&lt;=60,4))))</f>
        <v>3</v>
      </c>
      <c r="D118" t="str">
        <v>Anticipo nómina Action</v>
      </c>
      <c r="E118" s="2">
        <v>4360000</v>
      </c>
      <c r="F118" s="1">
        <v>46003</v>
      </c>
      <c r="G118" t="str">
        <v>Cancelado</v>
      </c>
      <c r="H118">
        <f>IF(OR(G118="Sin pagar",G118="Pagar"),NETWORKDAYS($J$113,F118,'Festivos Colombia'!$A$3:$A$22),0)</f>
        <v>0</v>
      </c>
      <c r="I118">
        <f>NETWORKDAYS($J$113,F118,'Festivos Colombia'!$A$3:$A$22)</f>
        <v>10</v>
      </c>
      <c r="J118" s="7">
        <f>H118</f>
        <v>0</v>
      </c>
    </row>
    <row r="119" outlineLevel="1">
      <c r="A119" t="str">
        <f>G119</f>
        <v>Cancelado</v>
      </c>
      <c r="B119">
        <f>IF(I119&lt;=-1,1,IF(I119&lt;=5,2,IF(I119&lt;=15,3,IF(H119&lt;=60,4))))</f>
        <v>3</v>
      </c>
      <c r="D119" t="str">
        <v>Anticipo nómina remofirst</v>
      </c>
      <c r="E119" s="2">
        <v>2700000</v>
      </c>
      <c r="F119" s="1">
        <v>46006</v>
      </c>
      <c r="G119" t="str">
        <v>Cancelado</v>
      </c>
      <c r="H119">
        <f>IF(OR(G119="Sin pagar",G119="Pagar"),NETWORKDAYS($J$113,F119,'Festivos Colombia'!$A$3:$A$22),0)</f>
        <v>0</v>
      </c>
      <c r="I119">
        <f>NETWORKDAYS($J$113,F119,'Festivos Colombia'!$A$3:$A$22)</f>
        <v>11</v>
      </c>
      <c r="J119" s="7">
        <f>H119</f>
        <v>0</v>
      </c>
    </row>
    <row r="120" ht="15.75" customHeight="1" outlineLevel="1">
      <c r="A120" t="str">
        <f>G120</f>
        <v>Cancelado</v>
      </c>
      <c r="B120">
        <f>IF(I120&lt;=-1,1,IF(I120&lt;=5,2,IF(I120&lt;=15,3,IF(H120&lt;=60,4))))</f>
        <v>4</v>
      </c>
      <c r="D120" t="str">
        <v>Anticipo nómina Action</v>
      </c>
      <c r="E120" s="2">
        <v>3666326</v>
      </c>
      <c r="F120" s="1">
        <v>46024</v>
      </c>
      <c r="G120" t="str">
        <v>Cancelado</v>
      </c>
      <c r="H120">
        <f>IF(OR(G120="Sin pagar",G120="Pagar"),NETWORKDAYS($J$113,F120,'Festivos Colombia'!$A$3:$A$22),0)</f>
        <v>0</v>
      </c>
      <c r="I120">
        <f>NETWORKDAYS($J$113,F120,'Festivos Colombia'!$A$3:$A$22)</f>
        <v>24</v>
      </c>
      <c r="J120" s="7">
        <f>H120</f>
        <v>0</v>
      </c>
    </row>
    <row r="121" ht="16.5" customHeight="1">
      <c r="D121" t="str">
        <v xml:space="preserve">SEGURIDAD SOCIAL   </v>
      </c>
      <c r="E121" s="2">
        <f>SUBTOTAL(9,E122:E125)</f>
        <v>486248300</v>
      </c>
    </row>
    <row r="122" outlineLevel="1">
      <c r="A122" t="str">
        <f>G122</f>
        <v>Cancelado</v>
      </c>
      <c r="B122">
        <f>IF(I122&lt;=-1,1,IF(I122&lt;=5,2,IF(I122&lt;=15,3,IF(H122&lt;=60,4))))</f>
        <v>2</v>
      </c>
      <c r="C122" s="6">
        <v>176206200</v>
      </c>
      <c r="D122" t="str">
        <v>Seguridad social -planilla N- liquidación del señor José Sepúlveda</v>
      </c>
      <c r="E122" s="2">
        <v>269400</v>
      </c>
      <c r="F122" s="1">
        <v>45995</v>
      </c>
      <c r="G122" t="str">
        <v>Cancelado</v>
      </c>
      <c r="H122">
        <f>IF(OR(G122="Sin pagar",G122="Pagar"),NETWORKDAYS($J$113,F122,'Festivos Colombia'!$A$3:$A$22),0)</f>
        <v>0</v>
      </c>
      <c r="I122">
        <f>NETWORKDAYS($J$113,F122,'Festivos Colombia'!$A$3:$A$22)</f>
        <v>4</v>
      </c>
      <c r="J122" s="7">
        <f>H122</f>
        <v>0</v>
      </c>
    </row>
    <row r="123" outlineLevel="1">
      <c r="A123" t="str">
        <f>G123</f>
        <v>Cancelado</v>
      </c>
      <c r="B123">
        <f>IF(I123&lt;=-1,1,IF(I123&lt;=5,2,IF(I123&lt;=15,3,IF(H123&lt;=60,4))))</f>
        <v>3</v>
      </c>
      <c r="C123" s="6">
        <v>176206200</v>
      </c>
      <c r="D123" t="str">
        <v xml:space="preserve">Seguridad social </v>
      </c>
      <c r="E123" s="2">
        <v>485971400</v>
      </c>
      <c r="F123" s="1">
        <v>46002</v>
      </c>
      <c r="G123" t="str">
        <v>Cancelado</v>
      </c>
      <c r="H123">
        <f>IF(OR(G123="Sin pagar",G123="Pagar"),NETWORKDAYS($J$113,F123,'Festivos Colombia'!$A$3:$A$22),0)</f>
        <v>0</v>
      </c>
      <c r="I123">
        <f>NETWORKDAYS($J$113,F123,'Festivos Colombia'!$A$3:$A$22)</f>
        <v>9</v>
      </c>
      <c r="J123" s="7">
        <f>H123</f>
        <v>0</v>
      </c>
    </row>
    <row r="124" outlineLevel="1">
      <c r="A124" t="str">
        <f>G124</f>
        <v>Cancelado</v>
      </c>
      <c r="B124">
        <f>IF(I124&lt;=-1,1,IF(I124&lt;=5,2,IF(I124&lt;=15,3,IF(H124&lt;=60,4))))</f>
        <v>3</v>
      </c>
      <c r="C124" s="6">
        <v>176206200</v>
      </c>
      <c r="D124" t="str">
        <v>Seguridad social -K</v>
      </c>
      <c r="E124" s="2">
        <v>7500</v>
      </c>
      <c r="F124" s="1">
        <v>46002</v>
      </c>
      <c r="G124" t="str">
        <v>Cancelado</v>
      </c>
      <c r="H124">
        <f>IF(OR(G124="Sin pagar",G124="Pagar"),NETWORKDAYS($J$113,F124,'Festivos Colombia'!$A$3:$A$22),0)</f>
        <v>0</v>
      </c>
      <c r="I124">
        <f>NETWORKDAYS($J$113,F124,'Festivos Colombia'!$A$3:$A$22)</f>
        <v>9</v>
      </c>
      <c r="J124" s="7">
        <f>H124</f>
        <v>0</v>
      </c>
    </row>
    <row r="125" ht="15.75" customHeight="1" outlineLevel="1">
      <c r="A125" t="str">
        <f>G125</f>
        <v>Cancelado</v>
      </c>
      <c r="B125">
        <f>IF(I125&lt;=-1,1,IF(I125&lt;=5,2,IF(I125&lt;=15,3,IF(H125&lt;=60,4))))</f>
        <v>4</v>
      </c>
      <c r="C125" s="6">
        <v>176206200</v>
      </c>
      <c r="D125" t="str">
        <v xml:space="preserve">Seguridad social  Dream Tyme resort </v>
      </c>
      <c r="E125" s="2">
        <f>3999300*0</f>
        <v>0</v>
      </c>
      <c r="F125" s="1">
        <v>46021</v>
      </c>
      <c r="G125" t="str">
        <v>Cancelado</v>
      </c>
      <c r="H125">
        <f>IF(OR(G125="Sin pagar",G125="Pagar"),NETWORKDAYS($J$113,F125,'Festivos Colombia'!$A$3:$A$22),0)</f>
        <v>0</v>
      </c>
      <c r="I125">
        <f>NETWORKDAYS($J$113,F125,'Festivos Colombia'!$A$3:$A$22)</f>
        <v>22</v>
      </c>
      <c r="J125" s="7">
        <f>H125</f>
        <v>0</v>
      </c>
    </row>
    <row r="126" ht="16.5" customHeight="1">
      <c r="D126" t="str">
        <v>AFC´S</v>
      </c>
      <c r="E126" s="2">
        <f>SUBTOTAL(9,E127:E129)</f>
        <v>18358500</v>
      </c>
    </row>
    <row r="127" outlineLevel="1">
      <c r="A127" t="str">
        <f>G127</f>
        <v>Cancelado</v>
      </c>
      <c r="B127">
        <f>IF(I127&lt;=-1,1,IF(I127&lt;=5,2,IF(I127&lt;=15,3,IF(H127&lt;=60,4))))</f>
        <v>4</v>
      </c>
      <c r="D127" t="str">
        <v xml:space="preserve">AFC Dafuturo cheque </v>
      </c>
      <c r="E127" s="2">
        <v>1000000</v>
      </c>
      <c r="F127" s="1">
        <v>46020</v>
      </c>
      <c r="G127" t="str">
        <v>Cancelado</v>
      </c>
      <c r="H127">
        <f>IF(OR(G127="Sin pagar",G127="Pagar"),NETWORKDAYS($J$113,F127,'Festivos Colombia'!$A$3:$A$22),0)</f>
        <v>0</v>
      </c>
      <c r="I127">
        <f>NETWORKDAYS($J$113,F127,'Festivos Colombia'!$A$3:$A$22)</f>
        <v>21</v>
      </c>
      <c r="J127" s="7">
        <f>H127</f>
        <v>0</v>
      </c>
    </row>
    <row r="128" outlineLevel="1">
      <c r="A128" t="str">
        <f>G128</f>
        <v>Cancelado</v>
      </c>
      <c r="B128">
        <f>IF(I128&lt;=-1,1,IF(I128&lt;=5,2,IF(I128&lt;=15,3,IF(H128&lt;=60,4))))</f>
        <v>4</v>
      </c>
      <c r="D128" t="str">
        <v xml:space="preserve">AFC OER electronico </v>
      </c>
      <c r="E128" s="2">
        <v>15159000</v>
      </c>
      <c r="F128" s="1">
        <v>46017</v>
      </c>
      <c r="G128" t="str">
        <v>Cancelado</v>
      </c>
      <c r="H128">
        <f>IF(OR(G128="Sin pagar",G128="Pagar"),NETWORKDAYS($J$113,F128,'Festivos Colombia'!$A$3:$A$22),0)</f>
        <v>0</v>
      </c>
      <c r="I128">
        <f>NETWORKDAYS($J$113,F128,'Festivos Colombia'!$A$3:$A$22)</f>
        <v>20</v>
      </c>
      <c r="J128" s="7">
        <f>H128</f>
        <v>0</v>
      </c>
    </row>
    <row r="129" ht="15.75" customHeight="1" outlineLevel="1">
      <c r="A129" t="str">
        <f>G129</f>
        <v>Cancelado</v>
      </c>
      <c r="B129">
        <f>IF(I129&lt;=-1,1,IF(I129&lt;=5,2,IF(I129&lt;=15,3,IF(H129&lt;=60,4))))</f>
        <v>4</v>
      </c>
      <c r="D129" t="str">
        <v xml:space="preserve">AFC Edward Forero electronico </v>
      </c>
      <c r="E129" s="2">
        <v>2199500</v>
      </c>
      <c r="F129" s="1">
        <v>46017</v>
      </c>
      <c r="G129" t="str">
        <v>Cancelado</v>
      </c>
      <c r="H129">
        <f>IF(OR(G129="Sin pagar",G129="Pagar"),NETWORKDAYS($J$113,F129,'Festivos Colombia'!$A$3:$A$22),0)</f>
        <v>0</v>
      </c>
      <c r="I129">
        <f>NETWORKDAYS($J$113,F129,'Festivos Colombia'!$A$3:$A$22)</f>
        <v>20</v>
      </c>
      <c r="J129" s="7">
        <f>H129</f>
        <v>0</v>
      </c>
    </row>
    <row r="130" ht="16.5" customHeight="1">
      <c r="D130" t="str">
        <v xml:space="preserve">IMPUESTOS </v>
      </c>
      <c r="E130" s="2">
        <f>SUBTOTAL(9,E131:E132)</f>
        <v>145791000</v>
      </c>
      <c r="J130" s="7">
        <f>H130</f>
        <v>0</v>
      </c>
    </row>
    <row r="131" outlineLevel="1">
      <c r="A131" t="str">
        <f>G131</f>
        <v>Cancelado</v>
      </c>
      <c r="B131">
        <f>IF(I131&lt;=-1,1,IF(I131&lt;=5,2,IF(I131&lt;=15,3,IF(H131&lt;=60,4))))</f>
        <v>3</v>
      </c>
      <c r="D131" t="str">
        <v xml:space="preserve">RETENCIÓN EN LA FUENTE </v>
      </c>
      <c r="E131" s="2">
        <v>145619000</v>
      </c>
      <c r="F131" s="1">
        <v>46007</v>
      </c>
      <c r="G131" t="str">
        <v>Cancelado</v>
      </c>
      <c r="H131">
        <f>IF(OR(G131="Sin pagar",G131="Pagar"),NETWORKDAYS($J$113,F131,'Festivos Colombia'!$A$3:$A$22),0)</f>
        <v>0</v>
      </c>
      <c r="I131">
        <f>NETWORKDAYS($J$113,F131,'Festivos Colombia'!$A$3:$A$22)</f>
        <v>12</v>
      </c>
      <c r="J131" s="7">
        <f>H131</f>
        <v>0</v>
      </c>
    </row>
    <row r="132" ht="15.75" customHeight="1" outlineLevel="1">
      <c r="D132" t="str">
        <v>Retención de IVA</v>
      </c>
      <c r="E132" s="2">
        <v>172000</v>
      </c>
      <c r="F132" s="1">
        <v>46007</v>
      </c>
      <c r="G132" t="str">
        <v>Cancelado</v>
      </c>
      <c r="H132">
        <f>IF(OR(G132="Sin pagar",G132="Pagar"),NETWORKDAYS($J$113,F132,'Festivos Colombia'!$A$3:$A$22),0)</f>
        <v>0</v>
      </c>
      <c r="I132">
        <f>NETWORKDAYS($J$113,F132,'Festivos Colombia'!$A$3:$A$22)</f>
        <v>12</v>
      </c>
      <c r="J132" s="7">
        <f>H132</f>
        <v>0</v>
      </c>
    </row>
    <row r="133" ht="16.5" customHeight="1">
      <c r="D133" t="str">
        <v>ARRIENDO, INTERNET, TELEFONIA Y GASTOS DE OFICINA</v>
      </c>
      <c r="E133" s="2">
        <f>SUBTOTAL(9,E134:E150)</f>
        <v>8068546.45</v>
      </c>
      <c r="J133" s="7">
        <f>H133</f>
        <v>0</v>
      </c>
    </row>
    <row r="134" outlineLevel="1">
      <c r="A134" t="str">
        <f>G134</f>
        <v>Cancelado</v>
      </c>
      <c r="B134">
        <f>IF(I134&lt;=-1,1,IF(I134&lt;=5,2,IF(I134&lt;=15,3,IF(H134&lt;=60,4))))</f>
        <v>2</v>
      </c>
      <c r="C134">
        <v>189</v>
      </c>
      <c r="D134" t="str">
        <v>Reembolso caja menor</v>
      </c>
      <c r="E134" s="2">
        <f>140000</f>
        <v>140000</v>
      </c>
      <c r="F134" s="1">
        <v>45994</v>
      </c>
      <c r="G134" t="str">
        <v>Cancelado</v>
      </c>
      <c r="H134">
        <f>IF(OR(G134="Sin pagar",G134="Pagar"),NETWORKDAYS($J$113,F134,'Festivos Colombia'!$A$3:$A$22),0)</f>
        <v>0</v>
      </c>
      <c r="I134">
        <f>NETWORKDAYS($J$113,F134,'Festivos Colombia'!$A$3:$A$22)</f>
        <v>3</v>
      </c>
      <c r="J134" s="7">
        <f>H134</f>
        <v>0</v>
      </c>
    </row>
    <row r="135" ht="14.25" customHeight="1" outlineLevel="1">
      <c r="A135" t="str">
        <f>G135</f>
        <v>Cancelado</v>
      </c>
      <c r="B135">
        <f>IF(I135&lt;=-1,1,IF(I135&lt;=5,2,IF(I135&lt;=15,3,IF(H135&lt;=60,4))))</f>
        <v>2</v>
      </c>
      <c r="C135" s="4" t="str">
        <v>FE-51380</v>
      </c>
      <c r="D135" t="str">
        <v>BUK colombia SAS-Sucricpión Noviembre</v>
      </c>
      <c r="E135" s="2">
        <f>1178285.75</f>
        <v>1178285.75</v>
      </c>
      <c r="F135" s="1">
        <v>45995</v>
      </c>
      <c r="G135" t="str">
        <v>Cancelado</v>
      </c>
      <c r="H135">
        <f>IF(OR(G135="Sin pagar",G135="Pagar"),NETWORKDAYS($J$113,F135,'Festivos Colombia'!$A$3:$A$22),0)</f>
        <v>0</v>
      </c>
      <c r="I135">
        <f>NETWORKDAYS($J$113,F135,'Festivos Colombia'!$A$3:$A$22)</f>
        <v>4</v>
      </c>
      <c r="J135" s="7">
        <f>H135</f>
        <v>0</v>
      </c>
    </row>
    <row r="136" outlineLevel="1">
      <c r="A136" t="str">
        <f>G136</f>
        <v>Cancelado</v>
      </c>
      <c r="B136">
        <f>IF(I136&lt;=-1,1,IF(I136&lt;=5,2,IF(I136&lt;=15,3,IF(H136&lt;=60,4))))</f>
        <v>2</v>
      </c>
      <c r="C136">
        <v>31</v>
      </c>
      <c r="D136" t="str">
        <v>Dario Mendez</v>
      </c>
      <c r="E136" s="2">
        <v>815000</v>
      </c>
      <c r="F136" s="1">
        <v>45995</v>
      </c>
      <c r="G136" t="str">
        <v>Cancelado</v>
      </c>
      <c r="H136">
        <f>IF(OR(G136="Sin pagar",G136="Pagar"),NETWORKDAYS($J$113,F136,'Festivos Colombia'!$A$3:$A$22),0)</f>
        <v>0</v>
      </c>
      <c r="I136">
        <f>NETWORKDAYS($J$113,F136,'Festivos Colombia'!$A$3:$A$22)</f>
        <v>4</v>
      </c>
      <c r="J136" s="7">
        <f>H136</f>
        <v>0</v>
      </c>
    </row>
    <row r="137" outlineLevel="1">
      <c r="A137" t="str">
        <f>G137</f>
        <v>Cancelado</v>
      </c>
      <c r="B137">
        <f>IF(I137&lt;=-1,1,IF(I137&lt;=5,2,IF(I137&lt;=15,3,IF(H137&lt;=60,4))))</f>
        <v>2</v>
      </c>
      <c r="C137" t="str">
        <v>FV-2-6278</v>
      </c>
      <c r="D137" t="str">
        <v>WORKPLACE SOLUTIONS GROUP SAS (SPACIO)</v>
      </c>
      <c r="E137" s="2">
        <f>313593.5</f>
        <v>313593.5</v>
      </c>
      <c r="F137" s="1">
        <v>45995</v>
      </c>
      <c r="G137" t="str">
        <v>Cancelado</v>
      </c>
      <c r="H137">
        <f>IF(OR(G137="Sin pagar",G137="Pagar"),NETWORKDAYS($J$113,F137,'Festivos Colombia'!$A$3:$A$22),0)</f>
        <v>0</v>
      </c>
      <c r="I137">
        <f>NETWORKDAYS($J$113,F137,'Festivos Colombia'!$A$3:$A$22)</f>
        <v>4</v>
      </c>
      <c r="J137" s="7">
        <f>H137</f>
        <v>0</v>
      </c>
    </row>
    <row r="138" outlineLevel="1">
      <c r="A138" t="str">
        <f>G138</f>
        <v>Cancelado</v>
      </c>
      <c r="B138">
        <f>IF(I138&lt;=-1,1,IF(I138&lt;=5,2,IF(I138&lt;=15,3,IF(H138&lt;=60,4))))</f>
        <v>3</v>
      </c>
      <c r="C138" s="4" t="str">
        <v>580831386734</v>
      </c>
      <c r="D138" t="str">
        <v>Movistar Office 365</v>
      </c>
      <c r="E138" s="2">
        <v>359333</v>
      </c>
      <c r="F138" s="1">
        <v>46001</v>
      </c>
      <c r="G138" t="str">
        <v>Cancelado</v>
      </c>
      <c r="H138">
        <f>IF(OR(G138="Sin pagar",G138="Pagar"),NETWORKDAYS($J$113,F138,'Festivos Colombia'!$A$3:$A$22),0)</f>
        <v>0</v>
      </c>
      <c r="I138">
        <f>NETWORKDAYS($J$113,F138,'Festivos Colombia'!$A$3:$A$22)</f>
        <v>8</v>
      </c>
      <c r="J138" s="7">
        <f>H138</f>
        <v>0</v>
      </c>
      <c r="K138" t="str">
        <v xml:space="preserve">Pendiente por conseguir factura </v>
      </c>
    </row>
    <row r="139" outlineLevel="1">
      <c r="A139" t="str">
        <f>G139</f>
        <v>Cancelado</v>
      </c>
      <c r="B139">
        <f>IF(I139&lt;=-1,1,IF(I139&lt;=5,2,IF(I139&lt;=15,3,IF(H139&lt;=60,4))))</f>
        <v>3</v>
      </c>
      <c r="C139" t="str">
        <v>FV-2-6355</v>
      </c>
      <c r="D139" t="str">
        <v>WORKPLACE SOLUTIONS GROUP SAS (SPACIO)</v>
      </c>
      <c r="E139" s="2">
        <v>376312.2</v>
      </c>
      <c r="F139" s="1">
        <v>46007</v>
      </c>
      <c r="G139" t="str">
        <v>Cancelado</v>
      </c>
      <c r="H139">
        <f>IF(OR(G139="Sin pagar",G139="Pagar"),NETWORKDAYS($J$113,F139,'Festivos Colombia'!$A$3:$A$22),0)</f>
        <v>0</v>
      </c>
      <c r="I139">
        <f>NETWORKDAYS($J$113,F139,'Festivos Colombia'!$A$3:$A$22)</f>
        <v>12</v>
      </c>
      <c r="J139" s="7">
        <f>H139</f>
        <v>0</v>
      </c>
    </row>
    <row r="140" outlineLevel="1">
      <c r="A140" t="str">
        <f>G140</f>
        <v>Cancelado</v>
      </c>
      <c r="B140">
        <f>IF(I140&lt;=-1,1,IF(I140&lt;=5,2,IF(I140&lt;=15,3,IF(H140&lt;=60,4))))</f>
        <v>3</v>
      </c>
      <c r="C140">
        <v>61</v>
      </c>
      <c r="D140" t="str">
        <v>Rafael Mier (arriendo Bodega para S&amp;P)</v>
      </c>
      <c r="E140" s="2">
        <v>180000</v>
      </c>
      <c r="F140" s="1">
        <v>46010</v>
      </c>
      <c r="G140" t="str">
        <v>Cancelado</v>
      </c>
      <c r="H140">
        <f>IF(OR(G140="Sin pagar",G140="Pagar"),NETWORKDAYS($J$113,F140,'Festivos Colombia'!$A$3:$A$22),0)</f>
        <v>0</v>
      </c>
      <c r="I140">
        <f>NETWORKDAYS($J$113,F140,'Festivos Colombia'!$A$3:$A$22)</f>
        <v>15</v>
      </c>
      <c r="J140" s="7">
        <f>H140</f>
        <v>0</v>
      </c>
    </row>
    <row r="141" outlineLevel="1">
      <c r="A141" t="str">
        <f>G141</f>
        <v>Cancelado</v>
      </c>
      <c r="B141">
        <f>IF(I141&lt;=-1,1,IF(I141&lt;=5,2,IF(I141&lt;=15,3,IF(H141&lt;=60,4))))</f>
        <v>3</v>
      </c>
      <c r="C141">
        <v>1</v>
      </c>
      <c r="D141" t="str">
        <v xml:space="preserve">Giovanna Guio-Reembolso de gastos </v>
      </c>
      <c r="E141" s="2">
        <v>706000</v>
      </c>
      <c r="F141" s="1">
        <v>46007</v>
      </c>
      <c r="G141" t="str">
        <v>Cancelado</v>
      </c>
      <c r="H141">
        <f>IF(OR(G141="Sin pagar",G141="Pagar"),NETWORKDAYS($J$113,F141,'Festivos Colombia'!$A$3:$A$22),0)</f>
        <v>0</v>
      </c>
      <c r="I141">
        <f>NETWORKDAYS($J$113,F141,'Festivos Colombia'!$A$3:$A$22)</f>
        <v>12</v>
      </c>
      <c r="J141" s="7">
        <f>H141</f>
        <v>0</v>
      </c>
    </row>
    <row r="142" outlineLevel="1">
      <c r="A142" t="str">
        <f>G142</f>
        <v>Cancelado</v>
      </c>
      <c r="B142">
        <f>IF(I142&lt;=-1,1,IF(I142&lt;=5,2,IF(I142&lt;=15,3,IF(H142&lt;=60,4))))</f>
        <v>3</v>
      </c>
      <c r="C142">
        <v>26558</v>
      </c>
      <c r="D142" t="str">
        <v>Parking remofirst</v>
      </c>
      <c r="E142" s="2">
        <v>896050</v>
      </c>
      <c r="F142" s="1">
        <v>46007</v>
      </c>
      <c r="G142" t="str">
        <v>Cancelado</v>
      </c>
      <c r="H142">
        <f>IF(OR(G142="Sin pagar",G142="Pagar"),NETWORKDAYS($J$113,F142,'Festivos Colombia'!$A$3:$A$22),0)</f>
        <v>0</v>
      </c>
      <c r="I142">
        <f>NETWORKDAYS($J$113,F142,'Festivos Colombia'!$A$3:$A$22)</f>
        <v>12</v>
      </c>
      <c r="J142" s="7">
        <f>H142</f>
        <v>0</v>
      </c>
    </row>
    <row r="143" outlineLevel="1">
      <c r="A143" t="str">
        <f>G143</f>
        <v>Cancelado</v>
      </c>
      <c r="B143">
        <f>IF(I143&lt;=-1,1,IF(I143&lt;=5,2,IF(I143&lt;=15,3,IF(H143&lt;=60,4))))</f>
        <v>3</v>
      </c>
      <c r="C143" t="str">
        <v>EMPR56826</v>
      </c>
      <c r="D143" t="str">
        <v>Bienestar a la carta compensar mes de Septiembre</v>
      </c>
      <c r="E143" s="2">
        <v>50000</v>
      </c>
      <c r="F143" s="1">
        <v>46010</v>
      </c>
      <c r="G143" t="str">
        <v>Cancelado</v>
      </c>
      <c r="H143">
        <f>IF(OR(G143="Sin pagar",G143="Pagar"),NETWORKDAYS($J$113,F143,'Festivos Colombia'!$A$3:$A$22),0)</f>
        <v>0</v>
      </c>
      <c r="I143">
        <f>NETWORKDAYS($J$113,F143,'Festivos Colombia'!$A$3:$A$22)</f>
        <v>15</v>
      </c>
      <c r="J143" s="7">
        <f>H143</f>
        <v>0</v>
      </c>
    </row>
    <row r="144" outlineLevel="1">
      <c r="A144" t="str">
        <f>G144</f>
        <v>Cancelado</v>
      </c>
      <c r="B144">
        <f>IF(I144&lt;=-1,1,IF(I144&lt;=5,2,IF(I144&lt;=15,3,IF(H144&lt;=60,4))))</f>
        <v>3</v>
      </c>
      <c r="C144" t="str">
        <v>EMPR57401</v>
      </c>
      <c r="D144" t="str">
        <v>Bienestar a la carta compensar mes de octubre</v>
      </c>
      <c r="E144" s="2">
        <f>44200</f>
        <v>44200</v>
      </c>
      <c r="F144" s="1">
        <v>46010</v>
      </c>
      <c r="G144" t="str">
        <v>Cancelado</v>
      </c>
      <c r="H144">
        <f>IF(OR(G144="Sin pagar",G144="Pagar"),NETWORKDAYS($J$113,F144,'Festivos Colombia'!$A$3:$A$22),0)</f>
        <v>0</v>
      </c>
      <c r="I144">
        <f>NETWORKDAYS($J$113,F144,'Festivos Colombia'!$A$3:$A$22)</f>
        <v>15</v>
      </c>
      <c r="J144" s="7">
        <f>H144</f>
        <v>0</v>
      </c>
    </row>
    <row r="145" outlineLevel="1">
      <c r="A145" t="str">
        <f>G145</f>
        <v>Cancelado</v>
      </c>
      <c r="B145">
        <f>IF(I145&lt;=-1,1,IF(I145&lt;=5,2,IF(I145&lt;=15,3,IF(H145&lt;=60,4))))</f>
        <v>4</v>
      </c>
      <c r="C145" s="4" t="str">
        <v>003 - 292423302</v>
      </c>
      <c r="D145" t="str">
        <v>Claro Office 365</v>
      </c>
      <c r="E145" s="2">
        <v>1359863</v>
      </c>
      <c r="F145" s="1">
        <v>46013</v>
      </c>
      <c r="G145" t="str">
        <v>Cancelado</v>
      </c>
      <c r="H145">
        <f>IF(OR(G145="Sin pagar",G145="Pagar"),NETWORKDAYS($J$113,F145,'Festivos Colombia'!$A$3:$A$22),0)</f>
        <v>0</v>
      </c>
      <c r="I145">
        <f>NETWORKDAYS($J$113,F145,'Festivos Colombia'!$A$3:$A$22)</f>
        <v>16</v>
      </c>
      <c r="J145" s="7">
        <f>H145</f>
        <v>0</v>
      </c>
    </row>
    <row r="146" outlineLevel="1">
      <c r="A146" t="str">
        <f>G146</f>
        <v>Cancelado</v>
      </c>
      <c r="B146">
        <f>IF(I146&lt;=-1,1,IF(I146&lt;=5,2,IF(I146&lt;=15,3,IF(H146&lt;=60,4))))</f>
        <v>4</v>
      </c>
      <c r="C146" t="str">
        <v>E6006315618</v>
      </c>
      <c r="D146" t="str">
        <v xml:space="preserve">Claro-Telefonia </v>
      </c>
      <c r="E146" s="2">
        <v>793271</v>
      </c>
      <c r="F146" s="1">
        <v>46014</v>
      </c>
      <c r="G146" t="str">
        <v>Cancelado</v>
      </c>
      <c r="H146">
        <f>IF(OR(G146="Sin pagar",G146="Pagar"),NETWORKDAYS($J$113,F146,'Festivos Colombia'!$A$3:$A$22),0)</f>
        <v>0</v>
      </c>
      <c r="I146">
        <f>NETWORKDAYS($J$113,F146,'Festivos Colombia'!$A$3:$A$22)</f>
        <v>17</v>
      </c>
      <c r="J146" s="7">
        <f>H146</f>
        <v>0</v>
      </c>
    </row>
    <row r="147" outlineLevel="1">
      <c r="A147" t="str">
        <f>G147</f>
        <v>Cancelado</v>
      </c>
      <c r="B147">
        <f>IF(I147&lt;=-1,1,IF(I147&lt;=5,2,IF(I147&lt;=15,3,IF(H147&lt;=60,4))))</f>
        <v>4</v>
      </c>
      <c r="C147" s="4" t="str">
        <v>BEC492415026</v>
      </c>
      <c r="D147" t="str">
        <v>Movistar telefonía</v>
      </c>
      <c r="E147" s="2">
        <v>856638</v>
      </c>
      <c r="F147" s="1">
        <v>46020</v>
      </c>
      <c r="G147" t="str">
        <v>Cancelado</v>
      </c>
      <c r="H147">
        <f>IF(OR(G147="Sin pagar",G147="Pagar"),NETWORKDAYS($J$113,F147,'Festivos Colombia'!$A$3:$A$22),0)</f>
        <v>0</v>
      </c>
      <c r="I147">
        <f>NETWORKDAYS($J$113,F147,'Festivos Colombia'!$A$3:$A$22)</f>
        <v>21</v>
      </c>
      <c r="J147" s="7">
        <f>H147</f>
        <v>0</v>
      </c>
      <c r="K147" t="str">
        <v>Sin radicar</v>
      </c>
    </row>
    <row r="148" outlineLevel="1">
      <c r="A148" t="str">
        <f>G148</f>
        <v>Cancelado</v>
      </c>
      <c r="B148">
        <f>IF(I148&lt;=-1,1,IF(I148&lt;=5,2,IF(I148&lt;=15,3,IF(H148&lt;=60,4))))</f>
        <v>4</v>
      </c>
      <c r="C148">
        <v>16</v>
      </c>
      <c r="D148" t="str">
        <v>Edgar Rafael Obrador Borja</v>
      </c>
      <c r="E148" s="2">
        <f>1015098.5*0</f>
        <v>0</v>
      </c>
      <c r="F148" s="1">
        <v>46020</v>
      </c>
      <c r="G148" t="str">
        <v>Cancelado</v>
      </c>
      <c r="H148">
        <f>IF(OR(G148="Sin pagar",G148="Pagar"),NETWORKDAYS($J$113,F148,'Festivos Colombia'!$A$3:$A$22),0)</f>
        <v>0</v>
      </c>
      <c r="I148">
        <f>NETWORKDAYS($J$113,F148,'Festivos Colombia'!$A$3:$A$22)</f>
        <v>21</v>
      </c>
      <c r="J148" s="7">
        <f>H148</f>
        <v>0</v>
      </c>
    </row>
    <row r="149" ht="14.25" customHeight="1" outlineLevel="1">
      <c r="A149" t="str">
        <f>G149</f>
        <v>Sin Pagar</v>
      </c>
      <c r="B149">
        <f>IF(I149&lt;=-1,1,IF(I149&lt;=5,2,IF(I149&lt;=15,3,IF(H149&lt;=60,4))))</f>
        <v>4</v>
      </c>
      <c r="C149" s="4" t="str">
        <v>FE-53980</v>
      </c>
      <c r="D149" t="str">
        <v>BUK colombia SAS-Sucricpión Diciembre</v>
      </c>
      <c r="E149" s="2">
        <f>1178285.75*0</f>
        <v>0</v>
      </c>
      <c r="F149" s="1">
        <v>46031</v>
      </c>
      <c r="G149" t="str">
        <v>Sin Pagar</v>
      </c>
      <c r="H149">
        <f>IF(OR(G149="Sin pagar",G149="Pagar"),NETWORKDAYS($J$113,F149,'Festivos Colombia'!$A$3:$A$22),0)</f>
        <v>29</v>
      </c>
      <c r="I149">
        <f>NETWORKDAYS($J$113,F149,'Festivos Colombia'!$A$3:$A$22)</f>
        <v>29</v>
      </c>
      <c r="J149" s="7">
        <f>H149</f>
        <v>29</v>
      </c>
    </row>
    <row r="150" ht="15.75" customHeight="1" outlineLevel="1">
      <c r="A150" t="str">
        <f>G150</f>
        <v>Sin Pagar</v>
      </c>
      <c r="B150">
        <f>IF(I150&lt;=-1,1,IF(I150&lt;=5,2,IF(I150&lt;=15,3,IF(H150&lt;=60,4))))</f>
        <v>4</v>
      </c>
      <c r="C150" t="str">
        <v>EMPR60241</v>
      </c>
      <c r="D150" t="str">
        <v>Bienestar a la carta compensar mes de octubre</v>
      </c>
      <c r="E150" s="2">
        <f>150000*0</f>
        <v>0</v>
      </c>
      <c r="F150" s="1">
        <v>46038</v>
      </c>
      <c r="G150" t="str">
        <v>Sin Pagar</v>
      </c>
      <c r="H150">
        <f>IF(OR(G150="Sin pagar",G150="Pagar"),NETWORKDAYS($J$113,F150,'Festivos Colombia'!$A$3:$A$22),0)</f>
        <v>33</v>
      </c>
      <c r="I150">
        <f>NETWORKDAYS($J$113,F150,'Festivos Colombia'!$A$3:$A$22)</f>
        <v>33</v>
      </c>
      <c r="J150" s="7">
        <f>H150</f>
        <v>33</v>
      </c>
    </row>
    <row r="151" ht="16.5" customHeight="1">
      <c r="D151" t="str">
        <v>PLANES COMPLEMENTARIOS Y PREPAGADAS</v>
      </c>
      <c r="E151" s="2">
        <f>SUBTOTAL(9,E152:E154)</f>
        <v>525000</v>
      </c>
    </row>
    <row r="152" ht="14.25" customHeight="1" outlineLevel="1">
      <c r="A152" t="str">
        <f>G152</f>
        <v>Cancelado</v>
      </c>
      <c r="B152">
        <f>IF(I152&lt;=-1,1,IF(I152&lt;=5,2,IF(I152&lt;=15,3,IF(H152&lt;=60,4))))</f>
        <v>2</v>
      </c>
      <c r="C152" t="str">
        <v>SD0116829489</v>
      </c>
      <c r="D152" t="str">
        <v>Plan complementario Eduard Forero</v>
      </c>
      <c r="E152" s="2">
        <f>525000</f>
        <v>525000</v>
      </c>
      <c r="F152" s="1">
        <v>45995</v>
      </c>
      <c r="G152" t="str">
        <v>Cancelado</v>
      </c>
      <c r="H152">
        <f>IF(OR(G152="Sin pagar",G152="Pagar"),NETWORKDAYS($J$113,F152,'Festivos Colombia'!$A$3:$A$22),0)</f>
        <v>0</v>
      </c>
      <c r="I152">
        <f>NETWORKDAYS($J$113,F152,'Festivos Colombia'!$A$3:$A$22)</f>
        <v>4</v>
      </c>
      <c r="J152" s="7">
        <f>H152</f>
        <v>0</v>
      </c>
    </row>
    <row r="153" outlineLevel="1">
      <c r="A153" t="str">
        <f>G153</f>
        <v>Sin Pagar</v>
      </c>
      <c r="B153">
        <f>IF(I153&lt;=-1,1,IF(I153&lt;=5,2,IF(I153&lt;=15,3,IF(H153&lt;=60,4))))</f>
        <v>4</v>
      </c>
      <c r="C153" s="4" t="str">
        <v>219912137138</v>
      </c>
      <c r="D153" t="str">
        <v>Plan complementario Ricardo Arambulo</v>
      </c>
      <c r="E153" s="2">
        <f>804056*0</f>
        <v>0</v>
      </c>
      <c r="F153" s="1">
        <v>46024</v>
      </c>
      <c r="G153" t="str">
        <v>Sin Pagar</v>
      </c>
      <c r="H153">
        <f>IF(OR(G153="Sin pagar",G153="Pagar"),NETWORKDAYS($J$113,F153,'Festivos Colombia'!$A$3:$A$22),0)</f>
        <v>24</v>
      </c>
      <c r="I153">
        <f>NETWORKDAYS($J$113,F153,'Festivos Colombia'!$A$3:$A$22)</f>
        <v>24</v>
      </c>
      <c r="J153" s="7">
        <f>H153</f>
        <v>24</v>
      </c>
    </row>
    <row r="154" ht="14.25" customHeight="1" outlineLevel="1">
      <c r="A154" t="str">
        <f>G154</f>
        <v>Sin Pagar</v>
      </c>
      <c r="B154">
        <f>IF(I154&lt;=-1,1,IF(I154&lt;=5,2,IF(I154&lt;=15,3,IF(H154&lt;=60,4))))</f>
        <v>4</v>
      </c>
      <c r="C154" t="str">
        <v>SD0117095702</v>
      </c>
      <c r="D154" t="str">
        <v>Plan complementario Eduard Forero</v>
      </c>
      <c r="E154" s="2">
        <f>627000*0</f>
        <v>0</v>
      </c>
      <c r="F154" s="1">
        <v>46031</v>
      </c>
      <c r="G154" t="str">
        <v>Sin Pagar</v>
      </c>
      <c r="H154">
        <f>IF(OR(G154="Sin pagar",G154="Pagar"),NETWORKDAYS($J$113,F154,'Festivos Colombia'!$A$3:$A$22),0)</f>
        <v>29</v>
      </c>
      <c r="I154">
        <f>NETWORKDAYS($J$113,F154,'Festivos Colombia'!$A$3:$A$22)</f>
        <v>29</v>
      </c>
      <c r="J154" s="7">
        <f>H154</f>
        <v>29</v>
      </c>
    </row>
    <row r="155" ht="16.5" customHeight="1">
      <c r="D155" t="str">
        <v>PÓLIZAS Y SEGUROS</v>
      </c>
      <c r="E155" s="2">
        <f>SUBTOTAL(9,E156:E158)</f>
        <v>8553217</v>
      </c>
    </row>
    <row r="156" outlineLevel="1">
      <c r="A156" t="str">
        <f>G156</f>
        <v>Cancelado</v>
      </c>
      <c r="B156">
        <f>IF(I156&lt;=-1,1,IF(I156&lt;=5,2,IF(I156&lt;=15,3,IF(H156&lt;=60,4))))</f>
        <v>4</v>
      </c>
      <c r="C156">
        <v>20911202088</v>
      </c>
      <c r="D156" t="str">
        <v>Poliza Suramericana Póliza #  091000808492</v>
      </c>
      <c r="E156" s="2">
        <v>7725967</v>
      </c>
      <c r="F156" s="1">
        <v>46017</v>
      </c>
      <c r="G156" t="str">
        <v>Cancelado</v>
      </c>
      <c r="H156">
        <f>IF(OR(G156="Sin pagar",G156="Pagar"),NETWORKDAYS($J$113,F156,'Festivos Colombia'!$A$3:$A$22),0)</f>
        <v>0</v>
      </c>
      <c r="I156">
        <f>NETWORKDAYS($J$113,F156,'Festivos Colombia'!$A$3:$A$22)</f>
        <v>20</v>
      </c>
      <c r="J156" s="7">
        <f>H156</f>
        <v>0</v>
      </c>
    </row>
    <row r="157" outlineLevel="1">
      <c r="A157" t="str">
        <f>G157</f>
        <v>Cancelado</v>
      </c>
      <c r="B157">
        <f>IF(I157&lt;=-1,1,IF(I157&lt;=5,2,IF(I157&lt;=15,3,IF(H157&lt;=60,4))))</f>
        <v>4</v>
      </c>
      <c r="C157">
        <v>20833317185</v>
      </c>
      <c r="D157" t="str">
        <v>Poliza Suramericana Póliza #  083004098664</v>
      </c>
      <c r="E157" s="2">
        <v>394705</v>
      </c>
      <c r="F157" s="1">
        <v>46017</v>
      </c>
      <c r="G157" t="str">
        <v>Cancelado</v>
      </c>
      <c r="H157">
        <f>IF(OR(G157="Sin pagar",G157="Pagar"),NETWORKDAYS($J$113,F157,'Festivos Colombia'!$A$3:$A$22),0)</f>
        <v>0</v>
      </c>
      <c r="I157">
        <f>NETWORKDAYS($J$113,F157,'Festivos Colombia'!$A$3:$A$22)</f>
        <v>20</v>
      </c>
      <c r="J157" s="7">
        <f>H157</f>
        <v>0</v>
      </c>
    </row>
    <row r="158" ht="15.75" customHeight="1" outlineLevel="1">
      <c r="A158" t="str">
        <f>G158</f>
        <v>Cancelado</v>
      </c>
      <c r="B158">
        <f>IF(I158&lt;=-1,1,IF(I158&lt;=5,2,IF(I158&lt;=15,3,IF(H158&lt;=60,4))))</f>
        <v>4</v>
      </c>
      <c r="C158">
        <v>20911203020</v>
      </c>
      <c r="D158" t="str">
        <v>Poliza Suramericana Póliza #  091000808492</v>
      </c>
      <c r="E158" s="2">
        <v>432545</v>
      </c>
      <c r="F158" s="1">
        <v>46017</v>
      </c>
      <c r="G158" t="str">
        <v>Cancelado</v>
      </c>
      <c r="H158">
        <f>IF(OR(G158="Sin pagar",G158="Pagar"),NETWORKDAYS($J$113,F158,'Festivos Colombia'!$A$3:$A$22),0)</f>
        <v>0</v>
      </c>
      <c r="I158">
        <f>NETWORKDAYS($J$113,F158,'Festivos Colombia'!$A$3:$A$22)</f>
        <v>20</v>
      </c>
      <c r="J158" s="7">
        <f>H158</f>
        <v>0</v>
      </c>
    </row>
    <row r="159" ht="16.5" customHeight="1">
      <c r="D159" t="str">
        <v>SERVICIOS DE MENSAJERÍA</v>
      </c>
      <c r="E159" s="2">
        <f>SUBTOTAL(9,E160:E165)</f>
        <v>1046102</v>
      </c>
    </row>
    <row r="160" outlineLevel="1">
      <c r="A160" t="str">
        <f>G160</f>
        <v>Cancelado</v>
      </c>
      <c r="B160">
        <f>IF(I160&lt;=-1,1,IF(I160&lt;=5,2,IF(I160&lt;=15,3,IF(H160&lt;=60,4))))</f>
        <v>2</v>
      </c>
      <c r="C160">
        <v>16</v>
      </c>
      <c r="D160" t="str">
        <v>Mundo express</v>
      </c>
      <c r="E160" s="2">
        <f>115000</f>
        <v>115000</v>
      </c>
      <c r="F160" s="1">
        <v>45995</v>
      </c>
      <c r="G160" t="str">
        <v>Cancelado</v>
      </c>
      <c r="H160">
        <f>IF(OR(G160="Sin pagar",G160="Pagar"),NETWORKDAYS($J$113,F160,'Festivos Colombia'!$A$3:$A$22),0)</f>
        <v>0</v>
      </c>
      <c r="I160">
        <f>NETWORKDAYS($J$113,F160,'Festivos Colombia'!$A$3:$A$22)</f>
        <v>4</v>
      </c>
      <c r="J160" s="7">
        <f>H160</f>
        <v>0</v>
      </c>
    </row>
    <row r="161" outlineLevel="1">
      <c r="A161" t="str">
        <f>G161</f>
        <v>Cancelado</v>
      </c>
      <c r="B161">
        <f>IF(I161&lt;=-1,1,IF(I161&lt;=5,2,IF(I161&lt;=15,3,IF(H161&lt;=60,4))))</f>
        <v>3</v>
      </c>
      <c r="C161">
        <v>1</v>
      </c>
      <c r="D161" t="str">
        <v>Diana Marcela Hernandez</v>
      </c>
      <c r="E161" s="2">
        <v>297102</v>
      </c>
      <c r="F161" s="1">
        <v>46007</v>
      </c>
      <c r="G161" t="str">
        <v>Cancelado</v>
      </c>
      <c r="H161">
        <f>IF(OR(G161="Sin pagar",G161="Pagar"),NETWORKDAYS($J$113,F161,'Festivos Colombia'!$A$3:$A$22),0)</f>
        <v>0</v>
      </c>
      <c r="I161">
        <f>NETWORKDAYS($J$113,F161,'Festivos Colombia'!$A$3:$A$22)</f>
        <v>12</v>
      </c>
      <c r="J161" s="7">
        <f>H161</f>
        <v>0</v>
      </c>
    </row>
    <row r="162" outlineLevel="1">
      <c r="A162" t="str">
        <f>G162</f>
        <v>Cancelado</v>
      </c>
      <c r="B162">
        <f>IF(I162&lt;=-1,1,IF(I162&lt;=5,2,IF(I162&lt;=15,3,IF(H162&lt;=60,4))))</f>
        <v>3</v>
      </c>
      <c r="C162">
        <v>49</v>
      </c>
      <c r="D162" t="str">
        <v>Yecid Martin</v>
      </c>
      <c r="E162" s="2">
        <v>148000</v>
      </c>
      <c r="F162" s="1">
        <v>46010</v>
      </c>
      <c r="G162" t="str">
        <v>Cancelado</v>
      </c>
      <c r="H162">
        <f>IF(OR(G162="Sin pagar",G162="Pagar"),NETWORKDAYS($J$113,F162,'Festivos Colombia'!$A$3:$A$22),0)</f>
        <v>0</v>
      </c>
      <c r="I162">
        <f>NETWORKDAYS($J$113,F162,'Festivos Colombia'!$A$3:$A$22)</f>
        <v>15</v>
      </c>
      <c r="J162" s="7">
        <f>H162</f>
        <v>0</v>
      </c>
    </row>
    <row r="163" outlineLevel="1">
      <c r="A163" t="str">
        <f>G163</f>
        <v>Cancelado</v>
      </c>
      <c r="B163">
        <f>IF(I163&lt;=-1,1,IF(I163&lt;=5,2,IF(I163&lt;=15,3,IF(H163&lt;=60,4))))</f>
        <v>4</v>
      </c>
      <c r="C163">
        <v>50</v>
      </c>
      <c r="D163" t="str">
        <v>Yecid Martin</v>
      </c>
      <c r="E163" s="2">
        <v>200000</v>
      </c>
      <c r="F163" s="1">
        <v>46014</v>
      </c>
      <c r="G163" t="str">
        <v>Cancelado</v>
      </c>
      <c r="H163">
        <f>IF(OR(G163="Sin pagar",G163="Pagar"),NETWORKDAYS($J$113,F163,'Festivos Colombia'!$A$3:$A$22),0)</f>
        <v>0</v>
      </c>
      <c r="I163">
        <f>NETWORKDAYS($J$113,F163,'Festivos Colombia'!$A$3:$A$22)</f>
        <v>17</v>
      </c>
      <c r="J163" s="7">
        <f>H163</f>
        <v>0</v>
      </c>
    </row>
    <row r="164" outlineLevel="1">
      <c r="A164" t="str">
        <f>G164</f>
        <v>Cancelado</v>
      </c>
      <c r="B164">
        <f>IF(I164&lt;=-1,1,IF(I164&lt;=5,2,IF(I164&lt;=15,3,IF(H164&lt;=60,4))))</f>
        <v>4</v>
      </c>
      <c r="C164">
        <v>51</v>
      </c>
      <c r="D164" t="str">
        <v>Yecid Martin</v>
      </c>
      <c r="E164" s="2">
        <v>166000</v>
      </c>
      <c r="F164" s="1">
        <v>46017</v>
      </c>
      <c r="G164" t="str">
        <v>Cancelado</v>
      </c>
      <c r="H164">
        <f>IF(OR(G164="Sin pagar",G164="Pagar"),NETWORKDAYS($J$113,F164,'Festivos Colombia'!$A$3:$A$22),0)</f>
        <v>0</v>
      </c>
      <c r="I164">
        <f>NETWORKDAYS($J$113,F164,'Festivos Colombia'!$A$3:$A$22)</f>
        <v>20</v>
      </c>
      <c r="J164" s="7">
        <f>H164</f>
        <v>0</v>
      </c>
    </row>
    <row r="165" ht="15.75" customHeight="1" outlineLevel="1">
      <c r="A165" t="str">
        <f>G165</f>
        <v>Cancelado</v>
      </c>
      <c r="B165">
        <f>IF(I165&lt;=-1,1,IF(I165&lt;=5,2,IF(I165&lt;=15,3,IF(H165&lt;=60,4))))</f>
        <v>4</v>
      </c>
      <c r="C165">
        <v>52</v>
      </c>
      <c r="D165" t="str">
        <v>Yecid Martin</v>
      </c>
      <c r="E165" s="2">
        <v>120000</v>
      </c>
      <c r="F165" s="1">
        <v>46021</v>
      </c>
      <c r="G165" t="str">
        <v>Cancelado</v>
      </c>
      <c r="H165">
        <f>IF(OR(G165="Sin pagar",G165="Pagar"),NETWORKDAYS($J$113,F165,'Festivos Colombia'!$A$3:$A$22),0)</f>
        <v>0</v>
      </c>
      <c r="I165">
        <f>NETWORKDAYS($J$113,F165,'Festivos Colombia'!$A$3:$A$22)</f>
        <v>22</v>
      </c>
      <c r="J165" s="7">
        <f>H165</f>
        <v>0</v>
      </c>
    </row>
    <row r="166" ht="15.75" customHeight="1">
      <c r="D166" t="str">
        <v>REEMBOLSO SAIPEM</v>
      </c>
      <c r="E166" s="2">
        <f>SUBTOTAL(9,E167:E168)</f>
        <v>428600</v>
      </c>
    </row>
    <row r="167" outlineLevel="1">
      <c r="D167" t="str">
        <v>Reembolso Augusto Sierra-Saipem</v>
      </c>
      <c r="E167" s="2">
        <v>368600</v>
      </c>
      <c r="F167" s="1">
        <v>46007</v>
      </c>
      <c r="G167" t="str">
        <v>Cancelado</v>
      </c>
      <c r="H167">
        <f>IF(OR(G167="Sin pagar",G167="Pagar"),NETWORKDAYS($J$113,F167,'Festivos Colombia'!$A$3:$A$22),0)</f>
        <v>0</v>
      </c>
      <c r="I167">
        <f>NETWORKDAYS($J$113,F167,'Festivos Colombia'!$A$3:$A$22)</f>
        <v>12</v>
      </c>
      <c r="J167" s="7">
        <f>H167</f>
        <v>0</v>
      </c>
    </row>
    <row r="168" ht="15.75" customHeight="1" outlineLevel="1">
      <c r="D168" t="str">
        <v>Servicio de traducción</v>
      </c>
      <c r="E168" s="2">
        <v>60000</v>
      </c>
      <c r="F168" s="1">
        <v>46007</v>
      </c>
      <c r="G168" t="str">
        <v>Cancelado</v>
      </c>
      <c r="H168">
        <f>IF(OR(G168="Sin pagar",G168="Pagar"),NETWORKDAYS($J$113,F168,'Festivos Colombia'!$A$3:$A$22),0)</f>
        <v>0</v>
      </c>
      <c r="I168">
        <f>NETWORKDAYS($J$113,F168,'Festivos Colombia'!$A$3:$A$22)</f>
        <v>12</v>
      </c>
      <c r="J168" s="7">
        <f>H168</f>
        <v>0</v>
      </c>
    </row>
    <row r="169" ht="16.5" customHeight="1">
      <c r="D169" t="str">
        <v>EXAMENES MÉDICOS SAIPEM y OTROS</v>
      </c>
      <c r="E169" s="2">
        <f>SUBTOTAL(9,E170:E172)</f>
        <v>9861166</v>
      </c>
    </row>
    <row r="170" outlineLevel="1">
      <c r="D170" t="str">
        <v>Examenes médicos de control personal Saipem</v>
      </c>
      <c r="E170" s="2">
        <v>6012906</v>
      </c>
      <c r="F170" s="1">
        <v>46002</v>
      </c>
      <c r="G170" t="str">
        <v>Cancelado</v>
      </c>
      <c r="H170">
        <f>IF(OR(G170="Sin pagar",G170="Pagar"),NETWORKDAYS($J$113,F170,'Festivos Colombia'!$A$3:$A$22),0)</f>
        <v>0</v>
      </c>
      <c r="I170">
        <f>NETWORKDAYS($J$113,F170,'Festivos Colombia'!$A$3:$A$22)</f>
        <v>9</v>
      </c>
      <c r="J170" s="7">
        <f>H170</f>
        <v>0</v>
      </c>
    </row>
    <row r="171" outlineLevel="1">
      <c r="D171" t="str">
        <v>Examenes médicos de control Luis Angel Copete -  Saipem</v>
      </c>
      <c r="E171" s="2">
        <v>1843958</v>
      </c>
      <c r="F171" s="1">
        <v>46007</v>
      </c>
      <c r="G171" t="str">
        <v>Cancelado</v>
      </c>
      <c r="H171">
        <f>IF(OR(G171="Sin pagar",G171="Pagar"),NETWORKDAYS($J$113,F171,'Festivos Colombia'!$A$3:$A$22),0)</f>
        <v>0</v>
      </c>
      <c r="I171">
        <f>NETWORKDAYS($J$113,F171,'Festivos Colombia'!$A$3:$A$22)</f>
        <v>12</v>
      </c>
      <c r="J171" s="7">
        <f>H171</f>
        <v>0</v>
      </c>
    </row>
    <row r="172" ht="15.75" customHeight="1" outlineLevel="1">
      <c r="D172" t="str">
        <v>Examenes médicos de control Armando de Jesus Hincapie -  Saipem</v>
      </c>
      <c r="E172" s="2">
        <v>2004302</v>
      </c>
      <c r="F172" s="1">
        <v>46024</v>
      </c>
      <c r="G172" t="str">
        <v>Cancelado</v>
      </c>
      <c r="H172">
        <f>IF(OR(G172="Sin pagar",G172="Pagar"),NETWORKDAYS($J$113,F172,'Festivos Colombia'!$A$3:$A$22),0)</f>
        <v>0</v>
      </c>
      <c r="I172">
        <f>NETWORKDAYS($J$113,F172,'Festivos Colombia'!$A$3:$A$22)</f>
        <v>24</v>
      </c>
      <c r="J172" s="7">
        <f>H172</f>
        <v>0</v>
      </c>
    </row>
    <row r="173" ht="16.5" customHeight="1">
      <c r="D173" t="str">
        <v>TIQUETES AÉREOS , HOTELES SAIPEM-AECID</v>
      </c>
      <c r="E173" s="2">
        <f>SUBTOTAL(9,E174:E181)</f>
        <v>14164743</v>
      </c>
    </row>
    <row r="174" outlineLevel="1">
      <c r="D174" t="str">
        <v>Tiquete y hotel Sandra de los rios comision de servicio 10-11 Dic-AECID</v>
      </c>
      <c r="E174" s="2">
        <f>860538+560000</f>
        <v>1420538</v>
      </c>
      <c r="F174" s="1">
        <v>45995</v>
      </c>
      <c r="G174" t="str">
        <v>Cancelado</v>
      </c>
      <c r="H174">
        <f>IF(OR(G174="Sin pagar",G174="Pagar"),NETWORKDAYS($J$113,F174,'Festivos Colombia'!$A$3:$A$22),0)</f>
        <v>0</v>
      </c>
      <c r="I174">
        <f>NETWORKDAYS($J$113,F174,'Festivos Colombia'!$A$3:$A$22)</f>
        <v>4</v>
      </c>
      <c r="J174" s="7">
        <f>H174</f>
        <v>0</v>
      </c>
    </row>
    <row r="175" outlineLevel="1">
      <c r="D175" t="str">
        <v>Tiquete y hotel mercedes Alvarez comision de servicio 9-11 Dic-AECID</v>
      </c>
      <c r="E175" s="2">
        <f>1164090+740000</f>
        <v>1904090</v>
      </c>
      <c r="F175" s="1">
        <v>45995</v>
      </c>
      <c r="G175" t="str">
        <v>Cancelado</v>
      </c>
      <c r="H175">
        <f>IF(OR(G175="Sin pagar",G175="Pagar"),NETWORKDAYS($J$113,F175,'Festivos Colombia'!$A$3:$A$22),0)</f>
        <v>0</v>
      </c>
      <c r="I175">
        <f>NETWORKDAYS($J$113,F175,'Festivos Colombia'!$A$3:$A$22)</f>
        <v>4</v>
      </c>
      <c r="J175" s="7">
        <f>H175</f>
        <v>0</v>
      </c>
    </row>
    <row r="176" outlineLevel="1">
      <c r="D176" t="str">
        <v>Tiquete a montería Victor José Pérez Saipem</v>
      </c>
      <c r="E176" s="2">
        <v>837870</v>
      </c>
      <c r="F176" s="1">
        <v>46000</v>
      </c>
      <c r="G176" t="str">
        <v>Cancelado</v>
      </c>
      <c r="H176">
        <f>IF(OR(G176="Sin pagar",G176="Pagar"),NETWORKDAYS($J$113,F176,'Festivos Colombia'!$A$3:$A$22),0)</f>
        <v>0</v>
      </c>
      <c r="I176">
        <f>NETWORKDAYS($J$113,F176,'Festivos Colombia'!$A$3:$A$22)</f>
        <v>7</v>
      </c>
      <c r="J176" s="7">
        <f>H176</f>
        <v>0</v>
      </c>
    </row>
    <row r="177" outlineLevel="1">
      <c r="D177" t="str">
        <v>Tiquetes monteria-bogotá y vsa junto Hoteles Victor José empleados de Saipem</v>
      </c>
      <c r="E177" s="2">
        <v>4392232</v>
      </c>
      <c r="F177" s="1">
        <v>46002</v>
      </c>
      <c r="G177" t="str">
        <v>Cancelado</v>
      </c>
      <c r="H177">
        <f>IF(OR(G177="Sin pagar",G177="Pagar"),NETWORKDAYS($J$113,F177,'Festivos Colombia'!$A$3:$A$22),0)</f>
        <v>0</v>
      </c>
      <c r="I177">
        <f>NETWORKDAYS($J$113,F177,'Festivos Colombia'!$A$3:$A$22)</f>
        <v>9</v>
      </c>
      <c r="J177" s="7">
        <f>H177</f>
        <v>0</v>
      </c>
    </row>
    <row r="178" outlineLevel="1">
      <c r="D178" t="str">
        <v>Tiquetes monteria-bogotá y vsa junto Hoteles Luis Angel Copete - Saipem</v>
      </c>
      <c r="E178" s="2">
        <v>1675574</v>
      </c>
      <c r="F178" s="1">
        <v>46008</v>
      </c>
      <c r="G178" t="str">
        <v>Cancelado</v>
      </c>
    </row>
    <row r="179" outlineLevel="1">
      <c r="D179" t="str">
        <v>Tiquetes monteria-bogotá y vsa junto Hoteles Luis Angel Copete - Saipem (cambio)</v>
      </c>
      <c r="E179" s="2">
        <v>1096264</v>
      </c>
      <c r="F179" s="1">
        <v>46013</v>
      </c>
      <c r="G179" t="str">
        <v>Cancelado</v>
      </c>
      <c r="H179">
        <f>IF(OR(G179="Sin pagar",G179="Pagar"),NETWORKDAYS($J$113,F179,'Festivos Colombia'!$A$3:$A$22),0)</f>
        <v>0</v>
      </c>
      <c r="I179">
        <f>NETWORKDAYS($J$113,F179,'Festivos Colombia'!$A$3:$A$22)</f>
        <v>16</v>
      </c>
      <c r="J179" s="7">
        <f>H179</f>
        <v>0</v>
      </c>
    </row>
    <row r="180" outlineLevel="1">
      <c r="D180" t="str">
        <v xml:space="preserve">Tiquetes monteria-bogotá y vsa junto Hoteles Luis Angel Copete - Saipem </v>
      </c>
      <c r="E180" s="2">
        <v>1498325</v>
      </c>
      <c r="F180" s="1">
        <v>46021</v>
      </c>
      <c r="G180" t="str">
        <v>Cancelado</v>
      </c>
      <c r="H180">
        <f>IF(OR(G180="Sin pagar",G180="Pagar"),NETWORKDAYS($J$113,F180,'Festivos Colombia'!$A$3:$A$22),0)</f>
        <v>0</v>
      </c>
      <c r="I180">
        <f>NETWORKDAYS($J$113,F180,'Festivos Colombia'!$A$3:$A$22)</f>
        <v>22</v>
      </c>
      <c r="J180" s="7">
        <f>H180</f>
        <v>0</v>
      </c>
    </row>
    <row r="181" ht="15.75" customHeight="1" outlineLevel="1">
      <c r="D181" t="str">
        <v xml:space="preserve">Tiquetes Medellin-bogotá y vsa junto Hoteles Armando Jesus Hincapie Vergara- Saipem </v>
      </c>
      <c r="E181" s="2">
        <v>1339850</v>
      </c>
      <c r="F181" s="1">
        <v>46027</v>
      </c>
      <c r="G181" t="str">
        <v>Cancelado</v>
      </c>
      <c r="H181">
        <f>IF(OR(G181="Sin pagar",G181="Pagar"),NETWORKDAYS($J$113,F181,'Festivos Colombia'!$A$3:$A$22),0)</f>
        <v>0</v>
      </c>
      <c r="I181">
        <f>NETWORKDAYS($J$113,F181,'Festivos Colombia'!$A$3:$A$22)</f>
        <v>25</v>
      </c>
      <c r="J181" s="7">
        <f>H181</f>
        <v>0</v>
      </c>
    </row>
    <row r="182" ht="16.5" customHeight="1">
      <c r="D182" t="str">
        <v>REEMBOLSOS REMOFIRST-YON YOU-AECID</v>
      </c>
      <c r="E182" s="2">
        <f>SUBTOTAL(9,E183:E200)</f>
        <v>12880330.79</v>
      </c>
      <c r="H182">
        <f>IF(OR(G182="Sin pagar",G182="Pagar"),NETWORKDAYS($J$113,F182,'Festivos Colombia'!$A$3:$A$22),0)</f>
        <v>0</v>
      </c>
      <c r="I182">
        <f>NETWORKDAYS($J$113,F182,'Festivos Colombia'!$A$3:$A$22)</f>
        <v>-32851</v>
      </c>
    </row>
    <row r="183" outlineLevel="1">
      <c r="A183" t="str">
        <f>G183</f>
        <v>Cancelado</v>
      </c>
      <c r="B183">
        <f>IF(I183&lt;=-1,1,IF(I183&lt;=5,2,IF(I183&lt;=15,3,IF(H183&lt;=60,4))))</f>
        <v>2</v>
      </c>
      <c r="D183" t="str">
        <v>Reembolso Sandra Mojica comisión Santa Marta Noviembre  9 y 10 AECID</v>
      </c>
      <c r="E183" s="2">
        <v>205000</v>
      </c>
      <c r="F183" s="1">
        <v>45993</v>
      </c>
      <c r="G183" t="str">
        <v>Cancelado</v>
      </c>
      <c r="H183">
        <f>IF(OR(G183="Sin pagar",G183="Pagar"),NETWORKDAYS($J$113,F183,'Festivos Colombia'!$A$3:$A$22),0)</f>
        <v>0</v>
      </c>
      <c r="I183">
        <f>NETWORKDAYS($J$113,F183,'Festivos Colombia'!$A$3:$A$22)</f>
        <v>2</v>
      </c>
      <c r="J183" s="7">
        <f>H183</f>
        <v>0</v>
      </c>
    </row>
    <row r="184" outlineLevel="1">
      <c r="A184" t="str">
        <f>G184</f>
        <v>Cancelado</v>
      </c>
      <c r="B184">
        <f>IF(I184&lt;=-1,1,IF(I184&lt;=5,2,IF(I184&lt;=15,3,IF(H184&lt;=60,4))))</f>
        <v>2</v>
      </c>
      <c r="D184" t="str">
        <v>Reembolso Sandra Mojica comisión Cali 26-26 Noviembre AECID</v>
      </c>
      <c r="E184" s="2">
        <v>205100</v>
      </c>
      <c r="F184" s="1">
        <v>45993</v>
      </c>
      <c r="G184" t="str">
        <v>Cancelado</v>
      </c>
      <c r="H184">
        <f>IF(OR(G184="Sin pagar",G184="Pagar"),NETWORKDAYS($J$113,F184,'Festivos Colombia'!$A$3:$A$22),0)</f>
        <v>0</v>
      </c>
      <c r="I184">
        <f>NETWORKDAYS($J$113,F184,'Festivos Colombia'!$A$3:$A$22)</f>
        <v>2</v>
      </c>
      <c r="J184" s="7">
        <f>H184</f>
        <v>0</v>
      </c>
    </row>
    <row r="185" outlineLevel="1">
      <c r="A185" t="str">
        <f>G185</f>
        <v>Cancelado</v>
      </c>
      <c r="B185">
        <f>IF(I185&lt;=-1,1,IF(I185&lt;=5,2,IF(I185&lt;=15,3,IF(H185&lt;=60,4))))</f>
        <v>2</v>
      </c>
      <c r="D185" t="str">
        <v>Reembolso Mercedes Alvarez comisión Tumaco 27-30 OctubreAECID</v>
      </c>
      <c r="E185" s="2">
        <v>575000</v>
      </c>
      <c r="F185" s="1">
        <v>45993</v>
      </c>
      <c r="G185" t="str">
        <v>Cancelado</v>
      </c>
      <c r="H185">
        <f>IF(OR(G185="Sin pagar",G185="Pagar"),NETWORKDAYS($J$113,F185,'Festivos Colombia'!$A$3:$A$22),0)</f>
        <v>0</v>
      </c>
      <c r="I185">
        <f>NETWORKDAYS($J$113,F185,'Festivos Colombia'!$A$3:$A$22)</f>
        <v>2</v>
      </c>
      <c r="J185" s="7">
        <f>H185</f>
        <v>0</v>
      </c>
    </row>
    <row r="186" outlineLevel="1">
      <c r="A186" t="str">
        <f>G186</f>
        <v>Cancelado</v>
      </c>
      <c r="B186">
        <f>IF(I186&lt;=-1,1,IF(I186&lt;=5,2,IF(I186&lt;=15,3,IF(H186&lt;=60,4))))</f>
        <v>3</v>
      </c>
      <c r="D186" t="str">
        <v>Reembolso Sandra de los Rios-Comision Bucaramanga 10-11 Diciembre-AECID</v>
      </c>
      <c r="E186" s="2">
        <v>356000</v>
      </c>
      <c r="F186" s="1">
        <v>46007</v>
      </c>
      <c r="G186" t="str">
        <v>Cancelado</v>
      </c>
      <c r="H186">
        <f>IF(OR(G186="Sin pagar",G186="Pagar"),NETWORKDAYS($J$113,F186,'Festivos Colombia'!$A$3:$A$22),0)</f>
        <v>0</v>
      </c>
      <c r="I186">
        <f>NETWORKDAYS($J$113,F186,'Festivos Colombia'!$A$3:$A$22)</f>
        <v>12</v>
      </c>
      <c r="J186" s="7">
        <f>H186</f>
        <v>0</v>
      </c>
    </row>
    <row r="187" outlineLevel="1">
      <c r="A187" t="str">
        <f>G187</f>
        <v>Cancelado</v>
      </c>
      <c r="B187">
        <f>IF(I187&lt;=-1,1,IF(I187&lt;=5,2,IF(I187&lt;=15,3,IF(H187&lt;=60,4))))</f>
        <v>4</v>
      </c>
      <c r="D187" t="str">
        <v>Reembolso Mercedes Alvarez-Comision Pasto 9-11 Diciembre-AECID</v>
      </c>
      <c r="E187" s="2">
        <v>469000</v>
      </c>
      <c r="F187" s="1">
        <v>46014</v>
      </c>
      <c r="G187" t="str">
        <v>Cancelado</v>
      </c>
      <c r="H187">
        <f>IF(OR(G187="Sin pagar",G187="Pagar"),NETWORKDAYS($J$113,F187,'Festivos Colombia'!$A$3:$A$22),0)</f>
        <v>0</v>
      </c>
      <c r="I187">
        <f>NETWORKDAYS($J$113,F187,'Festivos Colombia'!$A$3:$A$22)</f>
        <v>17</v>
      </c>
      <c r="J187" s="7">
        <f>H187</f>
        <v>0</v>
      </c>
    </row>
    <row r="188" outlineLevel="1">
      <c r="A188" t="str">
        <f>G188</f>
        <v>Cancelado</v>
      </c>
      <c r="B188">
        <f>IF(I188&lt;=-1,1,IF(I188&lt;=5,2,IF(I188&lt;=15,3,IF(H188&lt;=60,4))))</f>
        <v>4</v>
      </c>
      <c r="D188" t="str">
        <v>Reembolso paula alejandra moreno navarro C1052 - Yonyou</v>
      </c>
      <c r="E188" s="2">
        <v>920297</v>
      </c>
      <c r="F188" s="1">
        <v>46017</v>
      </c>
      <c r="G188" t="str">
        <v>Cancelado</v>
      </c>
      <c r="H188">
        <f>IF(OR(G188="Sin pagar",G188="Pagar"),NETWORKDAYS($J$113,F188,'Festivos Colombia'!$A$3:$A$22),0)</f>
        <v>0</v>
      </c>
      <c r="I188">
        <f>NETWORKDAYS($J$113,F188,'Festivos Colombia'!$A$3:$A$22)</f>
        <v>20</v>
      </c>
      <c r="J188" s="7">
        <f>H188</f>
        <v>0</v>
      </c>
    </row>
    <row r="189" outlineLevel="1">
      <c r="A189" t="str">
        <f>G189</f>
        <v>Cancelado</v>
      </c>
      <c r="B189">
        <f>IF(I189&lt;=-1,1,IF(I189&lt;=5,2,IF(I189&lt;=15,3,IF(H189&lt;=60,4))))</f>
        <v>4</v>
      </c>
      <c r="D189" t="str">
        <v>Reembolso sonia rocio quintanilla quintero C1052 - Yonyou</v>
      </c>
      <c r="E189" s="2">
        <v>3841107.33</v>
      </c>
      <c r="F189" s="1">
        <v>46017</v>
      </c>
      <c r="G189" t="str">
        <v>Cancelado</v>
      </c>
      <c r="H189">
        <f>IF(OR(G189="Sin pagar",G189="Pagar"),NETWORKDAYS($J$113,F189,'Festivos Colombia'!$A$3:$A$22),0)</f>
        <v>0</v>
      </c>
      <c r="I189">
        <f>NETWORKDAYS($J$113,F189,'Festivos Colombia'!$A$3:$A$22)</f>
        <v>20</v>
      </c>
      <c r="J189" s="7">
        <f>H189</f>
        <v>0</v>
      </c>
    </row>
    <row r="190" outlineLevel="1">
      <c r="A190" t="str">
        <f>G190</f>
        <v>Cancelado</v>
      </c>
      <c r="B190">
        <f>IF(I190&lt;=-1,1,IF(I190&lt;=5,2,IF(I190&lt;=15,3,IF(H190&lt;=60,4))))</f>
        <v>4</v>
      </c>
      <c r="D190" t="str">
        <v>Reembolso cindy carolina leguizamon clavijo 25 - Remofirst - ISLAMIC RELIEF</v>
      </c>
      <c r="E190" s="2">
        <v>12085.51</v>
      </c>
      <c r="F190" s="1">
        <v>46017</v>
      </c>
      <c r="G190" t="str">
        <v>Cancelado</v>
      </c>
      <c r="H190">
        <f>IF(OR(G190="Sin pagar",G190="Pagar"),NETWORKDAYS($J$113,F190,'Festivos Colombia'!$A$3:$A$22),0)</f>
        <v>0</v>
      </c>
      <c r="I190">
        <f>NETWORKDAYS($J$113,F190,'Festivos Colombia'!$A$3:$A$22)</f>
        <v>20</v>
      </c>
      <c r="J190" s="7">
        <f>H190</f>
        <v>0</v>
      </c>
    </row>
    <row r="191" outlineLevel="1">
      <c r="A191" t="str">
        <f>G191</f>
        <v>Cancelado</v>
      </c>
      <c r="B191">
        <f>IF(I191&lt;=-1,1,IF(I191&lt;=5,2,IF(I191&lt;=15,3,IF(H191&lt;=60,4))))</f>
        <v>4</v>
      </c>
      <c r="D191" t="str">
        <v>Reembolso maria alejandra pabon aranguren 25 - Remofirst - ISLAMIC RELIEF</v>
      </c>
      <c r="E191" s="2">
        <v>508808.87</v>
      </c>
      <c r="F191" s="1">
        <v>46017</v>
      </c>
      <c r="G191" t="str">
        <v>Cancelado</v>
      </c>
      <c r="H191">
        <f>IF(OR(G191="Sin pagar",G191="Pagar"),NETWORKDAYS($J$113,F191,'Festivos Colombia'!$A$3:$A$22),0)</f>
        <v>0</v>
      </c>
      <c r="I191">
        <f>NETWORKDAYS($J$113,F191,'Festivos Colombia'!$A$3:$A$22)</f>
        <v>20</v>
      </c>
      <c r="J191" s="7">
        <f>H191</f>
        <v>0</v>
      </c>
    </row>
    <row r="192" outlineLevel="1">
      <c r="A192" t="str">
        <f>G192</f>
        <v>Cancelado</v>
      </c>
      <c r="B192">
        <f>IF(I192&lt;=-1,1,IF(I192&lt;=5,2,IF(I192&lt;=15,3,IF(H192&lt;=60,4))))</f>
        <v>4</v>
      </c>
      <c r="D192" t="str">
        <v>Reembolso emma soraya rojas navarrete 25 - Remofirst - ISLAMIC RELIEF</v>
      </c>
      <c r="E192" s="2">
        <v>244583.71</v>
      </c>
      <c r="F192" s="1">
        <v>46017</v>
      </c>
      <c r="G192" t="str">
        <v>Cancelado</v>
      </c>
      <c r="H192">
        <f>IF(OR(G192="Sin pagar",G192="Pagar"),NETWORKDAYS($J$113,F192,'Festivos Colombia'!$A$3:$A$22),0)</f>
        <v>0</v>
      </c>
      <c r="I192">
        <f>NETWORKDAYS($J$113,F192,'Festivos Colombia'!$A$3:$A$22)</f>
        <v>20</v>
      </c>
      <c r="J192" s="7">
        <f>H192</f>
        <v>0</v>
      </c>
    </row>
    <row r="193" outlineLevel="1">
      <c r="A193" t="str">
        <f>G193</f>
        <v>Cancelado</v>
      </c>
      <c r="B193">
        <f>IF(I193&lt;=-1,1,IF(I193&lt;=5,2,IF(I193&lt;=15,3,IF(H193&lt;=60,4))))</f>
        <v>4</v>
      </c>
      <c r="D193" t="str">
        <v>Reembolso sofia  name parada 25 - Remofirst - ISLAMIC RELIEF</v>
      </c>
      <c r="E193" s="2">
        <v>923696</v>
      </c>
      <c r="F193" s="1">
        <v>46017</v>
      </c>
      <c r="G193" t="str">
        <v>Cancelado</v>
      </c>
      <c r="H193">
        <f>IF(OR(G193="Sin pagar",G193="Pagar"),NETWORKDAYS($J$113,F193,'Festivos Colombia'!$A$3:$A$22),0)</f>
        <v>0</v>
      </c>
      <c r="I193">
        <f>NETWORKDAYS($J$113,F193,'Festivos Colombia'!$A$3:$A$22)</f>
        <v>20</v>
      </c>
      <c r="J193" s="7">
        <f>H193</f>
        <v>0</v>
      </c>
    </row>
    <row r="194" outlineLevel="1">
      <c r="A194" t="str">
        <f>G194</f>
        <v>Cancelado</v>
      </c>
      <c r="B194">
        <f>IF(I194&lt;=-1,1,IF(I194&lt;=5,2,IF(I194&lt;=15,3,IF(H194&lt;=60,4))))</f>
        <v>4</v>
      </c>
      <c r="D194" t="str">
        <v>Reembolso gloria paulina corredor cifuentes 25 - Remofirst - ISLAMIC RELIEF</v>
      </c>
      <c r="E194" s="2">
        <v>512000</v>
      </c>
      <c r="F194" s="1">
        <v>46017</v>
      </c>
      <c r="G194" t="str">
        <v>Cancelado</v>
      </c>
      <c r="H194">
        <f>IF(OR(G194="Sin pagar",G194="Pagar"),NETWORKDAYS($J$113,F194,'Festivos Colombia'!$A$3:$A$22),0)</f>
        <v>0</v>
      </c>
      <c r="I194">
        <f>NETWORKDAYS($J$113,F194,'Festivos Colombia'!$A$3:$A$22)</f>
        <v>20</v>
      </c>
      <c r="J194" s="7">
        <f>H194</f>
        <v>0</v>
      </c>
    </row>
    <row r="195" outlineLevel="1">
      <c r="A195" t="str">
        <f>G195</f>
        <v>Cancelado</v>
      </c>
      <c r="B195">
        <f>IF(I195&lt;=-1,1,IF(I195&lt;=5,2,IF(I195&lt;=15,3,IF(H195&lt;=60,4))))</f>
        <v>4</v>
      </c>
      <c r="D195" t="str">
        <v>Reembolso sandra lucia barrios   angulo 38 - Remofirst - Quantic Vision, S.A</v>
      </c>
      <c r="E195" s="2">
        <v>173950</v>
      </c>
      <c r="F195" s="1">
        <v>46017</v>
      </c>
      <c r="G195" t="str">
        <v>Cancelado</v>
      </c>
      <c r="H195">
        <f>IF(OR(G195="Sin pagar",G195="Pagar"),NETWORKDAYS($J$113,F195,'Festivos Colombia'!$A$3:$A$22),0)</f>
        <v>0</v>
      </c>
      <c r="I195">
        <f>NETWORKDAYS($J$113,F195,'Festivos Colombia'!$A$3:$A$22)</f>
        <v>20</v>
      </c>
      <c r="J195" s="7">
        <f>H195</f>
        <v>0</v>
      </c>
    </row>
    <row r="196" outlineLevel="1">
      <c r="A196" t="str">
        <f>G196</f>
        <v>Cancelado</v>
      </c>
      <c r="B196">
        <f>IF(I196&lt;=-1,1,IF(I196&lt;=5,2,IF(I196&lt;=15,3,IF(H196&lt;=60,4))))</f>
        <v>4</v>
      </c>
      <c r="D196" t="str">
        <v xml:space="preserve">Reembolso Alejandra  carrillo cambas C1029 - Insider </v>
      </c>
      <c r="E196" s="2">
        <v>546442.08</v>
      </c>
      <c r="F196" s="1">
        <v>46021</v>
      </c>
      <c r="G196" t="str">
        <v>Cancelado</v>
      </c>
      <c r="H196">
        <f>IF(OR(G196="Sin pagar",G196="Pagar"),NETWORKDAYS($J$113,F196,'Festivos Colombia'!$A$3:$A$22),0)</f>
        <v>0</v>
      </c>
      <c r="I196">
        <f>NETWORKDAYS($J$113,F196,'Festivos Colombia'!$A$3:$A$22)</f>
        <v>22</v>
      </c>
      <c r="J196" s="7">
        <f>H196</f>
        <v>0</v>
      </c>
    </row>
    <row r="197" outlineLevel="1">
      <c r="A197" t="str">
        <f>G197</f>
        <v>Cancelado</v>
      </c>
      <c r="B197">
        <f>IF(I197&lt;=-1,1,IF(I197&lt;=5,2,IF(I197&lt;=15,3,IF(H197&lt;=60,4))))</f>
        <v>4</v>
      </c>
      <c r="D197" t="str">
        <v xml:space="preserve">Reembolso David andres suta delgado C1029 - Insider </v>
      </c>
      <c r="E197" s="2">
        <v>1220777</v>
      </c>
      <c r="F197" s="1">
        <v>46021</v>
      </c>
      <c r="G197" t="str">
        <v>Cancelado</v>
      </c>
      <c r="H197">
        <f>IF(OR(G197="Sin pagar",G197="Pagar"),NETWORKDAYS($J$113,F197,'Festivos Colombia'!$A$3:$A$22),0)</f>
        <v>0</v>
      </c>
      <c r="I197">
        <f>NETWORKDAYS($J$113,F197,'Festivos Colombia'!$A$3:$A$22)</f>
        <v>22</v>
      </c>
      <c r="J197" s="7">
        <f>H197</f>
        <v>0</v>
      </c>
    </row>
    <row r="198" outlineLevel="1">
      <c r="A198" t="str">
        <f>G198</f>
        <v>Cancelado</v>
      </c>
      <c r="B198">
        <f>IF(I198&lt;=-1,1,IF(I198&lt;=5,2,IF(I198&lt;=15,3,IF(H198&lt;=60,4))))</f>
        <v>4</v>
      </c>
      <c r="D198" t="str">
        <v xml:space="preserve">Reembolso Gabriela ysabel diaz correa C1029 - Insider </v>
      </c>
      <c r="E198" s="2">
        <v>723763.94</v>
      </c>
      <c r="F198" s="1">
        <v>46021</v>
      </c>
      <c r="G198" t="str">
        <v>Cancelado</v>
      </c>
      <c r="H198">
        <f>IF(OR(G198="Sin pagar",G198="Pagar"),NETWORKDAYS($J$113,F198,'Festivos Colombia'!$A$3:$A$22),0)</f>
        <v>0</v>
      </c>
      <c r="I198">
        <f>NETWORKDAYS($J$113,F198,'Festivos Colombia'!$A$3:$A$22)</f>
        <v>22</v>
      </c>
      <c r="J198" s="7">
        <f>H198</f>
        <v>0</v>
      </c>
    </row>
    <row r="199" outlineLevel="1">
      <c r="A199" t="str">
        <f>G199</f>
        <v>Cancelado</v>
      </c>
      <c r="B199">
        <f>IF(I199&lt;=-1,1,IF(I199&lt;=5,2,IF(I199&lt;=15,3,IF(H199&lt;=60,4))))</f>
        <v>4</v>
      </c>
      <c r="D199" t="str">
        <v xml:space="preserve">Reembolso Nathali  fandiño ruiz C1029 - Insider </v>
      </c>
      <c r="E199" s="2">
        <v>491492</v>
      </c>
      <c r="F199" s="1">
        <v>46021</v>
      </c>
      <c r="G199" t="str">
        <v>Cancelado</v>
      </c>
      <c r="H199">
        <f>IF(OR(G199="Sin pagar",G199="Pagar"),NETWORKDAYS($J$113,F199,'Festivos Colombia'!$A$3:$A$22),0)</f>
        <v>0</v>
      </c>
      <c r="I199">
        <f>NETWORKDAYS($J$113,F199,'Festivos Colombia'!$A$3:$A$22)</f>
        <v>22</v>
      </c>
      <c r="J199" s="7">
        <f>H199</f>
        <v>0</v>
      </c>
    </row>
    <row r="200" ht="15.75" customHeight="1" outlineLevel="1">
      <c r="A200" t="str">
        <f>G200</f>
        <v>Cancelado</v>
      </c>
      <c r="B200">
        <f>IF(I200&lt;=-1,1,IF(I200&lt;=5,2,IF(I200&lt;=15,3,IF(H200&lt;=60,4))))</f>
        <v>4</v>
      </c>
      <c r="D200" t="str">
        <v xml:space="preserve">Reembolso Sebastian  tellez zuluaga C1029 - Insider </v>
      </c>
      <c r="E200" s="2">
        <v>951227.35</v>
      </c>
      <c r="F200" s="1">
        <v>46021</v>
      </c>
      <c r="G200" t="str">
        <v>Cancelado</v>
      </c>
      <c r="H200">
        <f>IF(OR(G200="Sin pagar",G200="Pagar"),NETWORKDAYS($J$113,F200,'Festivos Colombia'!$A$3:$A$22),0)</f>
        <v>0</v>
      </c>
      <c r="I200">
        <f>NETWORKDAYS($J$113,F200,'Festivos Colombia'!$A$3:$A$22)</f>
        <v>22</v>
      </c>
      <c r="J200" s="7">
        <f>H200</f>
        <v>0</v>
      </c>
    </row>
    <row r="201" ht="16.5" customHeight="1">
      <c r="D201" t="str">
        <v>REEMBOLSOS INSIDER</v>
      </c>
      <c r="E201" s="2">
        <f>SUBTOTAL(9,E202:E202)</f>
        <v>0</v>
      </c>
    </row>
    <row r="202" ht="15.75" customHeight="1" outlineLevel="1">
      <c r="A202" t="str">
        <f>G202</f>
        <v>Cancelado</v>
      </c>
      <c r="B202">
        <f>IF(I202&lt;=-1,1,IF(I202&lt;=5,2,IF(I202&lt;=15,3,IF(H202&lt;=60,4))))</f>
        <v>4</v>
      </c>
      <c r="D202" t="str">
        <v>Reembolso previsto Insider</v>
      </c>
      <c r="E202" s="2">
        <v>0</v>
      </c>
      <c r="F202" s="1">
        <v>46021</v>
      </c>
      <c r="G202" t="str">
        <v>Cancelado</v>
      </c>
      <c r="H202">
        <f>IF(OR(G202="Sin pagar",G202="Pagar"),NETWORKDAYS($J$113,F202,'Festivos Colombia'!$A$3:$A$22),0)</f>
        <v>0</v>
      </c>
      <c r="I202">
        <f>NETWORKDAYS($J$113,F202,'Festivos Colombia'!$A$3:$A$22)</f>
        <v>22</v>
      </c>
      <c r="J202" s="7">
        <f>H202</f>
        <v>0</v>
      </c>
    </row>
    <row r="203" ht="15.75" customHeight="1">
      <c r="D203" t="str">
        <v>ASESORÍAS</v>
      </c>
      <c r="E203" s="2">
        <f>SUBTOTAL(9,E204:E230)</f>
        <v>27337427.5241</v>
      </c>
    </row>
    <row r="204" ht="14.25" customHeight="1" outlineLevel="1">
      <c r="A204" t="str">
        <f>G204</f>
        <v>Cancelado</v>
      </c>
      <c r="B204">
        <f>IF(I204&lt;=-1,1,IF(I204&lt;=5,2,IF(I204&lt;=15,3,IF(H204&lt;=60,4))))</f>
        <v>2</v>
      </c>
      <c r="C204">
        <v>7</v>
      </c>
      <c r="D204" t="str">
        <v xml:space="preserve">Luis ernesto Solano </v>
      </c>
      <c r="E204" s="2">
        <f>1147042*0</f>
        <v>0</v>
      </c>
      <c r="F204" s="1">
        <v>45992</v>
      </c>
      <c r="G204" t="str">
        <v>Cancelado</v>
      </c>
      <c r="H204">
        <f>IF(OR(G204="Sin pagar",G204="Pagar"),NETWORKDAYS($J$113,F204,'Festivos Colombia'!$A$3:$A$22),0)</f>
        <v>0</v>
      </c>
      <c r="I204">
        <f>NETWORKDAYS($J$113,F204,'Festivos Colombia'!$A$3:$A$22)</f>
        <v>1</v>
      </c>
      <c r="J204" s="7">
        <f>H204</f>
        <v>0</v>
      </c>
    </row>
    <row r="205" outlineLevel="1">
      <c r="A205" t="str">
        <f>G205</f>
        <v>Cancelado</v>
      </c>
      <c r="B205">
        <f>IF(I205&lt;=-1,1,IF(I205&lt;=5,2,IF(I205&lt;=15,3,IF(H205&lt;=60,4))))</f>
        <v>2</v>
      </c>
      <c r="C205" t="str">
        <v>FENI-11149</v>
      </c>
      <c r="D205" t="str">
        <v xml:space="preserve">Nixcom Servicio Seqrite endpoint security premium on cloud </v>
      </c>
      <c r="E205" s="2">
        <f>97139</f>
        <v>97139</v>
      </c>
      <c r="F205" s="1">
        <v>45995</v>
      </c>
      <c r="G205" t="str">
        <v>Cancelado</v>
      </c>
      <c r="H205">
        <f>IF(OR(G205="Sin pagar",G205="Pagar"),NETWORKDAYS($J$113,F205,'Festivos Colombia'!$A$3:$A$22),0)</f>
        <v>0</v>
      </c>
      <c r="I205">
        <f>NETWORKDAYS($J$113,F205,'Festivos Colombia'!$A$3:$A$22)</f>
        <v>4</v>
      </c>
      <c r="J205" s="7">
        <f>H205</f>
        <v>0</v>
      </c>
    </row>
    <row r="206" ht="16.5" customHeight="1" outlineLevel="1">
      <c r="A206" t="str">
        <f>G206</f>
        <v>Cancelado</v>
      </c>
      <c r="B206">
        <f>IF(I206&lt;=-1,1,IF(I206&lt;=5,2,IF(I206&lt;=15,3,IF(H206&lt;=60,4))))</f>
        <v>2</v>
      </c>
      <c r="C206" s="4" t="str">
        <v>12-25</v>
      </c>
      <c r="D206" t="str">
        <v>Yadira Pineda- servicios Noviembre y mensajeria service Panamá -Pago por Panamá</v>
      </c>
      <c r="E206" s="2">
        <f>600*0</f>
        <v>0</v>
      </c>
      <c r="F206" s="1">
        <v>45995</v>
      </c>
      <c r="G206" t="str">
        <v>Cancelado</v>
      </c>
      <c r="H206">
        <f>IF(OR(G206="Sin pagar",G206="Pagar"),NETWORKDAYS($J$113,F206,'Festivos Colombia'!$A$3:$A$22),0)</f>
        <v>0</v>
      </c>
      <c r="I206">
        <f>NETWORKDAYS($J$113,F206,'Festivos Colombia'!$A$3:$A$22)</f>
        <v>4</v>
      </c>
      <c r="J206" s="7">
        <f>H206</f>
        <v>0</v>
      </c>
    </row>
    <row r="207" outlineLevel="1">
      <c r="A207" t="str">
        <f>G207</f>
        <v>Cancelado</v>
      </c>
      <c r="B207">
        <f>IF(I207&lt;=-1,1,IF(I207&lt;=5,2,IF(I207&lt;=15,3,IF(H207&lt;=60,4))))</f>
        <v>2</v>
      </c>
      <c r="C207" t="str">
        <v>FE-15568</v>
      </c>
      <c r="D207" t="str">
        <v xml:space="preserve">Itticol-Pago de saldo </v>
      </c>
      <c r="E207" s="2">
        <v>1283605</v>
      </c>
      <c r="F207" s="1">
        <v>45995</v>
      </c>
      <c r="G207" t="str">
        <v>Cancelado</v>
      </c>
      <c r="H207">
        <f>IF(OR(G207="Sin pagar",G207="Pagar"),NETWORKDAYS($J$113,F207,'Festivos Colombia'!$A$3:$A$22),0)</f>
        <v>0</v>
      </c>
      <c r="I207">
        <f>NETWORKDAYS($J$113,F207,'Festivos Colombia'!$A$3:$A$22)</f>
        <v>4</v>
      </c>
      <c r="J207" s="7">
        <f>H207</f>
        <v>0</v>
      </c>
    </row>
    <row r="208" ht="14.25" customHeight="1" outlineLevel="1">
      <c r="A208" t="str">
        <f>G208</f>
        <v>Cancelado</v>
      </c>
      <c r="B208">
        <f>IF(I208&lt;=-1,1,IF(I208&lt;=5,2,IF(I208&lt;=15,3,IF(H208&lt;=60,4))))</f>
        <v>3</v>
      </c>
      <c r="C208">
        <v>7</v>
      </c>
      <c r="D208" t="str">
        <v>Sebastían Romero Espitia</v>
      </c>
      <c r="E208" s="2">
        <v>640000</v>
      </c>
      <c r="F208" s="1">
        <v>46002</v>
      </c>
      <c r="G208" t="str">
        <v>Cancelado</v>
      </c>
      <c r="H208">
        <f>IF(OR(G208="Sin pagar",G208="Pagar"),NETWORKDAYS($J$113,F208,'Festivos Colombia'!$A$3:$A$22),0)</f>
        <v>0</v>
      </c>
      <c r="I208">
        <f>NETWORKDAYS($J$113,F208,'Festivos Colombia'!$A$3:$A$22)</f>
        <v>9</v>
      </c>
      <c r="J208" s="7">
        <f>H208</f>
        <v>0</v>
      </c>
    </row>
    <row r="209" ht="16.5" customHeight="1" outlineLevel="1">
      <c r="A209" t="str">
        <f>G209</f>
        <v>Sin Pagar</v>
      </c>
      <c r="B209">
        <f>IF(I209&lt;=-1,1,IF(I209&lt;=5,2,IF(I209&lt;=15,3,IF(H209&lt;=60,4))))</f>
        <v>4</v>
      </c>
      <c r="C209" s="4" t="str">
        <v>01-26</v>
      </c>
      <c r="D209" t="str">
        <v>Yadira Pineda- servicios Agosto  y mensajeria service Panamá -Pago por Panamá</v>
      </c>
      <c r="E209" s="2">
        <f>600*0</f>
        <v>0</v>
      </c>
      <c r="F209" s="1">
        <v>46037</v>
      </c>
      <c r="G209" t="str">
        <v>Sin Pagar</v>
      </c>
      <c r="H209">
        <f>IF(OR(G209="Sin pagar",G209="Pagar"),NETWORKDAYS($J$113,F209,'Festivos Colombia'!$A$3:$A$22),0)</f>
        <v>32</v>
      </c>
      <c r="I209">
        <f>NETWORKDAYS($J$113,F209,'Festivos Colombia'!$A$3:$A$22)</f>
        <v>32</v>
      </c>
      <c r="J209" s="7">
        <f>H209</f>
        <v>32</v>
      </c>
    </row>
    <row r="210" outlineLevel="1">
      <c r="A210" t="str">
        <f>G210</f>
        <v>Cancelado</v>
      </c>
      <c r="B210">
        <f>IF(I210&lt;=-1,1,IF(I210&lt;=5,2,IF(I210&lt;=15,3,IF(H210&lt;=60,4))))</f>
        <v>3</v>
      </c>
      <c r="C210" t="str">
        <v>BOGA105432300</v>
      </c>
      <c r="D210" t="str">
        <v>Carvajal</v>
      </c>
      <c r="E210" s="2">
        <v>73640</v>
      </c>
      <c r="F210" s="1">
        <v>46002</v>
      </c>
      <c r="G210" t="str">
        <v>Cancelado</v>
      </c>
      <c r="H210">
        <f>IF(OR(G210="Sin pagar",G210="Pagar"),NETWORKDAYS($J$113,F210,'Festivos Colombia'!$A$3:$A$22),0)</f>
        <v>0</v>
      </c>
      <c r="I210">
        <f>NETWORKDAYS($J$113,F210,'Festivos Colombia'!$A$3:$A$22)</f>
        <v>9</v>
      </c>
      <c r="J210" s="7">
        <f>H210</f>
        <v>0</v>
      </c>
    </row>
    <row r="211" outlineLevel="1">
      <c r="A211" t="str">
        <f>G211</f>
        <v>Cancelado</v>
      </c>
      <c r="B211">
        <f>IF(I211&lt;=-1,1,IF(I211&lt;=5,2,IF(I211&lt;=15,3,IF(H211&lt;=60,4))))</f>
        <v>3</v>
      </c>
      <c r="C211">
        <v>251201</v>
      </c>
      <c r="D211" t="str">
        <v xml:space="preserve">Analia Lorena Di Nicola </v>
      </c>
      <c r="E211" s="2">
        <v>475363.2</v>
      </c>
      <c r="F211" s="1">
        <v>46002</v>
      </c>
      <c r="G211" t="str">
        <v>Cancelado</v>
      </c>
      <c r="H211">
        <f>IF(OR(G211="Sin pagar",G211="Pagar"),NETWORKDAYS($J$113,F211,'Festivos Colombia'!$A$3:$A$22),0)</f>
        <v>0</v>
      </c>
      <c r="I211">
        <f>NETWORKDAYS($J$113,F211,'Festivos Colombia'!$A$3:$A$22)</f>
        <v>9</v>
      </c>
      <c r="J211" s="7">
        <f>H211</f>
        <v>0</v>
      </c>
    </row>
    <row r="212" outlineLevel="1">
      <c r="A212" t="str">
        <f>G212</f>
        <v>Cancelado</v>
      </c>
      <c r="B212">
        <f>IF(I212&lt;=-1,1,IF(I212&lt;=5,2,IF(I212&lt;=15,3,IF(H212&lt;=60,4))))</f>
        <v>3</v>
      </c>
      <c r="C212">
        <v>24</v>
      </c>
      <c r="D212" t="str">
        <v xml:space="preserve">Edward Felipe Forero Osorio </v>
      </c>
      <c r="E212" s="2">
        <v>1287442</v>
      </c>
      <c r="F212" s="1">
        <v>46010</v>
      </c>
      <c r="G212" t="str">
        <v>Cancelado</v>
      </c>
      <c r="H212">
        <f>IF(OR(G212="Sin pagar",G212="Pagar"),NETWORKDAYS($J$113,F212,'Festivos Colombia'!$A$3:$A$22),0)</f>
        <v>0</v>
      </c>
      <c r="I212">
        <f>NETWORKDAYS($J$113,F212,'Festivos Colombia'!$A$3:$A$22)</f>
        <v>15</v>
      </c>
      <c r="J212" s="7">
        <f>H212</f>
        <v>0</v>
      </c>
    </row>
    <row r="213" outlineLevel="1">
      <c r="A213" t="str">
        <f>G213</f>
        <v>Cancelado</v>
      </c>
      <c r="B213">
        <f>IF(I213&lt;=-1,1,IF(I213&lt;=5,2,IF(I213&lt;=15,3,IF(H213&lt;=60,4))))</f>
        <v>3</v>
      </c>
      <c r="C213">
        <v>16</v>
      </c>
      <c r="D213" t="str">
        <v xml:space="preserve">Sara Forero Osorio </v>
      </c>
      <c r="E213" s="2">
        <v>1287442</v>
      </c>
      <c r="F213" s="1">
        <v>46010</v>
      </c>
      <c r="G213" t="str">
        <v>Cancelado</v>
      </c>
      <c r="H213">
        <f>IF(OR(G213="Sin pagar",G213="Pagar"),NETWORKDAYS($J$113,F213,'Festivos Colombia'!$A$3:$A$22),0)</f>
        <v>0</v>
      </c>
      <c r="I213">
        <f>NETWORKDAYS($J$113,F213,'Festivos Colombia'!$A$3:$A$22)</f>
        <v>15</v>
      </c>
      <c r="J213" s="7">
        <f>H213</f>
        <v>0</v>
      </c>
    </row>
    <row r="214" ht="14.25" customHeight="1" outlineLevel="1">
      <c r="A214" t="str">
        <f>G214</f>
        <v>Cancelado</v>
      </c>
      <c r="B214">
        <f>IF(I214&lt;=-1,1,IF(I214&lt;=5,2,IF(I214&lt;=15,3,IF(H214&lt;=60,4))))</f>
        <v>4</v>
      </c>
      <c r="C214" t="str">
        <v>FEV-1-93</v>
      </c>
      <c r="D214" t="str">
        <v>Yoana Forero Servicios profesionales -Costa Rica</v>
      </c>
      <c r="E214" s="2">
        <v>774025</v>
      </c>
      <c r="F214" s="1">
        <v>46013</v>
      </c>
      <c r="G214" t="str">
        <v>Cancelado</v>
      </c>
      <c r="H214">
        <f>IF(OR(G214="Sin pagar",G214="Pagar"),NETWORKDAYS($J$113,F214,'Festivos Colombia'!$A$3:$A$22),0)</f>
        <v>0</v>
      </c>
      <c r="I214">
        <f>NETWORKDAYS($J$113,F214,'Festivos Colombia'!$A$3:$A$22)</f>
        <v>16</v>
      </c>
      <c r="J214" s="7">
        <f>H214</f>
        <v>0</v>
      </c>
    </row>
    <row r="215" outlineLevel="1">
      <c r="A215" t="str">
        <f>G215</f>
        <v>Cancelado</v>
      </c>
      <c r="B215">
        <f>IF(I215&lt;=-1,1,IF(I215&lt;=5,2,IF(I215&lt;=15,3,IF(H215&lt;=60,4))))</f>
        <v>4</v>
      </c>
      <c r="C215" t="str">
        <v xml:space="preserve"> FES8588</v>
      </c>
      <c r="D215" t="str">
        <v>Simbolo Group</v>
      </c>
      <c r="E215" s="2">
        <f>2618000*0</f>
        <v>0</v>
      </c>
      <c r="F215" s="1">
        <v>46017</v>
      </c>
      <c r="G215" t="str">
        <v>Cancelado</v>
      </c>
      <c r="H215">
        <f>IF(OR(G215="Sin pagar",G215="Pagar"),NETWORKDAYS($J$113,F215,'Festivos Colombia'!$A$3:$A$22),0)</f>
        <v>0</v>
      </c>
      <c r="I215">
        <f>NETWORKDAYS($J$113,F215,'Festivos Colombia'!$A$3:$A$22)</f>
        <v>20</v>
      </c>
      <c r="J215" s="7">
        <f>H215</f>
        <v>0</v>
      </c>
      <c r="K215" t="str">
        <v xml:space="preserve">no se paga el proveedor debe generar NC ya que se canceló el contrato </v>
      </c>
    </row>
    <row r="216" ht="14.25" customHeight="1" outlineLevel="1">
      <c r="A216" t="str">
        <f>G216</f>
        <v>Cancelado</v>
      </c>
      <c r="B216">
        <f>IF(I216&lt;=-1,1,IF(I216&lt;=5,2,IF(I216&lt;=15,3,IF(H216&lt;=60,4))))</f>
        <v>4</v>
      </c>
      <c r="C216">
        <v>1</v>
      </c>
      <c r="D216" t="str">
        <v>Jorge Mauricio Gomez</v>
      </c>
      <c r="E216" s="2">
        <v>247835</v>
      </c>
      <c r="F216" s="1">
        <v>46014</v>
      </c>
      <c r="G216" t="str">
        <v>Cancelado</v>
      </c>
      <c r="H216">
        <f>IF(OR(G216="Sin pagar",G216="Pagar"),NETWORKDAYS($J$113,F216,'Festivos Colombia'!$A$3:$A$22),0)</f>
        <v>0</v>
      </c>
      <c r="I216">
        <f>NETWORKDAYS($J$113,F216,'Festivos Colombia'!$A$3:$A$22)</f>
        <v>17</v>
      </c>
      <c r="J216" s="7">
        <f>H216</f>
        <v>0</v>
      </c>
    </row>
    <row r="217" outlineLevel="1">
      <c r="A217" t="str">
        <f>G217</f>
        <v>Cancelado</v>
      </c>
      <c r="B217">
        <f>IF(I217&lt;=-1,1,IF(I217&lt;=5,2,IF(I217&lt;=15,3,IF(H217&lt;=60,4))))</f>
        <v>4</v>
      </c>
      <c r="C217" t="str">
        <v>FE-386</v>
      </c>
      <c r="D217" t="str">
        <v>ACT&amp;J Consultores  S&amp;P</v>
      </c>
      <c r="E217" s="2">
        <v>3343958.5</v>
      </c>
      <c r="F217" s="1">
        <v>46014</v>
      </c>
      <c r="G217" t="str">
        <v>Cancelado</v>
      </c>
      <c r="H217">
        <f>IF(OR(G217="Sin pagar",G217="Pagar"),NETWORKDAYS($J$113,F217,'Festivos Colombia'!$A$3:$A$22),0)</f>
        <v>0</v>
      </c>
      <c r="I217">
        <f>NETWORKDAYS($J$113,F217,'Festivos Colombia'!$A$3:$A$22)</f>
        <v>17</v>
      </c>
      <c r="J217" s="7">
        <f>H217</f>
        <v>0</v>
      </c>
    </row>
    <row r="218" outlineLevel="1">
      <c r="A218" t="str">
        <f>G218</f>
        <v>Cancelado</v>
      </c>
      <c r="B218">
        <f>IF(I218&lt;=-1,1,IF(I218&lt;=5,2,IF(I218&lt;=15,3,IF(H218&lt;=60,4))))</f>
        <v>4</v>
      </c>
      <c r="C218" t="str">
        <v>FE-387</v>
      </c>
      <c r="D218" t="str">
        <v>ACT&amp;J Consultores  Global</v>
      </c>
      <c r="E218" s="2">
        <v>3665694</v>
      </c>
      <c r="F218" s="1">
        <v>46014</v>
      </c>
      <c r="G218" t="str">
        <v>Cancelado</v>
      </c>
      <c r="H218">
        <f>IF(OR(G218="Sin pagar",G218="Pagar"),NETWORKDAYS($J$113,F218,'Festivos Colombia'!$A$3:$A$22),0)</f>
        <v>0</v>
      </c>
      <c r="I218">
        <f>NETWORKDAYS($J$113,F218,'Festivos Colombia'!$A$3:$A$22)</f>
        <v>17</v>
      </c>
      <c r="J218" s="7">
        <f>H218</f>
        <v>0</v>
      </c>
    </row>
    <row r="219" outlineLevel="1">
      <c r="A219" t="str">
        <f>G219</f>
        <v>Cancelado</v>
      </c>
      <c r="B219">
        <f>IF(I219&lt;=-1,1,IF(I219&lt;=5,2,IF(I219&lt;=15,3,IF(H219&lt;=60,4))))</f>
        <v>4</v>
      </c>
      <c r="C219" t="str">
        <v>FED-59</v>
      </c>
      <c r="D219" t="str">
        <v>Innovate SAS-Servicio en la nube mes de Diciembre</v>
      </c>
      <c r="E219" s="2">
        <v>754578</v>
      </c>
      <c r="F219" s="1">
        <v>46014</v>
      </c>
      <c r="G219" t="str">
        <v>Cancelado</v>
      </c>
      <c r="H219">
        <f>IF(OR(G219="Sin pagar",G219="Pagar"),NETWORKDAYS($J$113,F219,'Festivos Colombia'!$A$3:$A$22),0)</f>
        <v>0</v>
      </c>
      <c r="I219">
        <f>NETWORKDAYS($J$113,F219,'Festivos Colombia'!$A$3:$A$22)</f>
        <v>17</v>
      </c>
      <c r="J219" s="7">
        <f>H219</f>
        <v>0</v>
      </c>
    </row>
    <row r="220" outlineLevel="1">
      <c r="A220" t="str">
        <f>G220</f>
        <v>Cancelado</v>
      </c>
      <c r="B220">
        <f>IF(I220&lt;=-1,1,IF(I220&lt;=5,2,IF(I220&lt;=15,3,IF(H220&lt;=60,4))))</f>
        <v>4</v>
      </c>
      <c r="C220">
        <v>7</v>
      </c>
      <c r="D220" t="str">
        <v>José Joaquín Salcedo Duran ( Consultoria en seguridad información)</v>
      </c>
      <c r="E220" s="2">
        <f>3100000</f>
        <v>3100000</v>
      </c>
      <c r="F220" s="1">
        <v>46014</v>
      </c>
      <c r="G220" t="str">
        <v>Cancelado</v>
      </c>
      <c r="H220">
        <f>IF(OR(G220="Sin pagar",G220="Pagar"),NETWORKDAYS($J$113,F220,'Festivos Colombia'!$A$3:$A$22),0)</f>
        <v>0</v>
      </c>
      <c r="I220">
        <f>NETWORKDAYS($J$113,F220,'Festivos Colombia'!$A$3:$A$22)</f>
        <v>17</v>
      </c>
      <c r="J220" s="7">
        <f>H220</f>
        <v>0</v>
      </c>
    </row>
    <row r="221" outlineLevel="1">
      <c r="A221" t="str">
        <f>G221</f>
        <v>Cancelado</v>
      </c>
      <c r="B221">
        <f>IF(I221&lt;=-1,1,IF(I221&lt;=5,2,IF(I221&lt;=15,3,IF(H221&lt;=60,4))))</f>
        <v>4</v>
      </c>
      <c r="C221" t="str">
        <v>2025-012</v>
      </c>
      <c r="D221" t="str">
        <v xml:space="preserve">Pedro Pablo oviedo Cutiva- Cuenta Ricardo Arambulo </v>
      </c>
      <c r="E221" s="2">
        <v>1181616</v>
      </c>
      <c r="F221" s="1">
        <v>46017</v>
      </c>
      <c r="G221" t="str">
        <v>Cancelado</v>
      </c>
      <c r="H221">
        <f>IF(OR(G221="Sin pagar",G221="Pagar"),NETWORKDAYS($J$113,F221,'Festivos Colombia'!$A$3:$A$22),0)</f>
        <v>0</v>
      </c>
      <c r="I221">
        <f>NETWORKDAYS($J$113,F221,'Festivos Colombia'!$A$3:$A$22)</f>
        <v>20</v>
      </c>
      <c r="J221" s="7">
        <f>H221</f>
        <v>0</v>
      </c>
    </row>
    <row r="222" outlineLevel="1">
      <c r="A222" t="str">
        <f>G222</f>
        <v>Cancelado</v>
      </c>
      <c r="B222">
        <f>IF(I222&lt;=-1,1,IF(I222&lt;=5,2,IF(I222&lt;=15,3,IF(H222&lt;=60,4))))</f>
        <v>4</v>
      </c>
      <c r="C222" t="str">
        <v>FENI-11265</v>
      </c>
      <c r="D222" t="str">
        <v>Nixcom Servicio técnico mensual</v>
      </c>
      <c r="E222" s="2">
        <v>1186369.8241</v>
      </c>
      <c r="F222" s="1">
        <v>46014</v>
      </c>
      <c r="G222" t="str">
        <v>Cancelado</v>
      </c>
      <c r="H222">
        <f>IF(OR(G222="Sin pagar",G222="Pagar"),NETWORKDAYS($J$113,F222,'Festivos Colombia'!$A$3:$A$22),0)</f>
        <v>0</v>
      </c>
      <c r="I222">
        <f>NETWORKDAYS($J$113,F222,'Festivos Colombia'!$A$3:$A$22)</f>
        <v>17</v>
      </c>
      <c r="J222" s="7">
        <f>H222</f>
        <v>0</v>
      </c>
    </row>
    <row r="223" outlineLevel="1">
      <c r="A223" t="str">
        <f>G223</f>
        <v>Cancelado</v>
      </c>
      <c r="B223">
        <f>IF(I223&lt;=-1,1,IF(I223&lt;=5,2,IF(I223&lt;=15,3,IF(H223&lt;=60,4))))</f>
        <v>4</v>
      </c>
      <c r="C223">
        <v>8</v>
      </c>
      <c r="D223" t="str">
        <v xml:space="preserve">Luis ernesto Solano </v>
      </c>
      <c r="E223" s="2">
        <v>3770892</v>
      </c>
      <c r="F223" s="1">
        <v>46021</v>
      </c>
      <c r="G223" t="str">
        <v>Cancelado</v>
      </c>
      <c r="H223">
        <f>IF(OR(G223="Sin pagar",G223="Pagar"),NETWORKDAYS($J$113,F223,'Festivos Colombia'!$A$3:$A$22),0)</f>
        <v>0</v>
      </c>
      <c r="I223">
        <f>NETWORKDAYS($J$113,F223,'Festivos Colombia'!$A$3:$A$22)</f>
        <v>22</v>
      </c>
      <c r="J223" s="7">
        <f>H223</f>
        <v>0</v>
      </c>
    </row>
    <row r="224" outlineLevel="1">
      <c r="A224" t="str">
        <f>G224</f>
        <v>Cancelado</v>
      </c>
      <c r="B224">
        <f>IF(I224&lt;=-1,1,IF(I224&lt;=5,2,IF(I224&lt;=15,3,IF(H224&lt;=60,4))))</f>
        <v>4</v>
      </c>
      <c r="C224">
        <v>1</v>
      </c>
      <c r="D224" t="str">
        <v>Erika Julieth Mier Forero</v>
      </c>
      <c r="E224" s="2">
        <v>1389276</v>
      </c>
      <c r="F224" s="1">
        <v>46021</v>
      </c>
      <c r="G224" t="str">
        <v>Cancelado</v>
      </c>
      <c r="H224">
        <f>IF(OR(G224="Sin pagar",G224="Pagar"),NETWORKDAYS($J$113,F224,'Festivos Colombia'!$A$3:$A$22),0)</f>
        <v>0</v>
      </c>
      <c r="I224">
        <f>NETWORKDAYS($J$113,F224,'Festivos Colombia'!$A$3:$A$22)</f>
        <v>22</v>
      </c>
      <c r="J224" s="7">
        <f>H224</f>
        <v>0</v>
      </c>
    </row>
    <row r="225" outlineLevel="1">
      <c r="A225" t="str">
        <f>G225</f>
        <v>Cancelado</v>
      </c>
      <c r="B225">
        <f>IF(I225&lt;=-1,1,IF(I225&lt;=5,2,IF(I225&lt;=15,3,IF(H225&lt;=60,4))))</f>
        <v>4</v>
      </c>
      <c r="C225">
        <v>1</v>
      </c>
      <c r="D225" t="str">
        <v>Martiza Forero Benavides</v>
      </c>
      <c r="E225" s="2">
        <v>1389276</v>
      </c>
      <c r="F225" s="1">
        <v>46021</v>
      </c>
      <c r="G225" t="str">
        <v>Cancelado</v>
      </c>
      <c r="H225">
        <f>IF(OR(G225="Sin pagar",G225="Pagar"),NETWORKDAYS($J$113,F225,'Festivos Colombia'!$A$3:$A$22),0)</f>
        <v>0</v>
      </c>
      <c r="I225">
        <f>NETWORKDAYS($J$113,F225,'Festivos Colombia'!$A$3:$A$22)</f>
        <v>22</v>
      </c>
      <c r="J225" s="7">
        <f>H225</f>
        <v>0</v>
      </c>
    </row>
    <row r="226" outlineLevel="1">
      <c r="A226" t="str">
        <f>G226</f>
        <v>Cancelado</v>
      </c>
      <c r="B226">
        <f>IF(I226&lt;=-1,1,IF(I226&lt;=5,2,IF(I226&lt;=15,3,IF(H226&lt;=60,4))))</f>
        <v>4</v>
      </c>
      <c r="C226">
        <v>1</v>
      </c>
      <c r="D226" t="str">
        <v>Steven Rafael Mier Forero</v>
      </c>
      <c r="E226" s="2">
        <v>1389276</v>
      </c>
      <c r="F226" s="1">
        <v>46021</v>
      </c>
      <c r="G226" t="str">
        <v>Cancelado</v>
      </c>
      <c r="H226">
        <f>IF(OR(G226="Sin pagar",G226="Pagar"),NETWORKDAYS($J$113,F226,'Festivos Colombia'!$A$3:$A$22),0)</f>
        <v>0</v>
      </c>
      <c r="I226">
        <f>NETWORKDAYS($J$113,F226,'Festivos Colombia'!$A$3:$A$22)</f>
        <v>22</v>
      </c>
      <c r="J226" s="7">
        <f>H226</f>
        <v>0</v>
      </c>
    </row>
    <row r="227" outlineLevel="1">
      <c r="A227" t="str">
        <f>G227</f>
        <v>Sin Pagar</v>
      </c>
      <c r="B227">
        <f>IF(I227&lt;=-1,1,IF(I227&lt;=5,2,IF(I227&lt;=15,3,IF(H227&lt;=60,4))))</f>
        <v>4</v>
      </c>
      <c r="C227" t="str">
        <v>FENI-11342</v>
      </c>
      <c r="D227" t="str">
        <v>Nixcom -renovación de 50 licencias con vigencia anual.</v>
      </c>
      <c r="E227" s="2">
        <f>5025723*0</f>
        <v>0</v>
      </c>
      <c r="F227" s="1">
        <v>46031</v>
      </c>
      <c r="G227" t="str">
        <v>Sin Pagar</v>
      </c>
      <c r="H227">
        <f>IF(OR(G227="Sin pagar",G227="Pagar"),NETWORKDAYS($J$113,F227,'Festivos Colombia'!$A$3:$A$22),0)</f>
        <v>29</v>
      </c>
      <c r="I227">
        <f>NETWORKDAYS($J$113,F227,'Festivos Colombia'!$A$3:$A$22)</f>
        <v>29</v>
      </c>
      <c r="J227" s="7">
        <f>H227</f>
        <v>29</v>
      </c>
    </row>
    <row r="228" ht="13.5" customHeight="1" outlineLevel="1">
      <c r="A228" t="str">
        <f>G228</f>
        <v>Sin Pagar</v>
      </c>
      <c r="B228">
        <f>IF(I228&lt;=-1,1,IF(I228&lt;=5,2,IF(I228&lt;=15,3,IF(H228&lt;=60,4))))</f>
        <v>4</v>
      </c>
      <c r="C228" t="str">
        <v>BPA 6578</v>
      </c>
      <c r="D228" t="str">
        <v>Barrera Palacios</v>
      </c>
      <c r="E228" s="2">
        <f>1525052.49*0</f>
        <v>0</v>
      </c>
      <c r="F228" s="1">
        <v>46031</v>
      </c>
      <c r="G228" t="str">
        <v>Sin Pagar</v>
      </c>
      <c r="H228">
        <f>IF(OR(G228="Sin pagar",G228="Pagar"),NETWORKDAYS($J$113,F228,'Festivos Colombia'!$A$3:$A$22),0)</f>
        <v>29</v>
      </c>
      <c r="I228">
        <f>NETWORKDAYS($J$113,F228,'Festivos Colombia'!$A$3:$A$22)</f>
        <v>29</v>
      </c>
      <c r="J228" s="7">
        <f>H228</f>
        <v>29</v>
      </c>
    </row>
    <row r="229" outlineLevel="1">
      <c r="A229" t="str">
        <f>G229</f>
        <v>Sin Pagar</v>
      </c>
      <c r="B229">
        <f>IF(I229&lt;=-1,1,IF(I229&lt;=5,2,IF(I229&lt;=15,3,IF(H229&lt;=60,4))))</f>
        <v>4</v>
      </c>
      <c r="C229" t="str">
        <v>FENI-11345</v>
      </c>
      <c r="D229" t="str">
        <v>Nixcom Servicio técnico mensual</v>
      </c>
      <c r="E229" s="2">
        <f>833000*0</f>
        <v>0</v>
      </c>
      <c r="F229" s="1">
        <v>46031</v>
      </c>
      <c r="G229" t="str">
        <v>Sin Pagar</v>
      </c>
      <c r="H229">
        <f>IF(OR(G229="Sin pagar",G229="Pagar"),NETWORKDAYS($J$113,F229,'Festivos Colombia'!$A$3:$A$22),0)</f>
        <v>29</v>
      </c>
      <c r="I229">
        <f>NETWORKDAYS($J$113,F229,'Festivos Colombia'!$A$3:$A$22)</f>
        <v>29</v>
      </c>
      <c r="J229" s="7">
        <f>H229</f>
        <v>29</v>
      </c>
    </row>
    <row r="230" ht="15.75" customHeight="1" outlineLevel="1">
      <c r="A230" t="str">
        <f>G230</f>
        <v>Sin Pagar</v>
      </c>
      <c r="B230">
        <f>IF(I230&lt;=-1,1,IF(I230&lt;=5,2,IF(I230&lt;=15,3,IF(H230&lt;=60,4))))</f>
        <v>4</v>
      </c>
      <c r="C230" t="str">
        <v>fe-2064</v>
      </c>
      <c r="D230" t="str">
        <v>Plurum 80% escuela de liderazgo</v>
      </c>
      <c r="E230" s="2">
        <f>41353724*0</f>
        <v>0</v>
      </c>
      <c r="F230" s="1">
        <v>46051</v>
      </c>
      <c r="G230" t="str">
        <v>Sin Pagar</v>
      </c>
      <c r="H230">
        <f>IF(OR(G230="Sin pagar",G230="Pagar"),NETWORKDAYS($J$113,F230,'Festivos Colombia'!$A$3:$A$22),0)</f>
        <v>42</v>
      </c>
      <c r="I230">
        <f>NETWORKDAYS($J$113,F230,'Festivos Colombia'!$A$3:$A$22)</f>
        <v>42</v>
      </c>
      <c r="J230" s="7">
        <f>H230</f>
        <v>42</v>
      </c>
    </row>
    <row r="231" ht="15.75" customHeight="1">
      <c r="D231" t="str">
        <v xml:space="preserve">COSTOS FINANCIEROS </v>
      </c>
      <c r="E231" s="2">
        <f>SUBTOTAL(9,E232:E232)</f>
        <v>24665110.43</v>
      </c>
    </row>
    <row r="232" ht="15.75" customHeight="1" outlineLevel="1">
      <c r="A232" t="str">
        <f>G232</f>
        <v>Cancelado</v>
      </c>
      <c r="B232">
        <f>IF(I232&lt;=-1,1,IF(I232&lt;=5,2,IF(I232&lt;=15,3,IF(H232&lt;=60,4))))</f>
        <v>4</v>
      </c>
      <c r="D232" t="str">
        <v>Costos financieros (Cuentas S&amp;P)</v>
      </c>
      <c r="E232" s="2">
        <f>15189196.43+987990+8487924</f>
        <v>24665110.43</v>
      </c>
      <c r="F232" s="1">
        <v>46022</v>
      </c>
      <c r="G232" t="str">
        <v>Cancelado</v>
      </c>
      <c r="H232">
        <f>IF(OR(G232="Sin pagar",G232="Pagar"),NETWORKDAYS($J$113,F232,'Festivos Colombia'!$A$3:$A$22),0)</f>
        <v>0</v>
      </c>
      <c r="I232">
        <f>NETWORKDAYS($J$113,F232,'Festivos Colombia'!$A$3:$A$22)</f>
        <v>23</v>
      </c>
      <c r="J232" s="7">
        <f>H232</f>
        <v>0</v>
      </c>
    </row>
    <row r="233" ht="16.5" customHeight="1">
      <c r="D233" t="str">
        <v>CRÉDITOS-LIBRANZAS</v>
      </c>
      <c r="E233" s="2">
        <f>SUBTOTAL(9,E234:E235)</f>
        <v>1713185</v>
      </c>
    </row>
    <row r="234" outlineLevel="1">
      <c r="A234" t="str">
        <f>G234</f>
        <v>Cancelado</v>
      </c>
      <c r="B234">
        <f>IF(I234&lt;=-1,1,IF(I234&lt;=5,2,IF(I234&lt;=15,3,IF(H234&lt;=60,4))))</f>
        <v>4</v>
      </c>
      <c r="D234" t="str">
        <v>Libranza Compensar-BBVA</v>
      </c>
      <c r="E234" s="2">
        <v>1174362</v>
      </c>
      <c r="F234" s="1">
        <v>46020</v>
      </c>
      <c r="G234" t="str">
        <v>Cancelado</v>
      </c>
      <c r="H234">
        <f>IF(OR(G234="Sin pagar",G234="Pagar"),NETWORKDAYS($J$113,F234,'Festivos Colombia'!$A$3:$A$22),0)</f>
        <v>0</v>
      </c>
      <c r="I234">
        <f>NETWORKDAYS($J$113,F234,'Festivos Colombia'!$A$3:$A$22)</f>
        <v>21</v>
      </c>
      <c r="J234" s="7">
        <f>H234</f>
        <v>0</v>
      </c>
    </row>
    <row r="235" ht="15.75" customHeight="1" outlineLevel="1">
      <c r="A235" t="str">
        <f>G235</f>
        <v>Cancelado</v>
      </c>
      <c r="B235">
        <f>IF(I235&lt;=-1,1,IF(I235&lt;=5,2,IF(I235&lt;=15,3,IF(H235&lt;=60,4))))</f>
        <v>4</v>
      </c>
      <c r="D235" t="str">
        <v>Libranza Comfenalco Lisset Franco REMOFIRST -BBVA</v>
      </c>
      <c r="E235" s="2">
        <v>538823</v>
      </c>
      <c r="F235" s="1">
        <v>46020</v>
      </c>
      <c r="G235" t="str">
        <v>Cancelado</v>
      </c>
      <c r="H235">
        <f>IF(OR(G235="Sin pagar",G235="Pagar"),NETWORKDAYS($J$113,F235,'Festivos Colombia'!$A$3:$A$22),0)</f>
        <v>0</v>
      </c>
      <c r="I235">
        <f>NETWORKDAYS($J$113,F235,'Festivos Colombia'!$A$3:$A$22)</f>
        <v>21</v>
      </c>
      <c r="J235" s="7">
        <f>H235</f>
        <v>0</v>
      </c>
    </row>
    <row r="236" ht="16.5" customHeight="1">
      <c r="D236" t="str">
        <v>TARJETAS DE CRÉDITO</v>
      </c>
      <c r="E236" s="2">
        <f>SUBTOTAL(9,E237:E240)</f>
        <v>24670254.35</v>
      </c>
    </row>
    <row r="237" outlineLevel="1">
      <c r="A237" t="str">
        <f>G237</f>
        <v>Cancelado</v>
      </c>
      <c r="B237">
        <f>IF(I237&lt;=-1,1,IF(I237&lt;=5,2,IF(I237&lt;=15,3,IF(H237&lt;=60,4))))</f>
        <v>2</v>
      </c>
      <c r="D237" t="str">
        <v>TC Bancolombia TC 4853</v>
      </c>
      <c r="E237" s="2">
        <f>(1988066+(58*3784.43))*0</f>
        <v>0</v>
      </c>
      <c r="F237" s="1">
        <v>45993</v>
      </c>
      <c r="G237" t="str">
        <v>Cancelado</v>
      </c>
      <c r="H237">
        <f>IF(OR(G237="Sin pagar",G237="Pagar"),NETWORKDAYS($J$113,F237,'Festivos Colombia'!$A$3:$A$22),0)</f>
        <v>0</v>
      </c>
      <c r="I237">
        <f>NETWORKDAYS($J$113,F237,'Festivos Colombia'!$A$3:$A$22)</f>
        <v>2</v>
      </c>
      <c r="J237" s="7">
        <f>H237</f>
        <v>0</v>
      </c>
    </row>
    <row r="238" outlineLevel="1">
      <c r="A238" t="str">
        <f>G238</f>
        <v>Cancelado</v>
      </c>
      <c r="B238">
        <f>IF(I238&lt;=-1,1,IF(I238&lt;=5,2,IF(I238&lt;=15,3,IF(H238&lt;=60,4))))</f>
        <v>3</v>
      </c>
      <c r="D238" t="str">
        <v>TC Bancolombia-Ramon Esteban Cardona Salazar TC 5996</v>
      </c>
      <c r="E238" s="2">
        <v>21583393</v>
      </c>
      <c r="F238" s="1">
        <v>46007</v>
      </c>
      <c r="G238" t="str">
        <v>Cancelado</v>
      </c>
      <c r="H238">
        <f>IF(OR(G238="Sin pagar",G238="Pagar"),NETWORKDAYS($J$113,F238,'Festivos Colombia'!$A$3:$A$22),0)</f>
        <v>0</v>
      </c>
      <c r="I238">
        <f>NETWORKDAYS($J$113,F238,'Festivos Colombia'!$A$3:$A$22)</f>
        <v>12</v>
      </c>
      <c r="J238" s="7">
        <f>H238</f>
        <v>0</v>
      </c>
    </row>
    <row r="239" outlineLevel="1">
      <c r="A239" t="str">
        <f>G239</f>
        <v>Cancelado</v>
      </c>
      <c r="B239">
        <f>IF(I239&lt;=-1,1,IF(I239&lt;=5,2,IF(I239&lt;=15,3,IF(H239&lt;=60,4))))</f>
        <v>4</v>
      </c>
      <c r="D239" t="str">
        <v>TC Bancolombia TC 4853</v>
      </c>
      <c r="E239" s="2">
        <f>(2878369+(55*3790.77))</f>
        <v>3086861.35</v>
      </c>
      <c r="F239" s="1">
        <v>46027</v>
      </c>
      <c r="G239" t="str">
        <v>Cancelado</v>
      </c>
      <c r="H239">
        <f>IF(OR(G239="Sin pagar",G239="Pagar"),NETWORKDAYS($J$113,F239,'Festivos Colombia'!$A$3:$A$22),0)</f>
        <v>0</v>
      </c>
      <c r="I239">
        <f>NETWORKDAYS($J$113,F239,'Festivos Colombia'!$A$3:$A$22)</f>
        <v>25</v>
      </c>
      <c r="J239" s="7">
        <f>H239</f>
        <v>0</v>
      </c>
    </row>
    <row r="240" ht="15.75" customHeight="1" outlineLevel="1">
      <c r="A240" t="str">
        <f>G240</f>
        <v>Sin Pagar</v>
      </c>
      <c r="B240">
        <f>IF(I240&lt;=-1,1,IF(I240&lt;=5,2,IF(I240&lt;=15,3,IF(H240&lt;=60,4))))</f>
        <v>4</v>
      </c>
      <c r="D240" t="str">
        <v>TC Bancolombia-Ramon Esteban Cardona Salazar TC 5996</v>
      </c>
      <c r="E240" s="2">
        <f>33736718*0</f>
        <v>0</v>
      </c>
      <c r="F240" s="1">
        <v>46041</v>
      </c>
      <c r="G240" t="str">
        <v>Sin Pagar</v>
      </c>
      <c r="H240">
        <f>IF(OR(G240="Sin pagar",G240="Pagar"),NETWORKDAYS($J$113,F240,'Festivos Colombia'!$A$3:$A$22),0)</f>
        <v>34</v>
      </c>
      <c r="I240">
        <f>NETWORKDAYS($J$113,F240,'Festivos Colombia'!$A$3:$A$22)</f>
        <v>34</v>
      </c>
      <c r="J240" s="7">
        <f>H240</f>
        <v>34</v>
      </c>
    </row>
    <row r="241" ht="16.5" customHeight="1">
      <c r="D241" t="str">
        <v>ESTUDIOS DE SEGURIDAD Y EXAMENES OCUPACIONALES</v>
      </c>
      <c r="E241" s="2">
        <f>SUBTOTAL(9,E242:E251)</f>
        <v>2887000</v>
      </c>
    </row>
    <row r="242" ht="15.75" customHeight="1" outlineLevel="1">
      <c r="A242" t="str">
        <f>G242</f>
        <v>Cancelado</v>
      </c>
      <c r="B242">
        <f>IF(I242&lt;=-1,1,IF(I242&lt;=5,2,IF(I242&lt;=15,3,IF(H242&lt;=60,4))))</f>
        <v>3</v>
      </c>
      <c r="C242">
        <v>6787</v>
      </c>
      <c r="D242" t="str">
        <v xml:space="preserve">EMASOC </v>
      </c>
      <c r="E242" s="2">
        <v>615000</v>
      </c>
      <c r="F242" s="1">
        <v>46002</v>
      </c>
      <c r="G242" t="str">
        <v>Cancelado</v>
      </c>
      <c r="H242">
        <f>IF(OR(G242="Sin pagar",G242="Pagar"),NETWORKDAYS($J$113,F242,'Festivos Colombia'!$A$3:$A$22),0)</f>
        <v>0</v>
      </c>
      <c r="I242">
        <f>NETWORKDAYS($J$113,F242,'Festivos Colombia'!$A$3:$A$22)</f>
        <v>9</v>
      </c>
      <c r="J242" s="7">
        <f>H242</f>
        <v>0</v>
      </c>
    </row>
    <row r="243" ht="15.75" customHeight="1" outlineLevel="1">
      <c r="A243" t="str">
        <f>G243</f>
        <v>Cancelado</v>
      </c>
      <c r="B243">
        <f>IF(I243&lt;=-1,1,IF(I243&lt;=5,2,IF(I243&lt;=15,3,IF(H243&lt;=60,4))))</f>
        <v>4</v>
      </c>
      <c r="C243">
        <v>6791</v>
      </c>
      <c r="D243" t="str">
        <v xml:space="preserve">EMASOC </v>
      </c>
      <c r="E243" s="2">
        <f>1371000-102500</f>
        <v>1268500</v>
      </c>
      <c r="F243" s="1">
        <v>46014</v>
      </c>
      <c r="G243" t="str">
        <v>Cancelado</v>
      </c>
      <c r="H243">
        <f>IF(OR(G243="Sin pagar",G243="Pagar"),NETWORKDAYS($J$113,F243,'Festivos Colombia'!$A$3:$A$22),0)</f>
        <v>0</v>
      </c>
      <c r="I243">
        <f>NETWORKDAYS($J$113,F243,'Festivos Colombia'!$A$3:$A$22)</f>
        <v>17</v>
      </c>
      <c r="J243" s="7">
        <f>H243</f>
        <v>0</v>
      </c>
    </row>
    <row r="244" ht="15.75" customHeight="1" outlineLevel="1">
      <c r="A244" t="str">
        <f>G244</f>
        <v>Cancelado</v>
      </c>
      <c r="B244">
        <f>IF(I244&lt;=-1,1,IF(I244&lt;=5,2,IF(I244&lt;=15,3,IF(H244&lt;=60,4))))</f>
        <v>4</v>
      </c>
      <c r="C244">
        <v>6811</v>
      </c>
      <c r="D244" t="str">
        <v xml:space="preserve">EMASOC </v>
      </c>
      <c r="E244" s="2">
        <f>411000</f>
        <v>411000</v>
      </c>
      <c r="F244" s="1">
        <v>46014</v>
      </c>
      <c r="G244" t="str">
        <v>Cancelado</v>
      </c>
      <c r="H244">
        <f>IF(OR(G244="Sin pagar",G244="Pagar"),NETWORKDAYS($J$113,F244,'Festivos Colombia'!$A$3:$A$22),0)</f>
        <v>0</v>
      </c>
      <c r="I244">
        <f>NETWORKDAYS($J$113,F244,'Festivos Colombia'!$A$3:$A$22)</f>
        <v>17</v>
      </c>
      <c r="J244" s="7">
        <f>H244</f>
        <v>0</v>
      </c>
    </row>
    <row r="245" ht="15.75" customHeight="1" outlineLevel="1">
      <c r="A245" t="str">
        <f>G245</f>
        <v>Cancelado</v>
      </c>
      <c r="B245">
        <f>IF(I245&lt;=-1,1,IF(I245&lt;=5,2,IF(I245&lt;=15,3,IF(H245&lt;=60,4))))</f>
        <v>4</v>
      </c>
      <c r="C245">
        <v>6821</v>
      </c>
      <c r="D245" t="str">
        <v xml:space="preserve">EMASOC </v>
      </c>
      <c r="E245" s="2">
        <f>311500</f>
        <v>311500</v>
      </c>
      <c r="F245" s="1">
        <v>46014</v>
      </c>
      <c r="G245" t="str">
        <v>Cancelado</v>
      </c>
      <c r="H245">
        <f>IF(OR(G245="Sin pagar",G245="Pagar"),NETWORKDAYS($J$113,F245,'Festivos Colombia'!$A$3:$A$22),0)</f>
        <v>0</v>
      </c>
      <c r="I245">
        <f>NETWORKDAYS($J$113,F245,'Festivos Colombia'!$A$3:$A$22)</f>
        <v>17</v>
      </c>
      <c r="J245" s="7">
        <f>H245</f>
        <v>0</v>
      </c>
    </row>
    <row r="246" ht="15.75" customHeight="1" outlineLevel="1">
      <c r="A246" t="str">
        <f>G246</f>
        <v>Cancelado</v>
      </c>
      <c r="B246">
        <f>IF(I246&lt;=-1,1,IF(I246&lt;=5,2,IF(I246&lt;=15,3,IF(H246&lt;=60,4))))</f>
        <v>4</v>
      </c>
      <c r="C246">
        <v>6829</v>
      </c>
      <c r="D246" t="str">
        <v xml:space="preserve">EMASOC </v>
      </c>
      <c r="E246" s="2">
        <f>281000</f>
        <v>281000</v>
      </c>
      <c r="F246" s="1">
        <v>46014</v>
      </c>
      <c r="G246" t="str">
        <v>Cancelado</v>
      </c>
      <c r="H246">
        <f>IF(OR(G246="Sin pagar",G246="Pagar"),NETWORKDAYS($J$113,F246,'Festivos Colombia'!$A$3:$A$22),0)</f>
        <v>0</v>
      </c>
      <c r="I246">
        <f>NETWORKDAYS($J$113,F246,'Festivos Colombia'!$A$3:$A$22)</f>
        <v>17</v>
      </c>
      <c r="J246" s="7">
        <f>H246</f>
        <v>0</v>
      </c>
    </row>
    <row r="247" ht="15.75" customHeight="1" outlineLevel="1">
      <c r="A247" t="str">
        <f>G247</f>
        <v>Sin Pagar</v>
      </c>
      <c r="B247">
        <f>IF(I247&lt;=-1,1,IF(I247&lt;=5,2,IF(I247&lt;=15,3,IF(H247&lt;=60,4))))</f>
        <v>4</v>
      </c>
      <c r="C247">
        <v>6837</v>
      </c>
      <c r="D247" t="str">
        <v xml:space="preserve">EMASOC </v>
      </c>
      <c r="E247" s="2">
        <f>359000*0</f>
        <v>0</v>
      </c>
      <c r="F247" s="1">
        <v>46031</v>
      </c>
      <c r="G247" t="str">
        <v>Sin Pagar</v>
      </c>
      <c r="H247">
        <f>IF(OR(G247="Sin pagar",G247="Pagar"),NETWORKDAYS($J$113,F247,'Festivos Colombia'!$A$3:$A$22),0)</f>
        <v>29</v>
      </c>
      <c r="I247">
        <f>NETWORKDAYS($J$113,F247,'Festivos Colombia'!$A$3:$A$22)</f>
        <v>29</v>
      </c>
      <c r="J247" s="7">
        <f>H247</f>
        <v>29</v>
      </c>
    </row>
    <row r="248" ht="15.75" customHeight="1" outlineLevel="1">
      <c r="A248" t="str">
        <f>G248</f>
        <v>Sin Pagar</v>
      </c>
      <c r="B248">
        <f>IF(I248&lt;=-1,1,IF(I248&lt;=5,2,IF(I248&lt;=15,3,IF(H248&lt;=60,4))))</f>
        <v>4</v>
      </c>
      <c r="C248">
        <v>6846</v>
      </c>
      <c r="D248" t="str">
        <v xml:space="preserve">EMASOC </v>
      </c>
      <c r="E248" s="2">
        <f>517000*0</f>
        <v>0</v>
      </c>
      <c r="F248" s="1">
        <v>46033</v>
      </c>
      <c r="G248" t="str">
        <v>Sin Pagar</v>
      </c>
      <c r="H248">
        <f>IF(OR(G248="Sin pagar",G248="Pagar"),NETWORKDAYS($J$113,F248,'Festivos Colombia'!$A$3:$A$22),0)</f>
        <v>29</v>
      </c>
      <c r="I248">
        <f>NETWORKDAYS($J$113,F248,'Festivos Colombia'!$A$3:$A$22)</f>
        <v>29</v>
      </c>
      <c r="J248" s="7">
        <f>H248</f>
        <v>29</v>
      </c>
    </row>
    <row r="249" ht="15.75" customHeight="1" outlineLevel="1">
      <c r="A249" t="str">
        <f>G249</f>
        <v>Sin Pagar</v>
      </c>
      <c r="B249">
        <f>IF(I249&lt;=-1,1,IF(I249&lt;=5,2,IF(I249&lt;=15,3,IF(H249&lt;=60,4))))</f>
        <v>4</v>
      </c>
      <c r="C249">
        <v>6855</v>
      </c>
      <c r="D249" t="str">
        <v xml:space="preserve">EMASOC </v>
      </c>
      <c r="E249" s="2">
        <f>499900*0</f>
        <v>0</v>
      </c>
      <c r="F249" s="1">
        <v>46039</v>
      </c>
      <c r="G249" t="str">
        <v>Sin Pagar</v>
      </c>
      <c r="H249">
        <f>IF(OR(G249="Sin pagar",G249="Pagar"),NETWORKDAYS($J$113,F249,'Festivos Colombia'!$A$3:$A$22),0)</f>
        <v>33</v>
      </c>
      <c r="I249">
        <f>NETWORKDAYS($J$113,F249,'Festivos Colombia'!$A$3:$A$22)</f>
        <v>33</v>
      </c>
      <c r="J249" s="7">
        <f>H249</f>
        <v>33</v>
      </c>
    </row>
    <row r="250" ht="15.75" customHeight="1" outlineLevel="1">
      <c r="A250" t="str">
        <f>G250</f>
        <v>Sin Pagar</v>
      </c>
      <c r="B250">
        <f>IF(I250&lt;=-1,1,IF(I250&lt;=5,2,IF(I250&lt;=15,3,IF(H250&lt;=60,4))))</f>
        <v>4</v>
      </c>
      <c r="C250">
        <v>6861</v>
      </c>
      <c r="D250" t="str">
        <v xml:space="preserve">EMASOC </v>
      </c>
      <c r="E250" s="2">
        <f>499900*0</f>
        <v>0</v>
      </c>
      <c r="F250" s="1">
        <v>46041</v>
      </c>
      <c r="G250" t="str">
        <v>Sin Pagar</v>
      </c>
      <c r="H250">
        <f>IF(OR(G250="Sin pagar",G250="Pagar"),NETWORKDAYS($J$113,F250,'Festivos Colombia'!$A$3:$A$22),0)</f>
        <v>34</v>
      </c>
      <c r="I250">
        <f>NETWORKDAYS($J$113,F250,'Festivos Colombia'!$A$3:$A$22)</f>
        <v>34</v>
      </c>
      <c r="J250" s="7">
        <f>H250</f>
        <v>34</v>
      </c>
    </row>
    <row r="251" ht="15.75" customHeight="1" outlineLevel="1">
      <c r="A251" t="str">
        <f>G251</f>
        <v>Sin Pagar</v>
      </c>
      <c r="B251">
        <f>IF(I251&lt;=-1,1,IF(I251&lt;=5,2,IF(I251&lt;=15,3,IF(H251&lt;=60,4))))</f>
        <v>4</v>
      </c>
      <c r="C251" t="str">
        <v>FE3074</v>
      </c>
      <c r="D251" t="str">
        <v>Prosinte</v>
      </c>
      <c r="E251" s="2">
        <f>573506.15*0</f>
        <v>0</v>
      </c>
      <c r="F251" s="1">
        <v>46038</v>
      </c>
      <c r="G251" t="str">
        <v>Sin Pagar</v>
      </c>
      <c r="H251">
        <f>IF(OR(G251="Sin pagar",G251="Pagar"),NETWORKDAYS($J$113,F251,'Festivos Colombia'!$A$3:$A$22),0)</f>
        <v>33</v>
      </c>
      <c r="I251">
        <f>NETWORKDAYS($J$113,F251,'Festivos Colombia'!$A$3:$A$22)</f>
        <v>33</v>
      </c>
      <c r="J251" s="7">
        <f>H251</f>
        <v>33</v>
      </c>
    </row>
    <row r="252" ht="16.5" customHeight="1">
      <c r="D252" t="str">
        <v>SOFTWARE NÓMINA</v>
      </c>
      <c r="E252" s="2">
        <f>SUBTOTAL(9,E253:E263)</f>
        <v>17044396.01024</v>
      </c>
    </row>
    <row r="253" outlineLevel="1">
      <c r="A253" t="str">
        <f>G253</f>
        <v>Cancelado</v>
      </c>
      <c r="B253">
        <f>IF(I253&lt;=-1,1,IF(I253&lt;=5,2,IF(I253&lt;=15,3,IF(H253&lt;=60,4))))</f>
        <v>3</v>
      </c>
      <c r="C253">
        <v>43436</v>
      </c>
      <c r="D253" t="str">
        <v>Práxedes nómina electronica-Transmisión nómina eléctronica Octubre</v>
      </c>
      <c r="E253" s="2">
        <v>240031.19448</v>
      </c>
      <c r="F253" s="1">
        <v>46002</v>
      </c>
      <c r="G253" t="str">
        <v>Cancelado</v>
      </c>
      <c r="H253">
        <f>IF(OR(G253="Sin pagar",G253="Pagar"),NETWORKDAYS($J$113,F253,'Festivos Colombia'!$A$3:$A$22),0)</f>
        <v>0</v>
      </c>
      <c r="I253">
        <f>NETWORKDAYS($J$113,F253,'Festivos Colombia'!$A$3:$A$22)</f>
        <v>9</v>
      </c>
      <c r="J253" s="7">
        <f>H253</f>
        <v>0</v>
      </c>
    </row>
    <row r="254" ht="30" customHeight="1" outlineLevel="1">
      <c r="A254" t="str">
        <f>G254</f>
        <v>Cancelado</v>
      </c>
      <c r="B254">
        <f>IF(I254&lt;=-1,1,IF(I254&lt;=5,2,IF(I254&lt;=15,3,IF(H254&lt;=60,4))))</f>
        <v>3</v>
      </c>
      <c r="C254">
        <v>43426</v>
      </c>
      <c r="D254" t="str">
        <v>Práxedes nómina electronica-Servidores hosting y/o Computación en la nuble Cloud Octubre</v>
      </c>
      <c r="E254" s="2">
        <v>1596529.81576</v>
      </c>
      <c r="F254" s="1">
        <v>46002</v>
      </c>
      <c r="G254" t="str">
        <v>Cancelado</v>
      </c>
      <c r="H254">
        <f>IF(OR(G254="Sin pagar",G254="Pagar"),NETWORKDAYS($J$113,F254,'Festivos Colombia'!$A$3:$A$22),0)</f>
        <v>0</v>
      </c>
      <c r="I254">
        <f>NETWORKDAYS($J$113,F254,'Festivos Colombia'!$A$3:$A$22)</f>
        <v>9</v>
      </c>
      <c r="J254" s="7">
        <f>H254</f>
        <v>0</v>
      </c>
    </row>
    <row r="255" ht="30" customHeight="1" outlineLevel="1">
      <c r="A255" t="str">
        <f>G255</f>
        <v>Sin Pagar</v>
      </c>
      <c r="B255">
        <f>IF(I255&lt;=-1,1,IF(I255&lt;=5,2,IF(I255&lt;=15,3,IF(H255&lt;=60,4))))</f>
        <v>4</v>
      </c>
      <c r="C255">
        <v>43845</v>
      </c>
      <c r="D255" t="str">
        <v>Práxedes nómina electronica-Servidores hosting y/o Computación en la nuble Cloud Noviembre</v>
      </c>
      <c r="E255" s="2">
        <f>1567608*0</f>
        <v>0</v>
      </c>
      <c r="F255" s="1">
        <v>46031</v>
      </c>
      <c r="G255" t="str">
        <v>Sin Pagar</v>
      </c>
      <c r="H255">
        <f>IF(OR(G255="Sin pagar",G255="Pagar"),NETWORKDAYS($J$113,F255,'Festivos Colombia'!$A$3:$A$22),0)</f>
        <v>29</v>
      </c>
      <c r="I255">
        <f>NETWORKDAYS($J$113,F255,'Festivos Colombia'!$A$3:$A$22)</f>
        <v>29</v>
      </c>
      <c r="J255" s="7">
        <f>H255</f>
        <v>29</v>
      </c>
    </row>
    <row r="256" outlineLevel="1">
      <c r="A256" t="str">
        <f>G256</f>
        <v>Sin Pagar</v>
      </c>
      <c r="B256">
        <f>IF(I256&lt;=-1,1,IF(I256&lt;=5,2,IF(I256&lt;=15,3,IF(H256&lt;=60,4))))</f>
        <v>4</v>
      </c>
      <c r="C256">
        <v>43984</v>
      </c>
      <c r="D256" t="str">
        <v>Práxedes nómina electronica-Transmisión nómina eléctronica Noviembre</v>
      </c>
      <c r="E256" s="2">
        <f>240031.19448*0</f>
        <v>0</v>
      </c>
      <c r="F256" s="1">
        <v>46039</v>
      </c>
      <c r="G256" t="str">
        <v>Sin Pagar</v>
      </c>
      <c r="H256">
        <f>IF(OR(G256="Sin pagar",G256="Pagar"),NETWORKDAYS($J$113,F256,'Festivos Colombia'!$A$3:$A$22),0)</f>
        <v>33</v>
      </c>
      <c r="I256">
        <f>NETWORKDAYS($J$113,F256,'Festivos Colombia'!$A$3:$A$22)</f>
        <v>33</v>
      </c>
      <c r="J256" s="7">
        <f>H256</f>
        <v>33</v>
      </c>
    </row>
    <row r="257" ht="30" customHeight="1" outlineLevel="1">
      <c r="A257" t="str">
        <f>G257</f>
        <v>Sin Pagar</v>
      </c>
      <c r="B257">
        <f>IF(I257&lt;=-1,1,IF(I257&lt;=5,2,IF(I257&lt;=15,3,IF(H257&lt;=60,4))))</f>
        <v>4</v>
      </c>
      <c r="C257">
        <v>43846</v>
      </c>
      <c r="D257" t="str">
        <v>Práxedes nómina electronica-Servidores hosting y/o Computación en la nuble Cloud Noviembre</v>
      </c>
      <c r="E257" s="2">
        <f>1567608*0</f>
        <v>0</v>
      </c>
      <c r="F257" s="1">
        <v>46043</v>
      </c>
      <c r="G257" t="str">
        <v>Sin Pagar</v>
      </c>
      <c r="H257">
        <f>IF(OR(G257="Sin pagar",G257="Pagar"),NETWORKDAYS($J$113,F257,'Festivos Colombia'!$A$3:$A$22),0)</f>
        <v>36</v>
      </c>
      <c r="I257">
        <f>NETWORKDAYS($J$113,F257,'Festivos Colombia'!$A$3:$A$22)</f>
        <v>36</v>
      </c>
      <c r="J257" s="7">
        <f>H257</f>
        <v>36</v>
      </c>
    </row>
    <row r="258" outlineLevel="1">
      <c r="A258" t="str">
        <f>G258</f>
        <v>Cancelado</v>
      </c>
      <c r="B258">
        <f>IF(I258&lt;=-1,1,IF(I258&lt;=5,2,IF(I258&lt;=15,3,IF(H258&lt;=60,4))))</f>
        <v>3</v>
      </c>
      <c r="C258" t="str">
        <v>GFE56876</v>
      </c>
      <c r="D258" t="str">
        <v>Novasoft-Horas de personalización</v>
      </c>
      <c r="E258" s="2">
        <f>448529</f>
        <v>448529</v>
      </c>
      <c r="F258" s="1">
        <v>46002</v>
      </c>
      <c r="G258" t="str">
        <v>Cancelado</v>
      </c>
      <c r="H258">
        <f>IF(OR(G258="Sin pagar",G258="Pagar"),NETWORKDAYS($J$113,F258,'Festivos Colombia'!$A$3:$A$22),0)</f>
        <v>0</v>
      </c>
      <c r="I258">
        <f>NETWORKDAYS($J$113,F258,'Festivos Colombia'!$A$3:$A$22)</f>
        <v>9</v>
      </c>
      <c r="J258" s="7">
        <f>H258</f>
        <v>0</v>
      </c>
    </row>
    <row r="259" outlineLevel="1">
      <c r="A259" t="str">
        <f>G259</f>
        <v>Cancelado</v>
      </c>
      <c r="B259">
        <f>IF(I259&lt;=-1,1,IF(I259&lt;=5,2,IF(I259&lt;=15,3,IF(H259&lt;=60,4))))</f>
        <v>4</v>
      </c>
      <c r="C259" t="str">
        <v>GFE57081</v>
      </c>
      <c r="D259" t="str">
        <v>Novasoft-Servicio hosting Web-19 Usuarios-27 Bases de datos Noviembre</v>
      </c>
      <c r="E259" s="2">
        <f>5188351</f>
        <v>5188351</v>
      </c>
      <c r="F259" s="1">
        <v>46014</v>
      </c>
      <c r="G259" t="str">
        <v>Cancelado</v>
      </c>
      <c r="H259">
        <f>IF(OR(G259="Sin pagar",G259="Pagar"),NETWORKDAYS($J$113,F259,'Festivos Colombia'!$A$3:$A$22),0)</f>
        <v>0</v>
      </c>
      <c r="I259">
        <f>NETWORKDAYS($J$113,F259,'Festivos Colombia'!$A$3:$A$22)</f>
        <v>17</v>
      </c>
      <c r="J259" s="7">
        <f>H259</f>
        <v>0</v>
      </c>
    </row>
    <row r="260" ht="30" customHeight="1" outlineLevel="1">
      <c r="A260" t="str">
        <f>G260</f>
        <v>Cancelado</v>
      </c>
      <c r="B260">
        <f>IF(I260&lt;=-1,1,IF(I260&lt;=5,2,IF(I260&lt;=15,3,IF(H260&lt;=60,4))))</f>
        <v>4</v>
      </c>
      <c r="C260" t="str">
        <v>GFE57309</v>
      </c>
      <c r="D260" t="str">
        <v>Novasoft-Derecho de uso de nómina, Derecho de uso portal , nómina electrónica, Habilitación y emisión de comprobantes Octubre 2025</v>
      </c>
      <c r="E260" s="2">
        <f>8721110</f>
        <v>8721110</v>
      </c>
      <c r="F260" s="1">
        <v>46014</v>
      </c>
      <c r="G260" t="str">
        <v>Cancelado</v>
      </c>
      <c r="H260">
        <f>IF(OR(G260="Sin pagar",G260="Pagar"),NETWORKDAYS($J$113,F260,'Festivos Colombia'!$A$3:$A$22),0)</f>
        <v>0</v>
      </c>
      <c r="I260">
        <f>NETWORKDAYS($J$113,F260,'Festivos Colombia'!$A$3:$A$22)</f>
        <v>17</v>
      </c>
      <c r="J260" s="7">
        <f>H260</f>
        <v>0</v>
      </c>
    </row>
    <row r="261" ht="30" customHeight="1" outlineLevel="1">
      <c r="A261" t="str">
        <f>G261</f>
        <v>Cancelado</v>
      </c>
      <c r="B261">
        <f>IF(I261&lt;=-1,1,IF(I261&lt;=5,2,IF(I261&lt;=15,3,IF(H261&lt;=60,4))))</f>
        <v>4</v>
      </c>
      <c r="C261" t="str">
        <v>GFE57129</v>
      </c>
      <c r="D261" t="str">
        <v>Novasoft-Servicio Consultoria Web según reporte de servicio Nro 243409 DEL 16/07/2025 , Consultor Angie Smith Vargas</v>
      </c>
      <c r="E261" s="2">
        <f>849845</f>
        <v>849845</v>
      </c>
      <c r="F261" s="1">
        <v>46014</v>
      </c>
      <c r="G261" t="str">
        <v>Cancelado</v>
      </c>
      <c r="H261">
        <f>IF(OR(G261="Sin pagar",G261="Pagar"),NETWORKDAYS($J$113,F261,'Festivos Colombia'!$A$3:$A$22),0)</f>
        <v>0</v>
      </c>
      <c r="I261">
        <f>NETWORKDAYS($J$113,F261,'Festivos Colombia'!$A$3:$A$22)</f>
        <v>17</v>
      </c>
      <c r="J261" s="7">
        <f>H261</f>
        <v>0</v>
      </c>
    </row>
    <row r="262" outlineLevel="1">
      <c r="A262" t="str">
        <f>G262</f>
        <v>Sin Pagar</v>
      </c>
      <c r="B262">
        <f>IF(I262&lt;=-1,1,IF(I262&lt;=5,2,IF(I262&lt;=15,3,IF(H262&lt;=60,4))))</f>
        <v>4</v>
      </c>
      <c r="C262" t="str">
        <v>GFE57362</v>
      </c>
      <c r="D262" t="str">
        <v>Novasoft-Servicio hosting Web-19 Usuarios-27 Bases de datos Diciembre</v>
      </c>
      <c r="E262" s="2">
        <f>5188351*0</f>
        <v>0</v>
      </c>
      <c r="F262" s="1">
        <v>46031</v>
      </c>
      <c r="G262" t="str">
        <v>Sin Pagar</v>
      </c>
      <c r="H262">
        <f>IF(OR(G262="Sin pagar",G262="Pagar"),NETWORKDAYS($J$113,F262,'Festivos Colombia'!$A$3:$A$22),0)</f>
        <v>29</v>
      </c>
      <c r="I262">
        <f>NETWORKDAYS($J$113,F262,'Festivos Colombia'!$A$3:$A$22)</f>
        <v>29</v>
      </c>
      <c r="J262" s="7">
        <f>H262</f>
        <v>29</v>
      </c>
    </row>
    <row r="263" ht="30.75" customHeight="1" outlineLevel="1">
      <c r="A263" t="str">
        <f>G263</f>
        <v>Sin Pagar</v>
      </c>
      <c r="B263">
        <f>IF(I263&lt;=-1,1,IF(I263&lt;=5,2,IF(I263&lt;=15,3,IF(H263&lt;=60,4))))</f>
        <v>4</v>
      </c>
      <c r="C263" t="str">
        <v>GFE58327</v>
      </c>
      <c r="D263" t="str">
        <v>Novasoft-Derecho de uso de nómina, Derecho de uso portal , nómina electrónica, Habilitación y emisión de comprobantes Noviembre</v>
      </c>
      <c r="E263" s="2">
        <f>8471343*0</f>
        <v>0</v>
      </c>
      <c r="F263" s="1">
        <v>46040</v>
      </c>
      <c r="G263" t="str">
        <v>Sin Pagar</v>
      </c>
      <c r="H263">
        <f>IF(OR(G263="Sin pagar",G263="Pagar"),NETWORKDAYS($J$113,F263,'Festivos Colombia'!$A$3:$A$22),0)</f>
        <v>33</v>
      </c>
      <c r="I263">
        <f>NETWORKDAYS($J$113,F263,'Festivos Colombia'!$A$3:$A$22)</f>
        <v>33</v>
      </c>
      <c r="J263" s="7">
        <f>H263</f>
        <v>33</v>
      </c>
    </row>
    <row r="264" ht="16.5" customHeight="1">
      <c r="D264" t="str">
        <v>NÓMINAS Y ABONO A TARJETAS PEOPLE PASS</v>
      </c>
      <c r="E264" s="2">
        <f>SUBTOTAL(9,E265:E289)</f>
        <v>2000052078.556</v>
      </c>
    </row>
    <row r="265" outlineLevel="1">
      <c r="A265" t="str">
        <f>G265</f>
        <v>Cancelado</v>
      </c>
      <c r="B265">
        <f>IF(I265&lt;=-1,1,IF(I265&lt;=5,2,IF(I265&lt;=15,3,IF(H265&lt;=60,4))))</f>
        <v>3</v>
      </c>
      <c r="C265" s="2" t="str">
        <v>51 regsitros</v>
      </c>
      <c r="D265" t="str">
        <v>Prima S&amp;P</v>
      </c>
      <c r="E265" s="2">
        <v>76248624</v>
      </c>
      <c r="F265" s="1">
        <v>46007</v>
      </c>
      <c r="G265" t="str">
        <v>Cancelado</v>
      </c>
      <c r="H265">
        <f>IF(OR(G265="Sin pagar",G265="Pagar"),NETWORKDAYS($J$113,F265,'Festivos Colombia'!$A$3:$A$22),0)</f>
        <v>0</v>
      </c>
      <c r="I265">
        <f>NETWORKDAYS($J$113,F265,'Festivos Colombia'!$A$3:$A$22)</f>
        <v>12</v>
      </c>
      <c r="J265" s="7">
        <f>H265</f>
        <v>0</v>
      </c>
    </row>
    <row r="266" outlineLevel="1">
      <c r="A266" t="str">
        <f>G266</f>
        <v>Cancelado</v>
      </c>
      <c r="B266">
        <f>IF(I266&lt;=-1,1,IF(I266&lt;=5,2,IF(I266&lt;=15,3,IF(H266&lt;=60,4))))</f>
        <v>3</v>
      </c>
      <c r="C266" s="2" t="str">
        <v xml:space="preserve">106 registros </v>
      </c>
      <c r="D266" t="str">
        <v xml:space="preserve">Prima EOR-Otros cliente </v>
      </c>
      <c r="E266" s="2">
        <v>330354459</v>
      </c>
      <c r="F266" s="1">
        <v>46007</v>
      </c>
      <c r="G266" t="str">
        <v>Cancelado</v>
      </c>
      <c r="H266">
        <f>IF(OR(G266="Sin pagar",G266="Pagar"),NETWORKDAYS($J$113,F266,'Festivos Colombia'!$A$3:$A$22),0)</f>
        <v>0</v>
      </c>
      <c r="I266">
        <f>NETWORKDAYS($J$113,F266,'Festivos Colombia'!$A$3:$A$22)</f>
        <v>12</v>
      </c>
      <c r="J266" s="7">
        <f>H266</f>
        <v>0</v>
      </c>
    </row>
    <row r="267" outlineLevel="1">
      <c r="A267" t="str">
        <f>G267</f>
        <v>Cancelado</v>
      </c>
      <c r="B267">
        <f>IF(I267&lt;=-1,1,IF(I267&lt;=5,2,IF(I267&lt;=15,3,IF(H267&lt;=60,4))))</f>
        <v>3</v>
      </c>
      <c r="C267" s="2" t="str">
        <v>22 registros</v>
      </c>
      <c r="D267" t="str">
        <v>Prima EOR-Otros Insider</v>
      </c>
      <c r="E267" s="2">
        <f>144223182</f>
        <v>144223182</v>
      </c>
      <c r="F267" s="1">
        <v>46010</v>
      </c>
      <c r="G267" t="str">
        <v>Cancelado</v>
      </c>
      <c r="H267">
        <f>IF(OR(G267="Sin pagar",G267="Pagar"),NETWORKDAYS($J$113,F267,'Festivos Colombia'!$A$3:$A$22),0)</f>
        <v>0</v>
      </c>
      <c r="I267">
        <f>NETWORKDAYS($J$113,F267,'Festivos Colombia'!$A$3:$A$22)</f>
        <v>15</v>
      </c>
      <c r="J267" s="7">
        <f>H267</f>
        <v>0</v>
      </c>
    </row>
    <row r="268" outlineLevel="1">
      <c r="A268" t="str">
        <f>G268</f>
        <v>Cancelado</v>
      </c>
      <c r="B268">
        <f>IF(I268&lt;=-1,1,IF(I268&lt;=5,2,IF(I268&lt;=15,3,IF(H268&lt;=60,4))))</f>
        <v>4</v>
      </c>
      <c r="C268" t="str">
        <v>FPP432457</v>
      </c>
      <c r="D268" t="str">
        <v>People Pass Dotación</v>
      </c>
      <c r="E268" s="2">
        <v>3544238</v>
      </c>
      <c r="F268" s="1">
        <v>46013</v>
      </c>
      <c r="G268" t="str">
        <v>Cancelado</v>
      </c>
      <c r="H268">
        <f>IF(OR(G268="Sin pagar",G268="Pagar"),NETWORKDAYS($J$113,F268,'Festivos Colombia'!$A$3:$A$22),0)</f>
        <v>0</v>
      </c>
      <c r="I268">
        <f>NETWORKDAYS($J$113,F268,'Festivos Colombia'!$A$3:$A$22)</f>
        <v>16</v>
      </c>
      <c r="J268" s="7">
        <f>H268</f>
        <v>0</v>
      </c>
    </row>
    <row r="269" outlineLevel="1">
      <c r="A269" t="str">
        <f>G269</f>
        <v>Cancelado</v>
      </c>
      <c r="B269">
        <f>IF(I269&lt;=-1,1,IF(I269&lt;=5,2,IF(I269&lt;=15,3,IF(H269&lt;=60,4))))</f>
        <v>4</v>
      </c>
      <c r="D269" t="str">
        <v>Nomina S&amp;P</v>
      </c>
      <c r="E269" s="2">
        <v>153359759</v>
      </c>
      <c r="F269" s="1">
        <v>46017</v>
      </c>
      <c r="G269" t="str">
        <v>Cancelado</v>
      </c>
      <c r="H269">
        <f>IF(OR(G269="Sin pagar",G269="Pagar"),NETWORKDAYS($J$113,F269,'Festivos Colombia'!$A$3:$A$22),0)</f>
        <v>0</v>
      </c>
      <c r="I269">
        <f>NETWORKDAYS($J$113,F269,'Festivos Colombia'!$A$3:$A$22)</f>
        <v>20</v>
      </c>
      <c r="J269" s="7">
        <f>H269</f>
        <v>0</v>
      </c>
    </row>
    <row r="270" outlineLevel="1">
      <c r="D270" t="str">
        <v>Nomina EOR-c1007 - NZD</v>
      </c>
      <c r="E270" s="2">
        <v>30816811</v>
      </c>
      <c r="F270" s="1">
        <v>46017</v>
      </c>
      <c r="G270" t="str">
        <v>Cancelado</v>
      </c>
      <c r="H270">
        <f>IF(OR(G270="Sin pagar",G270="Pagar"),NETWORKDAYS($J$113,F270,'Festivos Colombia'!$A$3:$A$22),0)</f>
        <v>0</v>
      </c>
      <c r="I270">
        <f>NETWORKDAYS($J$113,F270,'Festivos Colombia'!$A$3:$A$22)</f>
        <v>20</v>
      </c>
      <c r="J270" s="7">
        <f>H270</f>
        <v>0</v>
      </c>
    </row>
    <row r="271" outlineLevel="1">
      <c r="D271" t="str">
        <v>Nomina EOR-c1024 - MKD</v>
      </c>
      <c r="E271" s="2">
        <v>3082036</v>
      </c>
      <c r="F271" s="1">
        <v>46017</v>
      </c>
      <c r="G271" t="str">
        <v>Cancelado</v>
      </c>
      <c r="H271">
        <f>IF(OR(G271="Sin pagar",G271="Pagar"),NETWORKDAYS($J$113,F271,'Festivos Colombia'!$A$3:$A$22),0)</f>
        <v>0</v>
      </c>
      <c r="I271">
        <f>NETWORKDAYS($J$113,F271,'Festivos Colombia'!$A$3:$A$22)</f>
        <v>20</v>
      </c>
      <c r="J271" s="7">
        <f>H271</f>
        <v>0</v>
      </c>
    </row>
    <row r="272" outlineLevel="1">
      <c r="D272" t="str">
        <v>Nomina EOR-c1032 - Flexco</v>
      </c>
      <c r="E272" s="2">
        <v>14249491</v>
      </c>
      <c r="F272" s="1">
        <v>46017</v>
      </c>
      <c r="G272" t="str">
        <v>Cancelado</v>
      </c>
      <c r="H272">
        <f>IF(OR(G272="Sin pagar",G272="Pagar"),NETWORKDAYS($J$113,F272,'Festivos Colombia'!$A$3:$A$22),0)</f>
        <v>0</v>
      </c>
      <c r="I272">
        <f>NETWORKDAYS($J$113,F272,'Festivos Colombia'!$A$3:$A$22)</f>
        <v>20</v>
      </c>
      <c r="J272" s="7">
        <f>H272</f>
        <v>0</v>
      </c>
    </row>
    <row r="273" outlineLevel="1">
      <c r="D273" t="str">
        <v>Nomina EOR-c1037 - Remofirst</v>
      </c>
      <c r="E273" s="2">
        <v>664934660</v>
      </c>
      <c r="F273" s="1">
        <v>46017</v>
      </c>
      <c r="G273" t="str">
        <v>Cancelado</v>
      </c>
      <c r="H273">
        <f>IF(OR(G273="Sin pagar",G273="Pagar"),NETWORKDAYS($J$113,F273,'Festivos Colombia'!$A$3:$A$22),0)</f>
        <v>0</v>
      </c>
      <c r="I273">
        <f>NETWORKDAYS($J$113,F273,'Festivos Colombia'!$A$3:$A$22)</f>
        <v>20</v>
      </c>
      <c r="J273" s="7">
        <f>H273</f>
        <v>0</v>
      </c>
    </row>
    <row r="274" outlineLevel="1">
      <c r="D274" t="str">
        <v>Nomina EOR-c1038 - Oncehub</v>
      </c>
      <c r="E274" s="2">
        <v>9162105</v>
      </c>
      <c r="F274" s="1">
        <v>46017</v>
      </c>
      <c r="G274" t="str">
        <v>Cancelado</v>
      </c>
      <c r="H274">
        <f>IF(OR(G274="Sin pagar",G274="Pagar"),NETWORKDAYS($J$113,F274,'Festivos Colombia'!$A$3:$A$22),0)</f>
        <v>0</v>
      </c>
      <c r="I274">
        <f>NETWORKDAYS($J$113,F274,'Festivos Colombia'!$A$3:$A$22)</f>
        <v>20</v>
      </c>
      <c r="J274" s="7">
        <f>H274</f>
        <v>0</v>
      </c>
    </row>
    <row r="275" outlineLevel="1">
      <c r="D275" t="str">
        <v>Nomina EOR-c1041 - Edrington</v>
      </c>
      <c r="E275" s="2">
        <v>17197968</v>
      </c>
      <c r="F275" s="1">
        <v>46017</v>
      </c>
      <c r="G275" t="str">
        <v>Cancelado</v>
      </c>
      <c r="H275">
        <f>IF(OR(G275="Sin pagar",G275="Pagar"),NETWORKDAYS($J$113,F275,'Festivos Colombia'!$A$3:$A$22),0)</f>
        <v>0</v>
      </c>
      <c r="I275">
        <f>NETWORKDAYS($J$113,F275,'Festivos Colombia'!$A$3:$A$22)</f>
        <v>20</v>
      </c>
      <c r="J275" s="7">
        <f>H275</f>
        <v>0</v>
      </c>
    </row>
    <row r="276" outlineLevel="1">
      <c r="D276" t="str">
        <v>Nomina EOR-c1042 - EPDM</v>
      </c>
      <c r="E276" s="2">
        <v>6348420</v>
      </c>
      <c r="F276" s="1">
        <v>46017</v>
      </c>
      <c r="G276" t="str">
        <v>Cancelado</v>
      </c>
      <c r="H276">
        <f>IF(OR(G276="Sin pagar",G276="Pagar"),NETWORKDAYS($J$113,F276,'Festivos Colombia'!$A$3:$A$22),0)</f>
        <v>0</v>
      </c>
      <c r="I276">
        <f>NETWORKDAYS($J$113,F276,'Festivos Colombia'!$A$3:$A$22)</f>
        <v>20</v>
      </c>
      <c r="J276" s="7">
        <f>H276</f>
        <v>0</v>
      </c>
    </row>
    <row r="277" outlineLevel="1">
      <c r="D277" t="str">
        <v>Nomina EOR-c1043 - Neo</v>
      </c>
      <c r="E277" s="2">
        <v>47381400</v>
      </c>
      <c r="F277" s="1">
        <v>46017</v>
      </c>
      <c r="G277" t="str">
        <v>Cancelado</v>
      </c>
      <c r="H277">
        <f>IF(OR(G277="Sin pagar",G277="Pagar"),NETWORKDAYS($J$113,F277,'Festivos Colombia'!$A$3:$A$22),0)</f>
        <v>0</v>
      </c>
      <c r="I277">
        <f>NETWORKDAYS($J$113,F277,'Festivos Colombia'!$A$3:$A$22)</f>
        <v>20</v>
      </c>
      <c r="J277" s="7">
        <f>H277</f>
        <v>0</v>
      </c>
    </row>
    <row r="278" outlineLevel="1">
      <c r="D278" t="str">
        <v>Nomina EOR-c1050 - Hemmersbach</v>
      </c>
      <c r="E278" s="2">
        <v>7474153</v>
      </c>
      <c r="F278" s="1">
        <v>46017</v>
      </c>
      <c r="G278" t="str">
        <v>Cancelado</v>
      </c>
      <c r="H278">
        <f>IF(OR(G278="Sin pagar",G278="Pagar"),NETWORKDAYS($J$113,F278,'Festivos Colombia'!$A$3:$A$22),0)</f>
        <v>0</v>
      </c>
      <c r="I278">
        <f>NETWORKDAYS($J$113,F278,'Festivos Colombia'!$A$3:$A$22)</f>
        <v>20</v>
      </c>
      <c r="J278" s="7">
        <f>H278</f>
        <v>0</v>
      </c>
    </row>
    <row r="279" outlineLevel="1">
      <c r="D279" t="str">
        <v>Nomina EOR-c1051 - Yonyou</v>
      </c>
      <c r="E279" s="2">
        <v>29239605</v>
      </c>
      <c r="F279" s="1">
        <v>46017</v>
      </c>
      <c r="G279" t="str">
        <v>Cancelado</v>
      </c>
      <c r="H279">
        <f>IF(OR(G279="Sin pagar",G279="Pagar"),NETWORKDAYS($J$113,F279,'Festivos Colombia'!$A$3:$A$22),0)</f>
        <v>0</v>
      </c>
      <c r="I279">
        <f>NETWORKDAYS($J$113,F279,'Festivos Colombia'!$A$3:$A$22)</f>
        <v>20</v>
      </c>
      <c r="J279" s="7">
        <f>H279</f>
        <v>0</v>
      </c>
    </row>
    <row r="280" outlineLevel="1">
      <c r="D280" t="str">
        <v>Nomina EOR-c1052 - bubble</v>
      </c>
      <c r="E280" s="2">
        <v>3076200</v>
      </c>
      <c r="F280" s="1">
        <v>46017</v>
      </c>
      <c r="G280" t="str">
        <v>Cancelado</v>
      </c>
      <c r="H280">
        <f>IF(OR(G280="Sin pagar",G280="Pagar"),NETWORKDAYS($J$113,F280,'Festivos Colombia'!$A$3:$A$22),0)</f>
        <v>0</v>
      </c>
      <c r="I280">
        <f>NETWORKDAYS($J$113,F280,'Festivos Colombia'!$A$3:$A$22)</f>
        <v>20</v>
      </c>
      <c r="J280" s="7">
        <f>H280</f>
        <v>0</v>
      </c>
    </row>
    <row r="281" outlineLevel="1">
      <c r="D281" t="str">
        <v>Nomina EOR-c1053 - Global expansion</v>
      </c>
      <c r="E281" s="2">
        <v>3840000</v>
      </c>
      <c r="F281" s="1">
        <v>46017</v>
      </c>
      <c r="G281" t="str">
        <v>Cancelado</v>
      </c>
      <c r="H281">
        <f>IF(OR(G281="Sin pagar",G281="Pagar"),NETWORKDAYS($J$113,F281,'Festivos Colombia'!$A$3:$A$22),0)</f>
        <v>0</v>
      </c>
      <c r="I281">
        <f>NETWORKDAYS($J$113,F281,'Festivos Colombia'!$A$3:$A$22)</f>
        <v>20</v>
      </c>
      <c r="J281" s="7">
        <f>H281</f>
        <v>0</v>
      </c>
    </row>
    <row r="282" outlineLevel="1">
      <c r="D282" t="str">
        <v>Nomina EOR-c1055 - Rivermate</v>
      </c>
      <c r="E282" s="2">
        <v>49116885</v>
      </c>
      <c r="F282" s="1">
        <v>46017</v>
      </c>
      <c r="G282" t="str">
        <v>Cancelado</v>
      </c>
      <c r="H282">
        <f>IF(OR(G282="Sin pagar",G282="Pagar"),NETWORKDAYS($J$113,F282,'Festivos Colombia'!$A$3:$A$22),0)</f>
        <v>0</v>
      </c>
      <c r="I282">
        <f>NETWORKDAYS($J$113,F282,'Festivos Colombia'!$A$3:$A$22)</f>
        <v>20</v>
      </c>
      <c r="J282" s="7">
        <f>H282</f>
        <v>0</v>
      </c>
    </row>
    <row r="283" outlineLevel="1">
      <c r="D283" t="str">
        <v>Nomina EOR-c1056 - Europortage</v>
      </c>
      <c r="E283" s="2">
        <v>31504846</v>
      </c>
      <c r="F283" s="1">
        <v>46017</v>
      </c>
      <c r="G283" t="str">
        <v>Cancelado</v>
      </c>
      <c r="H283">
        <f>IF(OR(G283="Sin pagar",G283="Pagar"),NETWORKDAYS($J$113,F283,'Festivos Colombia'!$A$3:$A$22),0)</f>
        <v>0</v>
      </c>
      <c r="I283">
        <f>NETWORKDAYS($J$113,F283,'Festivos Colombia'!$A$3:$A$22)</f>
        <v>20</v>
      </c>
      <c r="J283" s="7">
        <f>H283</f>
        <v>0</v>
      </c>
    </row>
    <row r="284" outlineLevel="1">
      <c r="D284" t="str">
        <v>Nomina EOR-c1029 - Insider</v>
      </c>
      <c r="E284" s="2">
        <f>318129873</f>
        <v>318129873</v>
      </c>
      <c r="F284" s="1">
        <v>46017</v>
      </c>
      <c r="G284" t="str">
        <v>Cancelado</v>
      </c>
      <c r="H284">
        <f>IF(OR(G284="Sin pagar",G284="Pagar"),NETWORKDAYS($J$113,F284,'Festivos Colombia'!$A$3:$A$22),0)</f>
        <v>0</v>
      </c>
      <c r="I284">
        <f>NETWORKDAYS($J$113,F284,'Festivos Colombia'!$A$3:$A$22)</f>
        <v>20</v>
      </c>
      <c r="J284" s="7">
        <f>H284</f>
        <v>0</v>
      </c>
    </row>
    <row r="285" outlineLevel="1">
      <c r="A285" t="str">
        <f>G285</f>
        <v>Cancelado</v>
      </c>
      <c r="B285">
        <f>IF(I285&lt;=-1,1,IF(I285&lt;=5,2,IF(I285&lt;=15,3,IF(H285&lt;=60,4))))</f>
        <v>4</v>
      </c>
      <c r="C285" s="2" t="str">
        <v>1 registro</v>
      </c>
      <c r="D285" t="str">
        <v xml:space="preserve">Embargo Fabian Morales- Banco Agrario </v>
      </c>
      <c r="E285" s="2">
        <v>998629</v>
      </c>
      <c r="F285" s="1">
        <v>46017</v>
      </c>
      <c r="G285" t="str">
        <v>Cancelado</v>
      </c>
      <c r="H285">
        <f>IF(OR(G285="Sin pagar",G285="Pagar"),NETWORKDAYS($J$113,F285,'Festivos Colombia'!$A$3:$A$22),0)</f>
        <v>0</v>
      </c>
      <c r="I285">
        <f>NETWORKDAYS($J$113,F285,'Festivos Colombia'!$A$3:$A$22)</f>
        <v>20</v>
      </c>
      <c r="J285" s="7">
        <f>H285</f>
        <v>0</v>
      </c>
    </row>
    <row r="286" outlineLevel="1">
      <c r="A286" t="str">
        <f>G286</f>
        <v>Cancelado</v>
      </c>
      <c r="B286">
        <f>IF(I286&lt;=-1,1,IF(I286&lt;=5,2,IF(I286&lt;=15,3,IF(H286&lt;=60,4))))</f>
        <v>4</v>
      </c>
      <c r="C286" t="str">
        <v xml:space="preserve"> FPP433996</v>
      </c>
      <c r="D286" t="str">
        <v>People Pass bienestar, medios de transporte y alimentación</v>
      </c>
      <c r="E286" s="2">
        <v>14143501.556</v>
      </c>
      <c r="F286" s="1">
        <v>46017</v>
      </c>
      <c r="G286" t="str">
        <v>Cancelado</v>
      </c>
      <c r="H286">
        <f>IF(OR(G286="Sin pagar",G286="Pagar"),NETWORKDAYS($J$113,F286,'Festivos Colombia'!$A$3:$A$22),0)</f>
        <v>0</v>
      </c>
      <c r="I286">
        <f>NETWORKDAYS($J$113,F286,'Festivos Colombia'!$A$3:$A$22)</f>
        <v>20</v>
      </c>
      <c r="J286" s="7">
        <f>H286</f>
        <v>0</v>
      </c>
    </row>
    <row r="287" outlineLevel="1">
      <c r="D287" t="str">
        <v>Prima extralegal AECID</v>
      </c>
      <c r="E287" s="2">
        <v>5713000</v>
      </c>
      <c r="F287" s="1">
        <v>46017</v>
      </c>
      <c r="G287" t="str">
        <v>Cancelado</v>
      </c>
      <c r="H287">
        <f>IF(OR(G287="Sin pagar",G287="Pagar"),NETWORKDAYS($J$113,F287,'Festivos Colombia'!$A$3:$A$22),0)</f>
        <v>0</v>
      </c>
      <c r="I287">
        <f>NETWORKDAYS($J$113,F287,'Festivos Colombia'!$A$3:$A$22)</f>
        <v>20</v>
      </c>
      <c r="J287" s="7">
        <f>H287</f>
        <v>0</v>
      </c>
    </row>
    <row r="288" outlineLevel="1">
      <c r="A288" t="str">
        <f>G288</f>
        <v>Cancelado</v>
      </c>
      <c r="B288">
        <f>IF(I288&lt;=-1,1,IF(I288&lt;=5,2,IF(I288&lt;=15,3,IF(H288&lt;=60,4))))</f>
        <v>4</v>
      </c>
      <c r="C288" s="2" t="str">
        <v>6 registro</v>
      </c>
      <c r="D288" t="str">
        <v>Nomina Dream time Resort-Segunda quincena</v>
      </c>
      <c r="E288" s="2">
        <f>8724001*0</f>
        <v>0</v>
      </c>
      <c r="F288" s="1">
        <v>46021</v>
      </c>
      <c r="G288" t="str">
        <v>Cancelado</v>
      </c>
      <c r="H288">
        <f>IF(OR(G288="Sin pagar",G288="Pagar"),NETWORKDAYS($J$113,F288,'Festivos Colombia'!$A$3:$A$22),0)</f>
        <v>0</v>
      </c>
      <c r="I288">
        <f>NETWORKDAYS($J$113,F288,'Festivos Colombia'!$A$3:$A$22)</f>
        <v>22</v>
      </c>
      <c r="J288" s="7">
        <f>H288</f>
        <v>0</v>
      </c>
    </row>
    <row r="289" ht="15.75" customHeight="1" outlineLevel="1">
      <c r="D289" t="str">
        <v>Anticipo cesantías yesela Agudelo Durango</v>
      </c>
      <c r="E289" s="2">
        <v>35912233</v>
      </c>
      <c r="F289" s="1">
        <v>46024</v>
      </c>
      <c r="G289" t="str">
        <v>Cancelado</v>
      </c>
      <c r="H289">
        <f>IF(OR(G289="Sin pagar",G289="Pagar"),NETWORKDAYS($J$113,F289,'Festivos Colombia'!$A$3:$A$22),0)</f>
        <v>0</v>
      </c>
      <c r="I289">
        <f>NETWORKDAYS($J$113,F289,'Festivos Colombia'!$A$3:$A$22)</f>
        <v>24</v>
      </c>
      <c r="J289" s="7">
        <f>H289</f>
        <v>0</v>
      </c>
    </row>
    <row r="290" ht="16.5" customHeight="1">
      <c r="D290" t="str">
        <v xml:space="preserve">LIQUIDACIONES </v>
      </c>
      <c r="E290" s="2">
        <f>SUBTOTAL(9,E291:E300)</f>
        <v>29726803</v>
      </c>
    </row>
    <row r="291" outlineLevel="1">
      <c r="A291" t="e">
        <f>#REF!</f>
        <v>#REF!</v>
      </c>
      <c r="B291">
        <f>IF(I291&lt;=-1,1,IF(I291&lt;=5,2,IF(I291&lt;=15,3,IF(H291&lt;=60,4))))</f>
        <v>2</v>
      </c>
      <c r="D291" t="str">
        <v>Liquidación David stiven Aragon Andrade-remofirst</v>
      </c>
      <c r="E291" s="2">
        <f>2183270*0</f>
        <v>0</v>
      </c>
      <c r="F291" s="1">
        <v>45992</v>
      </c>
      <c r="G291" t="str">
        <v>Cancelado</v>
      </c>
      <c r="H291">
        <f>IF(OR(G291="Sin pagar",G291="Pagar"),NETWORKDAYS($J$113,F291,'Festivos Colombia'!$A$3:$A$22),0)</f>
        <v>0</v>
      </c>
      <c r="I291">
        <f>NETWORKDAYS($J$113,F291,'Festivos Colombia'!$A$3:$A$22)</f>
        <v>1</v>
      </c>
      <c r="J291" s="7">
        <f>H291</f>
        <v>0</v>
      </c>
    </row>
    <row r="292" outlineLevel="1">
      <c r="A292" t="e">
        <f>#REF!</f>
        <v>#REF!</v>
      </c>
      <c r="B292">
        <f>IF(I292&lt;=-1,1,IF(I292&lt;=5,2,IF(I292&lt;=15,3,IF(H292&lt;=60,4))))</f>
        <v>2</v>
      </c>
      <c r="D292" t="str">
        <v>Liquidación Dany Alejandro Cabrera Vargas-remofirst</v>
      </c>
      <c r="E292" s="2">
        <f>15505265*0</f>
        <v>0</v>
      </c>
      <c r="F292" s="1">
        <v>45992</v>
      </c>
      <c r="G292" t="str">
        <v>Cancelado</v>
      </c>
      <c r="H292">
        <f>IF(OR(G292="Sin pagar",G292="Pagar"),NETWORKDAYS($J$113,F292,'Festivos Colombia'!$A$3:$A$22),0)</f>
        <v>0</v>
      </c>
      <c r="I292">
        <f>NETWORKDAYS($J$113,F292,'Festivos Colombia'!$A$3:$A$22)</f>
        <v>1</v>
      </c>
      <c r="J292" s="7">
        <f>H292</f>
        <v>0</v>
      </c>
    </row>
    <row r="293" outlineLevel="1">
      <c r="A293" t="str">
        <f>G295</f>
        <v>Cancelado</v>
      </c>
      <c r="B293">
        <f>IF(I293&lt;=-1,1,IF(I293&lt;=5,2,IF(I293&lt;=15,3,IF(H293&lt;=60,4))))</f>
        <v>2</v>
      </c>
      <c r="D293" t="str">
        <v>Liquidación Jose Luis Sepulveda Forero-Neo</v>
      </c>
      <c r="E293" s="2">
        <f>21137500*0</f>
        <v>0</v>
      </c>
      <c r="F293" s="1">
        <v>45992</v>
      </c>
      <c r="G293" t="str">
        <v>Cancelado</v>
      </c>
      <c r="H293">
        <f>IF(OR(G293="Sin pagar",G293="Pagar"),NETWORKDAYS($J$113,F293,'Festivos Colombia'!$A$3:$A$22),0)</f>
        <v>0</v>
      </c>
      <c r="I293">
        <f>NETWORKDAYS($J$113,F293,'Festivos Colombia'!$A$3:$A$22)</f>
        <v>1</v>
      </c>
      <c r="J293" s="7">
        <f>H293</f>
        <v>0</v>
      </c>
    </row>
    <row r="294" outlineLevel="1">
      <c r="A294" t="str">
        <f>G293</f>
        <v>Cancelado</v>
      </c>
      <c r="B294">
        <f>IF(I294&lt;=-1,1,IF(I294&lt;=5,2,IF(I294&lt;=15,3,IF(H294&lt;=60,4))))</f>
        <v>2</v>
      </c>
      <c r="D294" t="str">
        <v>Liquidación Carlos eduardo Castañeda-S&amp;P</v>
      </c>
      <c r="E294" s="2">
        <f>615735*0</f>
        <v>0</v>
      </c>
      <c r="F294" s="1">
        <v>45993</v>
      </c>
      <c r="G294" t="str">
        <v>Cancelado</v>
      </c>
      <c r="H294">
        <f>IF(OR(G294="Sin pagar",G294="Pagar"),NETWORKDAYS($J$113,F294,'Festivos Colombia'!$A$3:$A$22),0)</f>
        <v>0</v>
      </c>
      <c r="I294">
        <f>NETWORKDAYS($J$113,F294,'Festivos Colombia'!$A$3:$A$22)</f>
        <v>2</v>
      </c>
      <c r="J294" s="7">
        <f>H294</f>
        <v>0</v>
      </c>
    </row>
    <row r="295" outlineLevel="1">
      <c r="A295" t="str">
        <f>G291</f>
        <v>Cancelado</v>
      </c>
      <c r="B295">
        <f>IF(I295&lt;=-1,1,IF(I295&lt;=5,2,IF(I295&lt;=15,3,IF(H295&lt;=60,4))))</f>
        <v>2</v>
      </c>
      <c r="D295" t="str">
        <v>Liquidación Jessica Tatiana Rojas-remofirst</v>
      </c>
      <c r="E295" s="2">
        <f>12528247*0</f>
        <v>0</v>
      </c>
      <c r="F295" s="1">
        <v>45994</v>
      </c>
      <c r="G295" t="str">
        <v>Cancelado</v>
      </c>
      <c r="H295">
        <f>IF(OR(G295="Sin pagar",G295="Pagar"),NETWORKDAYS($J$113,F295,'Festivos Colombia'!$A$3:$A$22),0)</f>
        <v>0</v>
      </c>
      <c r="I295">
        <f>NETWORKDAYS($J$113,F295,'Festivos Colombia'!$A$3:$A$22)</f>
        <v>3</v>
      </c>
      <c r="J295" s="7">
        <f>H295</f>
        <v>0</v>
      </c>
    </row>
    <row r="296" outlineLevel="1">
      <c r="A296" t="str">
        <f>G292</f>
        <v>Cancelado</v>
      </c>
      <c r="B296">
        <f>IF(I296&lt;=-1,1,IF(I296&lt;=5,2,IF(I296&lt;=15,3,IF(H296&lt;=60,4))))</f>
        <v>3</v>
      </c>
      <c r="D296" t="str">
        <v>Liquidación Mario Alberto Serrano Velasquez -remofirst</v>
      </c>
      <c r="E296" s="2">
        <v>5452107</v>
      </c>
      <c r="F296" s="1">
        <v>46007</v>
      </c>
      <c r="G296" t="str">
        <v>Cancelado</v>
      </c>
      <c r="H296">
        <f>IF(OR(G296="Sin pagar",G296="Pagar"),NETWORKDAYS($J$113,F296,'Festivos Colombia'!$A$3:$A$22),0)</f>
        <v>0</v>
      </c>
      <c r="I296">
        <f>NETWORKDAYS($J$113,F296,'Festivos Colombia'!$A$3:$A$22)</f>
        <v>12</v>
      </c>
      <c r="J296" s="7">
        <f>H296</f>
        <v>0</v>
      </c>
    </row>
    <row r="297" outlineLevel="1">
      <c r="A297" t="str">
        <f>G293</f>
        <v>Cancelado</v>
      </c>
      <c r="B297">
        <f>IF(I297&lt;=-1,1,IF(I297&lt;=5,2,IF(I297&lt;=15,3,IF(H297&lt;=60,4))))</f>
        <v>3</v>
      </c>
      <c r="D297" t="str">
        <v>Liquidación Michael Pertuz -S&amp;P</v>
      </c>
      <c r="E297" s="2">
        <v>2219210</v>
      </c>
      <c r="F297" s="1">
        <v>46010</v>
      </c>
      <c r="G297" t="str">
        <v>Cancelado</v>
      </c>
      <c r="H297">
        <f>IF(OR(G297="Sin pagar",G297="Pagar"),NETWORKDAYS($J$113,F297,'Festivos Colombia'!$A$3:$A$22),0)</f>
        <v>0</v>
      </c>
      <c r="I297">
        <f>NETWORKDAYS($J$113,F297,'Festivos Colombia'!$A$3:$A$22)</f>
        <v>15</v>
      </c>
      <c r="J297" s="7">
        <f>H297</f>
        <v>0</v>
      </c>
    </row>
    <row r="298" outlineLevel="1">
      <c r="A298" t="str">
        <f>G294</f>
        <v>Cancelado</v>
      </c>
      <c r="B298">
        <f>IF(I298&lt;=-1,1,IF(I298&lt;=5,2,IF(I298&lt;=15,3,IF(H298&lt;=60,4))))</f>
        <v>4</v>
      </c>
      <c r="D298" t="str">
        <v>Liquidación Nataly Carvajal -S&amp;P</v>
      </c>
      <c r="E298" s="2">
        <v>2309494</v>
      </c>
      <c r="F298" s="1">
        <v>46020</v>
      </c>
      <c r="G298" t="str">
        <v>Cancelado</v>
      </c>
      <c r="H298">
        <f>IF(OR(G298="Sin pagar",G298="Pagar"),NETWORKDAYS($J$113,F298,'Festivos Colombia'!$A$3:$A$22),0)</f>
        <v>0</v>
      </c>
      <c r="I298">
        <f>NETWORKDAYS($J$113,F298,'Festivos Colombia'!$A$3:$A$22)</f>
        <v>21</v>
      </c>
      <c r="J298" s="7">
        <f>H298</f>
        <v>0</v>
      </c>
    </row>
    <row r="299" outlineLevel="1">
      <c r="A299" t="str">
        <f>G295</f>
        <v>Cancelado</v>
      </c>
      <c r="B299">
        <f>IF(I299&lt;=-1,1,IF(I299&lt;=5,2,IF(I299&lt;=15,3,IF(H299&lt;=60,4))))</f>
        <v>4</v>
      </c>
      <c r="D299" t="str">
        <v>Liquidación Isabel Aguirre Guarin-remofirst</v>
      </c>
      <c r="E299" s="2">
        <v>11757931</v>
      </c>
      <c r="F299" s="1">
        <v>46027</v>
      </c>
      <c r="G299" t="str">
        <v>Cancelado</v>
      </c>
      <c r="H299">
        <f>IF(OR(G299="Sin pagar",G299="Pagar"),NETWORKDAYS($J$113,F299,'Festivos Colombia'!$A$3:$A$22),0)</f>
        <v>0</v>
      </c>
      <c r="I299">
        <f>NETWORKDAYS($J$113,F299,'Festivos Colombia'!$A$3:$A$22)</f>
        <v>25</v>
      </c>
      <c r="J299" s="7">
        <f>H299</f>
        <v>0</v>
      </c>
    </row>
    <row r="300" ht="15.75" customHeight="1" outlineLevel="1">
      <c r="A300" t="str">
        <f>G296</f>
        <v>Cancelado</v>
      </c>
      <c r="B300">
        <f>IF(I300&lt;=-1,1,IF(I300&lt;=5,2,IF(I300&lt;=15,3,IF(H300&lt;=60,4))))</f>
        <v>4</v>
      </c>
      <c r="D300" t="str">
        <v>Liquidación Jonathan Novoa Cain -remofirst</v>
      </c>
      <c r="E300" s="2">
        <v>7988061</v>
      </c>
      <c r="F300" s="1">
        <v>46027</v>
      </c>
      <c r="G300" t="str">
        <v>Cancelado</v>
      </c>
      <c r="H300">
        <f>IF(OR(G300="Sin pagar",G300="Pagar"),NETWORKDAYS($J$113,F300,'Festivos Colombia'!$A$3:$A$22),0)</f>
        <v>0</v>
      </c>
      <c r="I300">
        <f>NETWORKDAYS($J$113,F300,'Festivos Colombia'!$A$3:$A$22)</f>
        <v>25</v>
      </c>
      <c r="J300" s="7">
        <f>H300</f>
        <v>0</v>
      </c>
    </row>
    <row r="301" ht="16.5" customHeight="1">
      <c r="D301" t="str">
        <v>IMPREVISTO</v>
      </c>
      <c r="E301" s="2">
        <f>SUBTOTAL(9,E302:E324)</f>
        <v>33033398</v>
      </c>
    </row>
    <row r="302" ht="15" customHeight="1" outlineLevel="1">
      <c r="A302" t="str">
        <f>G302</f>
        <v>Cancelado</v>
      </c>
      <c r="B302">
        <f>IF(I302&lt;=-1,1,IF(I302&lt;=5,2,IF(I302&lt;=15,3,IF(H302&lt;=60,4))))</f>
        <v>2</v>
      </c>
      <c r="C302" s="4" t="str">
        <v>FPP423003</v>
      </c>
      <c r="D302" t="str">
        <v>Abono people pass Nathalie Vaquiro</v>
      </c>
      <c r="E302" s="2">
        <f>540842*0</f>
        <v>0</v>
      </c>
      <c r="F302" s="1">
        <v>45992</v>
      </c>
      <c r="G302" t="str">
        <v>Cancelado</v>
      </c>
      <c r="H302">
        <f>IF(OR(G302="Sin pagar",G302="Pagar"),NETWORKDAYS($J$113,F302,'Festivos Colombia'!$A$3:$A$22),0)</f>
        <v>0</v>
      </c>
      <c r="I302">
        <f>NETWORKDAYS($J$113,F302,'Festivos Colombia'!$A$3:$A$22)</f>
        <v>1</v>
      </c>
      <c r="J302" s="7">
        <f>H302</f>
        <v>0</v>
      </c>
    </row>
    <row r="303" ht="15" customHeight="1" outlineLevel="1">
      <c r="A303" t="str">
        <f>G303</f>
        <v>Cancelado</v>
      </c>
      <c r="B303">
        <f>IF(I303&lt;=-1,1,IF(I303&lt;=5,2,IF(I303&lt;=15,3,IF(H303&lt;=60,4))))</f>
        <v>2</v>
      </c>
      <c r="D303" t="str">
        <v>Ricardo arambulo -reembolsos gastos</v>
      </c>
      <c r="E303" s="2">
        <f>2692417.88*0</f>
        <v>0</v>
      </c>
      <c r="F303" s="1">
        <v>45992</v>
      </c>
      <c r="G303" t="str">
        <v>Cancelado</v>
      </c>
      <c r="H303">
        <f>IF(OR(G303="Sin pagar",G303="Pagar"),NETWORKDAYS($J$113,F303,'Festivos Colombia'!$A$3:$A$22),0)</f>
        <v>0</v>
      </c>
      <c r="I303">
        <f>NETWORKDAYS($J$113,F303,'Festivos Colombia'!$A$3:$A$22)</f>
        <v>1</v>
      </c>
      <c r="J303" s="7">
        <f>H303</f>
        <v>0</v>
      </c>
    </row>
    <row r="304" ht="15" customHeight="1" outlineLevel="1">
      <c r="A304" t="str">
        <f>G304</f>
        <v>Cancelado</v>
      </c>
      <c r="B304">
        <f>IF(I304&lt;=-1,1,IF(I304&lt;=5,2,IF(I304&lt;=15,3,IF(H304&lt;=60,4))))</f>
        <v>2</v>
      </c>
      <c r="D304" t="str">
        <v>Pago viaje Ricardo arambulo republica dominicana</v>
      </c>
      <c r="E304" s="2">
        <f>2568594*0</f>
        <v>0</v>
      </c>
      <c r="F304" s="1">
        <v>45992</v>
      </c>
      <c r="G304" t="str">
        <v>Cancelado</v>
      </c>
      <c r="H304">
        <f>IF(OR(G304="Sin pagar",G304="Pagar"),NETWORKDAYS($J$113,F304,'Festivos Colombia'!$A$3:$A$22),0)</f>
        <v>0</v>
      </c>
      <c r="I304">
        <f>NETWORKDAYS($J$113,F304,'Festivos Colombia'!$A$3:$A$22)</f>
        <v>1</v>
      </c>
      <c r="J304" s="7">
        <f>H304</f>
        <v>0</v>
      </c>
    </row>
    <row r="305" ht="15" customHeight="1" outlineLevel="1">
      <c r="A305" t="str">
        <f>G305</f>
        <v>Cancelado</v>
      </c>
      <c r="B305">
        <f>IF(I305&lt;=-1,1,IF(I305&lt;=5,2,IF(I305&lt;=15,3,IF(H305&lt;=60,4))))</f>
        <v>2</v>
      </c>
      <c r="D305" t="str">
        <v>Ricardo arambulo -reembolsos gastos</v>
      </c>
      <c r="E305" s="2">
        <f>2029500*0</f>
        <v>0</v>
      </c>
      <c r="F305" s="1">
        <v>45993</v>
      </c>
      <c r="G305" t="str">
        <v>Cancelado</v>
      </c>
      <c r="H305">
        <f>IF(OR(G305="Sin pagar",G305="Pagar"),NETWORKDAYS($J$113,F305,'Festivos Colombia'!$A$3:$A$22),0)</f>
        <v>0</v>
      </c>
      <c r="I305">
        <f>NETWORKDAYS($J$113,F305,'Festivos Colombia'!$A$3:$A$22)</f>
        <v>2</v>
      </c>
      <c r="J305" s="7">
        <f>H305</f>
        <v>0</v>
      </c>
    </row>
    <row r="306" ht="15" customHeight="1" outlineLevel="1">
      <c r="A306" t="str">
        <f>G306</f>
        <v>Cancelado</v>
      </c>
      <c r="B306">
        <f>IF(I306&lt;=-1,1,IF(I306&lt;=5,2,IF(I306&lt;=15,3,IF(H306&lt;=60,4))))</f>
        <v>2</v>
      </c>
      <c r="C306" s="4" t="str">
        <v>003</v>
      </c>
      <c r="D306" t="str">
        <v>Edgar Arambulo -(Ricardo arambulo -Bono)</v>
      </c>
      <c r="E306" s="2">
        <v>1386476</v>
      </c>
      <c r="F306" s="1">
        <v>45994</v>
      </c>
      <c r="G306" t="str">
        <v>Cancelado</v>
      </c>
      <c r="H306">
        <f>IF(OR(G306="Sin pagar",G306="Pagar"),NETWORKDAYS($J$113,F306,'Festivos Colombia'!$A$3:$A$22),0)</f>
        <v>0</v>
      </c>
      <c r="I306">
        <f>NETWORKDAYS($J$113,F306,'Festivos Colombia'!$A$3:$A$22)</f>
        <v>3</v>
      </c>
      <c r="J306" s="7">
        <f>H306</f>
        <v>0</v>
      </c>
    </row>
    <row r="307" ht="15" customHeight="1" outlineLevel="1">
      <c r="A307" t="str">
        <f>G307</f>
        <v>Cancelado</v>
      </c>
      <c r="B307">
        <f>IF(I307&lt;=-1,1,IF(I307&lt;=5,2,IF(I307&lt;=15,3,IF(H307&lt;=60,4))))</f>
        <v>2</v>
      </c>
      <c r="C307" s="4" t="str">
        <v>1</v>
      </c>
      <c r="D307" t="str">
        <v>Saldo final Cuenta de cobro Jhon Alexander Soler Leon - Transporte despedida fin de año</v>
      </c>
      <c r="E307" s="2">
        <v>596688</v>
      </c>
      <c r="F307" s="1">
        <v>45994</v>
      </c>
      <c r="G307" t="str">
        <v>Cancelado</v>
      </c>
      <c r="H307">
        <f>IF(OR(G307="Sin pagar",G307="Pagar"),NETWORKDAYS($J$113,F307,'Festivos Colombia'!$A$3:$A$22),0)</f>
        <v>0</v>
      </c>
      <c r="I307">
        <f>NETWORKDAYS($J$113,F307,'Festivos Colombia'!$A$3:$A$22)</f>
        <v>3</v>
      </c>
      <c r="J307" s="7">
        <f>H307</f>
        <v>0</v>
      </c>
    </row>
    <row r="308" ht="15" customHeight="1" outlineLevel="1">
      <c r="A308" t="str">
        <f>G308</f>
        <v>Cancelado</v>
      </c>
      <c r="B308">
        <f>IF(I308&lt;=-1,1,IF(I308&lt;=5,2,IF(I308&lt;=15,3,IF(H308&lt;=60,4))))</f>
        <v>2</v>
      </c>
      <c r="D308" t="str">
        <v>Regalos coporativos clientes  50% Saldo final -Artesanía Cattaleya.Guz</v>
      </c>
      <c r="E308" s="2">
        <f>(1056000*50%)</f>
        <v>528000</v>
      </c>
      <c r="F308" s="1">
        <v>45995</v>
      </c>
      <c r="G308" t="str">
        <v>Cancelado</v>
      </c>
      <c r="H308">
        <f>IF(OR(G308="Sin pagar",G308="Pagar"),NETWORKDAYS($J$113,F308,'Festivos Colombia'!$A$3:$A$22),0)</f>
        <v>0</v>
      </c>
      <c r="I308">
        <f>NETWORKDAYS($J$113,F308,'Festivos Colombia'!$A$3:$A$22)</f>
        <v>4</v>
      </c>
      <c r="J308" s="7">
        <f>H308</f>
        <v>0</v>
      </c>
    </row>
    <row r="309" ht="15" customHeight="1" outlineLevel="1">
      <c r="A309" t="str">
        <f>G309</f>
        <v>Cancelado</v>
      </c>
      <c r="B309">
        <f>IF(I309&lt;=-1,1,IF(I309&lt;=5,2,IF(I309&lt;=15,3,IF(H309&lt;=60,4))))</f>
        <v>2</v>
      </c>
      <c r="D309" t="str">
        <v>Despedida fin año Saldo final-Fanauticos</v>
      </c>
      <c r="E309" s="2">
        <f>(7125750/2)</f>
        <v>3562875</v>
      </c>
      <c r="F309" s="1">
        <v>45995</v>
      </c>
      <c r="G309" t="str">
        <v>Cancelado</v>
      </c>
      <c r="H309">
        <f>IF(OR(G309="Sin pagar",G309="Pagar"),NETWORKDAYS($J$113,F309,'Festivos Colombia'!$A$3:$A$22),0)</f>
        <v>0</v>
      </c>
      <c r="I309">
        <f>NETWORKDAYS($J$113,F309,'Festivos Colombia'!$A$3:$A$22)</f>
        <v>4</v>
      </c>
      <c r="J309" s="7">
        <f>H309</f>
        <v>0</v>
      </c>
    </row>
    <row r="310" ht="15" customHeight="1" outlineLevel="1">
      <c r="A310" t="str">
        <f>G310</f>
        <v>Cancelado</v>
      </c>
      <c r="B310">
        <f>IF(I310&lt;=-1,1,IF(I310&lt;=5,2,IF(I310&lt;=15,3,IF(H310&lt;=60,4))))</f>
        <v>2</v>
      </c>
      <c r="C310" s="4" t="str">
        <v>502C123494</v>
      </c>
      <c r="D310" t="str">
        <v>Donación para fundación de niños - Paula Forero</v>
      </c>
      <c r="E310" s="2">
        <v>1001300</v>
      </c>
      <c r="F310" s="1">
        <v>45995</v>
      </c>
      <c r="G310" t="str">
        <v>Cancelado</v>
      </c>
      <c r="H310">
        <f>IF(OR(G310="Sin pagar",G310="Pagar"),NETWORKDAYS($J$113,F310,'Festivos Colombia'!$A$3:$A$22),0)</f>
        <v>0</v>
      </c>
      <c r="I310">
        <f>NETWORKDAYS($J$113,F310,'Festivos Colombia'!$A$3:$A$22)</f>
        <v>4</v>
      </c>
      <c r="J310" s="7">
        <f>H310</f>
        <v>0</v>
      </c>
    </row>
    <row r="311" ht="15" customHeight="1" outlineLevel="1">
      <c r="A311" t="str">
        <f>G311</f>
        <v>Cancelado</v>
      </c>
      <c r="B311">
        <f>IF(I311&lt;=-1,1,IF(I311&lt;=5,2,IF(I311&lt;=15,3,IF(H311&lt;=60,4))))</f>
        <v>3</v>
      </c>
      <c r="D311" t="str">
        <v>Reembolso de gastos Eduard Forero</v>
      </c>
      <c r="E311" s="2">
        <v>1569837</v>
      </c>
      <c r="F311" s="1">
        <v>46001</v>
      </c>
      <c r="G311" t="str">
        <v>Cancelado</v>
      </c>
      <c r="H311">
        <f>IF(OR(G311="Sin pagar",G311="Pagar"),NETWORKDAYS($J$113,F311,'Festivos Colombia'!$A$3:$A$22),0)</f>
        <v>0</v>
      </c>
      <c r="I311">
        <f>NETWORKDAYS($J$113,F311,'Festivos Colombia'!$A$3:$A$22)</f>
        <v>8</v>
      </c>
      <c r="J311" s="7">
        <f>H311</f>
        <v>0</v>
      </c>
    </row>
    <row r="312" ht="15" customHeight="1" outlineLevel="1">
      <c r="A312" t="str">
        <f>G312</f>
        <v>Cancelado</v>
      </c>
      <c r="B312">
        <f>IF(I312&lt;=-1,1,IF(I312&lt;=5,2,IF(I312&lt;=15,3,IF(H312&lt;=60,4))))</f>
        <v>3</v>
      </c>
      <c r="D312" t="str">
        <v>Gastos asociados por el envio de los recursos a BCP Perú dinero Europortage</v>
      </c>
      <c r="E312" s="2">
        <v>2137321</v>
      </c>
      <c r="F312" s="1">
        <v>46008</v>
      </c>
      <c r="G312" t="str">
        <v>Cancelado</v>
      </c>
      <c r="H312">
        <f>IF(OR(G312="Sin pagar",G312="Pagar"),NETWORKDAYS($J$113,F312,'Festivos Colombia'!$A$3:$A$22),0)</f>
        <v>0</v>
      </c>
      <c r="I312">
        <f>NETWORKDAYS($J$113,F312,'Festivos Colombia'!$A$3:$A$22)</f>
        <v>13</v>
      </c>
      <c r="J312" s="7">
        <f>H312</f>
        <v>0</v>
      </c>
    </row>
    <row r="313" ht="15" customHeight="1" outlineLevel="1">
      <c r="A313" t="str">
        <f>G313</f>
        <v>Cancelado</v>
      </c>
      <c r="B313">
        <f>IF(I313&lt;=-1,1,IF(I313&lt;=5,2,IF(I313&lt;=15,3,IF(H313&lt;=60,4))))</f>
        <v>3</v>
      </c>
      <c r="D313" t="str">
        <v>Préstamo de dinero Nathalie Vaquiro</v>
      </c>
      <c r="E313" s="2">
        <v>2700000</v>
      </c>
      <c r="F313" s="1">
        <v>46008</v>
      </c>
      <c r="G313" t="str">
        <v>Cancelado</v>
      </c>
      <c r="H313">
        <f>IF(OR(G313="Sin pagar",G313="Pagar"),NETWORKDAYS($J$113,F313,'Festivos Colombia'!$A$3:$A$22),0)</f>
        <v>0</v>
      </c>
      <c r="I313">
        <f>NETWORKDAYS($J$113,F313,'Festivos Colombia'!$A$3:$A$22)</f>
        <v>13</v>
      </c>
      <c r="J313" s="7">
        <f>H313</f>
        <v>0</v>
      </c>
    </row>
    <row r="314" ht="15" customHeight="1" outlineLevel="1">
      <c r="A314" t="str">
        <f>G314</f>
        <v>Cancelado</v>
      </c>
      <c r="B314">
        <f>IF(I314&lt;=-1,1,IF(I314&lt;=5,2,IF(I314&lt;=15,3,IF(H314&lt;=60,4))))</f>
        <v>3</v>
      </c>
      <c r="D314" t="str">
        <v xml:space="preserve">Reembolso de gastos Alfonso Fonseca almuerzo líderes </v>
      </c>
      <c r="E314" s="2">
        <v>376200</v>
      </c>
      <c r="F314" s="1">
        <v>46010</v>
      </c>
      <c r="G314" t="str">
        <v>Cancelado</v>
      </c>
      <c r="H314">
        <f>IF(OR(G314="Sin pagar",G314="Pagar"),NETWORKDAYS($J$113,F314,'Festivos Colombia'!$A$3:$A$22),0)</f>
        <v>0</v>
      </c>
      <c r="I314">
        <f>NETWORKDAYS($J$113,F314,'Festivos Colombia'!$A$3:$A$22)</f>
        <v>15</v>
      </c>
      <c r="J314" s="7">
        <f>H314</f>
        <v>0</v>
      </c>
    </row>
    <row r="315" ht="15" customHeight="1" outlineLevel="1">
      <c r="A315" t="str">
        <f>G315</f>
        <v>Cancelado</v>
      </c>
      <c r="B315">
        <f>IF(I315&lt;=-1,1,IF(I315&lt;=5,2,IF(I315&lt;=15,3,IF(H315&lt;=60,4))))</f>
        <v>3</v>
      </c>
      <c r="C315" s="4" t="str">
        <v>FPP431712</v>
      </c>
      <c r="D315" t="str">
        <v>Solicitud de tarjetas people pass dotación</v>
      </c>
      <c r="E315" s="2">
        <v>58905</v>
      </c>
      <c r="F315" s="1">
        <v>46010</v>
      </c>
      <c r="G315" t="str">
        <v>Cancelado</v>
      </c>
      <c r="H315">
        <f>IF(OR(G315="Sin pagar",G315="Pagar"),NETWORKDAYS($J$113,F315,'Festivos Colombia'!$A$3:$A$22),0)</f>
        <v>0</v>
      </c>
      <c r="I315">
        <f>NETWORKDAYS($J$113,F315,'Festivos Colombia'!$A$3:$A$22)</f>
        <v>15</v>
      </c>
      <c r="J315" s="7">
        <f>H315</f>
        <v>0</v>
      </c>
    </row>
    <row r="316" ht="15" customHeight="1" outlineLevel="1">
      <c r="A316" t="str">
        <f>G316</f>
        <v>Cancelado</v>
      </c>
      <c r="B316">
        <f>IF(I316&lt;=-1,1,IF(I316&lt;=5,2,IF(I316&lt;=15,3,IF(H316&lt;=60,4))))</f>
        <v>3</v>
      </c>
      <c r="D316" t="str">
        <v xml:space="preserve">Reembolso de gastos Luisa Diaz actividad cazuca y pago linkedln oferta laboral </v>
      </c>
      <c r="E316" s="2">
        <v>786350</v>
      </c>
      <c r="F316" s="1">
        <v>46010</v>
      </c>
      <c r="G316" t="str">
        <v>Cancelado</v>
      </c>
      <c r="H316">
        <f>IF(OR(G316="Sin pagar",G316="Pagar"),NETWORKDAYS($J$113,F316,'Festivos Colombia'!$A$3:$A$22),0)</f>
        <v>0</v>
      </c>
      <c r="I316">
        <f>NETWORKDAYS($J$113,F316,'Festivos Colombia'!$A$3:$A$22)</f>
        <v>15</v>
      </c>
      <c r="J316" s="7">
        <f>H316</f>
        <v>0</v>
      </c>
    </row>
    <row r="317" ht="15" customHeight="1" outlineLevel="1">
      <c r="A317" t="str">
        <f>G317</f>
        <v>Cancelado</v>
      </c>
      <c r="B317">
        <f>IF(I317&lt;=-1,1,IF(I317&lt;=5,2,IF(I317&lt;=15,3,IF(H317&lt;=60,4))))</f>
        <v>4</v>
      </c>
      <c r="D317" t="str">
        <v>Préstamo de dinero a Root capital para préstamo pago nóminas diciembre</v>
      </c>
      <c r="E317" s="2">
        <v>12000000</v>
      </c>
      <c r="F317" s="1">
        <v>46014</v>
      </c>
      <c r="G317" t="str">
        <v>Cancelado</v>
      </c>
      <c r="H317">
        <f>IF(OR(G317="Sin pagar",G317="Pagar"),NETWORKDAYS($J$113,F317,'Festivos Colombia'!$A$3:$A$22),0)</f>
        <v>0</v>
      </c>
      <c r="I317">
        <f>NETWORKDAYS($J$113,F317,'Festivos Colombia'!$A$3:$A$22)</f>
        <v>17</v>
      </c>
      <c r="J317" s="7">
        <f>H317</f>
        <v>0</v>
      </c>
    </row>
    <row r="318" ht="15" customHeight="1" outlineLevel="1">
      <c r="A318" t="str">
        <f>G318</f>
        <v>Cancelado</v>
      </c>
      <c r="B318">
        <f>IF(I318&lt;=-1,1,IF(I318&lt;=5,2,IF(I318&lt;=15,3,IF(H318&lt;=60,4))))</f>
        <v>4</v>
      </c>
      <c r="D318" t="str">
        <v>Reembolso de gastos Desayuno líderes el 18 de diciembre( Viviana Guzman)</v>
      </c>
      <c r="E318" s="2">
        <v>287700</v>
      </c>
      <c r="F318" s="1">
        <v>46014</v>
      </c>
      <c r="G318" t="str">
        <v>Cancelado</v>
      </c>
      <c r="H318">
        <f>IF(OR(G318="Sin pagar",G318="Pagar"),NETWORKDAYS($J$113,F318,'Festivos Colombia'!$A$3:$A$22),0)</f>
        <v>0</v>
      </c>
      <c r="I318">
        <f>NETWORKDAYS($J$113,F318,'Festivos Colombia'!$A$3:$A$22)</f>
        <v>17</v>
      </c>
      <c r="J318" s="7">
        <f>H318</f>
        <v>0</v>
      </c>
    </row>
    <row r="319" ht="15" customHeight="1" outlineLevel="1">
      <c r="A319" t="str">
        <f>G319</f>
        <v>Cancelado</v>
      </c>
      <c r="B319">
        <f>IF(I319&lt;=-1,1,IF(I319&lt;=5,2,IF(I319&lt;=15,3,IF(H319&lt;=60,4))))</f>
        <v>4</v>
      </c>
      <c r="D319" t="str">
        <v>Aporte voluntario institucional protección Ricardo</v>
      </c>
      <c r="E319" s="2">
        <v>5000000</v>
      </c>
      <c r="F319" s="1">
        <v>46015</v>
      </c>
      <c r="G319" t="str">
        <v>Cancelado</v>
      </c>
      <c r="H319">
        <f>IF(OR(G319="Sin pagar",G319="Pagar"),NETWORKDAYS($J$113,F319,'Festivos Colombia'!$A$3:$A$22),0)</f>
        <v>0</v>
      </c>
      <c r="I319">
        <f>NETWORKDAYS($J$113,F319,'Festivos Colombia'!$A$3:$A$22)</f>
        <v>18</v>
      </c>
      <c r="J319" s="7">
        <f>H319</f>
        <v>0</v>
      </c>
    </row>
    <row r="320" ht="15" customHeight="1" outlineLevel="1">
      <c r="A320" t="str">
        <f>G320</f>
        <v>Cancelado</v>
      </c>
      <c r="B320">
        <f>IF(I320&lt;=-1,1,IF(I320&lt;=5,2,IF(I320&lt;=15,3,IF(H320&lt;=60,4))))</f>
        <v>4</v>
      </c>
      <c r="D320" t="str">
        <v>Pago Estudio Visa Halja Pilvisto</v>
      </c>
      <c r="E320" s="2">
        <v>221940</v>
      </c>
      <c r="F320" s="1">
        <v>46020</v>
      </c>
      <c r="G320" t="str">
        <v>Cancelado</v>
      </c>
      <c r="H320">
        <f>IF(OR(G320="Sin pagar",G320="Pagar"),NETWORKDAYS($J$113,F320,'Festivos Colombia'!$A$3:$A$22),0)</f>
        <v>0</v>
      </c>
      <c r="I320">
        <f>NETWORKDAYS($J$113,F320,'Festivos Colombia'!$A$3:$A$22)</f>
        <v>21</v>
      </c>
      <c r="J320" s="7">
        <f>H320</f>
        <v>0</v>
      </c>
    </row>
    <row r="321" ht="15" customHeight="1" outlineLevel="1">
      <c r="A321" t="str">
        <f>G321</f>
        <v>Cancelado</v>
      </c>
      <c r="B321">
        <f>IF(I321&lt;=-1,1,IF(I321&lt;=5,2,IF(I321&lt;=15,3,IF(H321&lt;=60,4))))</f>
        <v>4</v>
      </c>
      <c r="D321" t="str">
        <v>Base refrigerante Victor Alonso Bustamante EOR</v>
      </c>
      <c r="E321" s="2">
        <v>42806</v>
      </c>
      <c r="F321" s="1">
        <v>46020</v>
      </c>
      <c r="G321" t="str">
        <v>Cancelado</v>
      </c>
      <c r="H321">
        <f>IF(OR(G321="Sin pagar",G321="Pagar"),NETWORKDAYS($J$113,F321,'Festivos Colombia'!$A$3:$A$22),0)</f>
        <v>0</v>
      </c>
      <c r="I321">
        <f>NETWORKDAYS($J$113,F321,'Festivos Colombia'!$A$3:$A$22)</f>
        <v>21</v>
      </c>
      <c r="J321" s="7">
        <f>H321</f>
        <v>0</v>
      </c>
    </row>
    <row r="322" ht="15" customHeight="1" outlineLevel="1">
      <c r="A322" t="str">
        <f>G322</f>
        <v>Cancelado</v>
      </c>
      <c r="B322">
        <f>IF(I322&lt;=-1,1,IF(I322&lt;=5,2,IF(I322&lt;=15,3,IF(H322&lt;=60,4))))</f>
        <v>4</v>
      </c>
      <c r="C322" s="4" t="str">
        <v>13957925</v>
      </c>
      <c r="D322" t="str">
        <v>Pago de inscripción de documentos camara de comercio- Revisor fiscal</v>
      </c>
      <c r="E322" s="2">
        <v>777000</v>
      </c>
      <c r="F322" s="1">
        <v>46020</v>
      </c>
      <c r="G322" t="str">
        <v>Cancelado</v>
      </c>
      <c r="H322">
        <f>IF(OR(G322="Sin pagar",G322="Pagar"),NETWORKDAYS($J$113,F322,'Festivos Colombia'!$A$3:$A$22),0)</f>
        <v>0</v>
      </c>
      <c r="I322">
        <f>NETWORKDAYS($J$113,F322,'Festivos Colombia'!$A$3:$A$22)</f>
        <v>21</v>
      </c>
      <c r="J322" s="7">
        <f>H322</f>
        <v>0</v>
      </c>
    </row>
    <row r="323" ht="15" customHeight="1" outlineLevel="1">
      <c r="A323" t="str">
        <f>G323</f>
        <v>Cancelado</v>
      </c>
      <c r="B323">
        <f>IF(I323&lt;=-1,1,IF(I323&lt;=5,2,IF(I323&lt;=15,3,IF(H323&lt;=60,4))))</f>
        <v>4</v>
      </c>
      <c r="D323" t="str">
        <v>Devolución de anticipo de tarjetas Endrignton-Primer Giro</v>
      </c>
      <c r="E323" s="2">
        <f>((48512000+41000000))*0</f>
        <v>0</v>
      </c>
      <c r="F323" s="1">
        <v>46022</v>
      </c>
      <c r="G323" t="str">
        <v>Cancelado</v>
      </c>
      <c r="H323">
        <f>IF(OR(G323="Sin pagar",G323="Pagar"),NETWORKDAYS($J$113,F323,'Festivos Colombia'!$A$3:$A$22),0)</f>
        <v>0</v>
      </c>
      <c r="I323">
        <f>NETWORKDAYS($J$113,F323,'Festivos Colombia'!$A$3:$A$22)</f>
        <v>23</v>
      </c>
      <c r="J323" s="7">
        <f>H323</f>
        <v>0</v>
      </c>
    </row>
    <row r="324" ht="15" customHeight="1" outlineLevel="1">
      <c r="A324" t="str">
        <f>G324</f>
        <v>Cancelado</v>
      </c>
      <c r="B324">
        <f>IF(I324&lt;=-1,1,IF(I324&lt;=5,2,IF(I324&lt;=15,3,IF(H324&lt;=60,4))))</f>
        <v>4</v>
      </c>
      <c r="D324" t="str">
        <v>Fondeo dinero honduras</v>
      </c>
      <c r="E324" s="2">
        <f>20000000*0</f>
        <v>0</v>
      </c>
      <c r="F324" s="1">
        <v>46022</v>
      </c>
      <c r="G324" t="str">
        <v>Cancelado</v>
      </c>
      <c r="H324">
        <f>IF(OR(G324="Sin pagar",G324="Pagar"),NETWORKDAYS($J$113,F324,'Festivos Colombia'!$A$3:$A$22),0)</f>
        <v>0</v>
      </c>
      <c r="I324">
        <f>NETWORKDAYS($J$113,F324,'Festivos Colombia'!$A$3:$A$22)</f>
        <v>23</v>
      </c>
      <c r="J324" s="7">
        <f>H324</f>
        <v>0</v>
      </c>
    </row>
    <row r="325" ht="14.25" customHeight="1">
      <c r="D325" t="str">
        <v>TOTAL EGRESOS</v>
      </c>
      <c r="E325" s="2">
        <f>SUBTOTAL(9,E115:E324)</f>
        <v>2887281484.1103406</v>
      </c>
    </row>
    <row r="326" ht="15.75" customHeight="1"/>
    <row r="327" ht="15.75" customHeight="1">
      <c r="D327" t="str">
        <v>SALDO</v>
      </c>
      <c r="E327" s="2" t="e">
        <f>E110-E325</f>
        <v>#REF!</v>
      </c>
    </row>
    <row r="328" ht="15.75" customHeight="1">
      <c r="D328" t="str">
        <v xml:space="preserve">% </v>
      </c>
      <c r="E328" s="8" t="e">
        <f>IF($E$110=0,0,E327/$E$110)</f>
        <v>#REF!</v>
      </c>
    </row>
    <row r="329" ht="15.75" customHeight="1"/>
    <row r="330" ht="15.75" customHeight="1">
      <c r="D330" t="str">
        <v>Nombre</v>
      </c>
    </row>
    <row r="331">
      <c r="D331" t="str">
        <v>Jerson Porras -Tarjeta 7</v>
      </c>
      <c r="E331" s="2" t="str">
        <v>Carestream</v>
      </c>
    </row>
    <row r="332">
      <c r="D332" t="str">
        <v>Monica Fabiana Hernandez Pinto - Tarjeta 8</v>
      </c>
      <c r="E332" s="2" t="str">
        <v>Root capital</v>
      </c>
    </row>
    <row r="334">
      <c r="D334" t="str">
        <v>PAGOS POR SEMANAS</v>
      </c>
    </row>
    <row r="335" ht="5.25" customHeight="1"/>
    <row r="336">
      <c r="D336" s="9" t="str">
        <v>Pagos del 01 al 31 diciembre</v>
      </c>
      <c r="E336" s="2">
        <f>SUM(DISTRIBUCIÓN!F5:F11)*0</f>
        <v>0</v>
      </c>
    </row>
    <row r="337" ht="15.75" customHeight="1">
      <c r="D337" t="str">
        <v xml:space="preserve">4 x mil </v>
      </c>
      <c r="E337" s="2">
        <f>(E336*4)/1000</f>
        <v>0</v>
      </c>
    </row>
    <row r="338" ht="15.75" customHeight="1">
      <c r="D338" t="str">
        <v>Gran total</v>
      </c>
      <c r="E338" s="2">
        <f>E336+E337</f>
        <v>0</v>
      </c>
    </row>
    <row r="339"/>
    <row r="340"/>
    <row r="341">
      <c r="D341" t="str">
        <v>BBVA 06/01/2026</v>
      </c>
      <c r="E341" s="2">
        <v>146987261.63</v>
      </c>
    </row>
    <row r="342" ht="15.75" customHeight="1">
      <c r="D342" s="1" t="str">
        <v>Bancolombia 06/01/2026</v>
      </c>
      <c r="E342" s="2">
        <v>910456845.18</v>
      </c>
    </row>
    <row r="343" ht="15.75" customHeight="1">
      <c r="D343" t="str">
        <v xml:space="preserve">Total Caja </v>
      </c>
      <c r="E343" s="2">
        <f>SUM(E341:E342)</f>
        <v>1057444106.81</v>
      </c>
    </row>
    <row r="344" ht="9" customHeight="1"/>
    <row r="345">
      <c r="D345" s="9" t="str">
        <v>Superavit o Deficit</v>
      </c>
      <c r="E345" s="2">
        <f>E343-E338</f>
        <v>1057444106.81</v>
      </c>
    </row>
    <row r="346"/>
    <row r="347"/>
    <row r="348">
      <c r="D348" t="str">
        <v>Banco Panamá S&amp;P USD 06/01/2026</v>
      </c>
      <c r="E348" s="5">
        <v>2611.57</v>
      </c>
    </row>
    <row r="349">
      <c r="D349" t="str">
        <v>BAC Costa Rica  ₡ 06/01/2026</v>
      </c>
      <c r="E349" s="10">
        <v>22330573.58</v>
      </c>
      <c r="F349" s="5">
        <f>E349/505</f>
        <v>44218.957584158416</v>
      </c>
      <c r="G349" s="5">
        <f>F349+E350</f>
        <v>55637.1646252789</v>
      </c>
    </row>
    <row r="350">
      <c r="D350" t="str">
        <v>BAC Costa Rica  USD 06/01/2026</v>
      </c>
      <c r="E350" s="5">
        <v>11418.207041120482</v>
      </c>
    </row>
    <row r="351">
      <c r="D351" t="str">
        <v>Banco Bibankg Guatemala QTZ 06/01/2026</v>
      </c>
      <c r="E351" s="10">
        <v>224335.36089999927</v>
      </c>
      <c r="F351" s="5">
        <f>E351/7.46</f>
        <v>30071.76419571036</v>
      </c>
      <c r="G351" s="5">
        <f>F351+E352</f>
        <v>37229.96419571036</v>
      </c>
    </row>
    <row r="352">
      <c r="D352" t="str">
        <v>Banco Bibankg Guatemala USD 06/01/2026</v>
      </c>
      <c r="E352" s="5">
        <v>7158.2</v>
      </c>
    </row>
    <row r="353">
      <c r="D353" t="str">
        <v>BCP Perú Soles 06/01/2026</v>
      </c>
      <c r="E353" s="11">
        <v>204896.53</v>
      </c>
      <c r="F353" s="5">
        <f>E353/3.31</f>
        <v>61902.2749244713</v>
      </c>
      <c r="G353" s="5">
        <f>F353+E354+F355+E356</f>
        <v>70375.34459214502</v>
      </c>
      <c r="K353" s="11">
        <f>+J353-E353</f>
        <v>-204896.53</v>
      </c>
    </row>
    <row r="354">
      <c r="D354" t="str">
        <v>BCP Perú USD 06/01/2026</v>
      </c>
      <c r="E354" s="5">
        <v>8434.92</v>
      </c>
    </row>
    <row r="355">
      <c r="D355" t="str">
        <v>BBVA Perú Soles 06/01/2026</v>
      </c>
      <c r="E355" s="11">
        <v>39.09</v>
      </c>
      <c r="F355" s="5">
        <f>E355/3.31</f>
        <v>11.809667673716014</v>
      </c>
    </row>
    <row r="356">
      <c r="D356" t="str">
        <v>BBVA Perú USD 06/01/2026</v>
      </c>
      <c r="E356" s="5">
        <v>26.34</v>
      </c>
    </row>
    <row r="357">
      <c r="D357" t="str">
        <v>Bancolombia ACT&amp;J COPS 06/01/2026</v>
      </c>
      <c r="E357" s="2">
        <v>1974827.95</v>
      </c>
    </row>
    <row r="358"/>
    <row r="359" ht="16.5" customHeight="1">
      <c r="D359" t="str">
        <v>Banco Aliado Panamá USD 06/01/2026</v>
      </c>
      <c r="E359" s="10">
        <v>37826.01</v>
      </c>
      <c r="F359" s="10" t="str">
        <v>Dato Informativo no es CTA de S&amp;P</v>
      </c>
    </row>
    <row r="360"/>
    <row r="362">
      <c r="D362" t="str">
        <v>Bancos</v>
      </c>
      <c r="E362" s="2">
        <v>13</v>
      </c>
    </row>
    <row r="363">
      <c r="D363" t="str">
        <v>Cuentas</v>
      </c>
      <c r="E363" s="2">
        <v>17</v>
      </c>
    </row>
    <row r="364"/>
    <row r="368"/>
    <row r="369"/>
    <row r="370"/>
    <row r="372"/>
  </sheetData>
  <autoFilter ref="C114:K324"/>
  <mergeCells count="2">
    <mergeCell ref="D347:E347"/>
    <mergeCell ref="D334:E334"/>
  </mergeCells>
  <pageMargins left="0.7" right="0.7" top="0.75" bottom="0.75" header="0.3" footer="0.3"/>
  <ignoredErrors>
    <ignoredError numberStoredAsText="1" sqref="A1:X372"/>
  </ignoredErrors>
  <legacyDrawing r:id="rId1"/>
</worksheet>
</file>

<file path=xl/worksheets/sheet3.xml><?xml version="1.0" encoding="utf-8"?>
<worksheet xmlns="http://schemas.openxmlformats.org/spreadsheetml/2006/main" xmlns:r="http://schemas.openxmlformats.org/officeDocument/2006/relationships">
  <dimension ref="A1:X352"/>
  <sheetViews>
    <sheetView workbookViewId="0" rightToLeft="0"/>
  </sheetViews>
  <cols>
    <col min="1" max="1" customWidth="1" width="10.140625" hidden="true"/>
    <col min="2" max="2" customWidth="1" width="6.5703125" hidden="true"/>
    <col min="3" max="3" customWidth="1" width="18.140625"/>
    <col min="4" max="4" customWidth="1" width="81.42578125"/>
    <col min="5" max="5" customWidth="1" width="24.42578125"/>
    <col min="6" max="6" customWidth="1" width="24.7109375"/>
    <col min="7" max="7" customWidth="1" width="16.85546875"/>
    <col min="8" max="8" customWidth="1" width="3" hidden="true"/>
    <col min="9" max="9" customWidth="1" width="6.7109375" hidden="true"/>
    <col min="10" max="10" customWidth="1" width="16.5703125"/>
    <col min="11" max="11" customWidth="1" width="19.5703125"/>
    <col min="12" max="12" customWidth="1" width="21.5703125"/>
    <col min="13" max="13" customWidth="1" width="15.7109375"/>
    <col min="14" max="14" customWidth="1" width="13.85546875"/>
    <col min="15" max="15" customWidth="1" width="15.85546875"/>
    <col min="16" max="16" customWidth="1" width="15.85546875"/>
    <col min="17" max="17" customWidth="1" width="15.85546875"/>
    <col min="18" max="18" customWidth="1" width="14.5703125"/>
    <col min="19" max="19" customWidth="1" width="13.140625"/>
    <col min="20" max="20" customWidth="1" width="26.140625"/>
    <col min="21" max="21" customWidth="1" width="19.28515625"/>
    <col min="22" max="22" customWidth="1" width="15.28515625"/>
    <col min="23" max="23" customWidth="1" width="14"/>
    <col min="24" max="24" customWidth="1" width="13"/>
    <col min="25" max="25" customWidth="1" width="11.42578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idden="1" ht="15" customHeight="1">
      <c r="E1" s="2">
        <v>42400</v>
      </c>
    </row>
    <row r="2">
      <c r="I2">
        <v>1</v>
      </c>
    </row>
    <row r="3">
      <c r="I3">
        <v>2</v>
      </c>
    </row>
    <row r="4" ht="15.75" customHeight="1">
      <c r="D4" t="str">
        <v>BANCOS</v>
      </c>
      <c r="E4" s="2">
        <f>SUBTOTAL(9,E5:E14)</f>
        <v>1093947677.81</v>
      </c>
      <c r="I4">
        <v>3</v>
      </c>
    </row>
    <row r="5" outlineLevel="1">
      <c r="D5" t="str">
        <v>Bancos</v>
      </c>
      <c r="E5" s="2">
        <f>DICIEMBRE!$E$345</f>
        <v>1057444106.81</v>
      </c>
      <c r="I5">
        <v>4</v>
      </c>
    </row>
    <row r="6" outlineLevel="1">
      <c r="D6" t="str">
        <v xml:space="preserve">Incapacidad pendiente por identificar </v>
      </c>
      <c r="E6" s="2">
        <v>800040</v>
      </c>
    </row>
    <row r="7" outlineLevel="1">
      <c r="D7" t="str">
        <v xml:space="preserve">Incapacidad pendiente por identificar </v>
      </c>
      <c r="E7" s="2">
        <v>400475</v>
      </c>
    </row>
    <row r="8" outlineLevel="1">
      <c r="D8" t="str">
        <v>Incapacidad pagada Sandra Milena Bello</v>
      </c>
      <c r="E8" s="2">
        <v>64397</v>
      </c>
    </row>
    <row r="9" outlineLevel="1">
      <c r="D9" t="str">
        <v>Pago intereses PM</v>
      </c>
      <c r="E9" s="2">
        <v>22670000</v>
      </c>
    </row>
    <row r="10" outlineLevel="1">
      <c r="D10" t="str">
        <v>Devolución Camara de comercio</v>
      </c>
      <c r="E10" s="2">
        <v>190000</v>
      </c>
    </row>
    <row r="11" outlineLevel="1">
      <c r="D11" t="str">
        <v>Devolución Camara de comercio</v>
      </c>
      <c r="E11" s="2">
        <v>69000</v>
      </c>
    </row>
    <row r="12" outlineLevel="1">
      <c r="D12" t="str">
        <v xml:space="preserve">Transferencia de fondos por Saldo de anticipo People Pass Root capital </v>
      </c>
      <c r="E12" s="2">
        <v>284009</v>
      </c>
    </row>
    <row r="13" outlineLevel="1">
      <c r="D13" t="str">
        <v xml:space="preserve">Devolución dinero Root capital </v>
      </c>
      <c r="E13" s="2">
        <v>12000000</v>
      </c>
    </row>
    <row r="14" outlineLevel="1">
      <c r="D14" t="str">
        <v>Devolución de retención IVA – Factura FEG 1344 Gelcon</v>
      </c>
      <c r="E14" s="2">
        <v>25650</v>
      </c>
    </row>
    <row r="15" ht="15.75" customHeight="1">
      <c r="D15" t="str">
        <v>CLIENTES</v>
      </c>
      <c r="E15" s="2">
        <f>SUBTOTAL(9,E16:E55)</f>
        <v>126534369.02307</v>
      </c>
    </row>
    <row r="16" ht="14.25" customHeight="1" outlineLevel="1">
      <c r="C16" s="2" t="str">
        <v>Pagado</v>
      </c>
      <c r="D16" t="str">
        <v>ACT&amp;J Consultores Factura 6555</v>
      </c>
      <c r="E16" s="3">
        <v>1572392.28307</v>
      </c>
    </row>
    <row r="17" ht="14.25" customHeight="1" outlineLevel="1">
      <c r="C17" s="2" t="str">
        <v>Pagado</v>
      </c>
      <c r="D17" t="str">
        <v>ACT&amp;J Consultores Factura 6612</v>
      </c>
      <c r="E17" s="3">
        <v>1549380</v>
      </c>
    </row>
    <row r="18" ht="14.25" customHeight="1" outlineLevel="1">
      <c r="C18" s="2" t="str">
        <v>Sin Pagar</v>
      </c>
      <c r="D18" t="str">
        <v>AECID Factura # 6640</v>
      </c>
      <c r="E18" s="2">
        <f>34362712.65*0</f>
        <v>0</v>
      </c>
    </row>
    <row r="19" ht="14.25" customHeight="1" outlineLevel="1">
      <c r="C19" s="2" t="str">
        <v>Sin Pagar</v>
      </c>
      <c r="D19" t="str">
        <v>AECID Factura # 5-200</v>
      </c>
      <c r="E19" s="2">
        <f>2104000*0</f>
        <v>0</v>
      </c>
    </row>
    <row r="20" outlineLevel="1">
      <c r="C20" s="2" t="str">
        <v>Pagado</v>
      </c>
      <c r="D20" t="str">
        <v>Clarke Modet factura # 6564</v>
      </c>
      <c r="E20" s="2">
        <v>2373194.87</v>
      </c>
    </row>
    <row r="21" outlineLevel="1">
      <c r="C21" s="2" t="str">
        <v>Pagado</v>
      </c>
      <c r="D21" t="str">
        <v>Compassion international factura # 6360</v>
      </c>
      <c r="E21" s="2">
        <f>6898752.51</f>
        <v>6898752.51</v>
      </c>
      <c r="G21" s="2">
        <f>E22+E23+E24+E30+E37+E38</f>
        <v>33574449</v>
      </c>
    </row>
    <row r="22" outlineLevel="1">
      <c r="C22" s="2" t="str">
        <v>Pagado</v>
      </c>
      <c r="D22" t="str">
        <v>Consorcio A&amp;D Factura #  6478-6508-6545</v>
      </c>
      <c r="E22" s="2">
        <v>3254917</v>
      </c>
    </row>
    <row r="23" outlineLevel="1">
      <c r="C23" s="2" t="str">
        <v>Pagado</v>
      </c>
      <c r="D23" t="str">
        <v>Consorcio HL-AB Factura #  6357 - 6358</v>
      </c>
      <c r="E23" s="2">
        <v>498186</v>
      </c>
    </row>
    <row r="24" outlineLevel="1">
      <c r="C24" s="2" t="str">
        <v>Pagado</v>
      </c>
      <c r="D24" t="str">
        <v>Consorcio HL Gisaico Factura 6532-6534</v>
      </c>
      <c r="E24" s="2">
        <v>1568049</v>
      </c>
    </row>
    <row r="25" outlineLevel="1">
      <c r="C25" s="2" t="str">
        <v>Pagado</v>
      </c>
      <c r="D25" t="str">
        <v>Monica Londoño Factura 6396</v>
      </c>
      <c r="E25" s="2">
        <v>177905</v>
      </c>
    </row>
    <row r="26" outlineLevel="1">
      <c r="C26" s="2" t="str">
        <v>Pagado</v>
      </c>
      <c r="D26" t="str">
        <v>Corporación punto azul factura # 6424</v>
      </c>
      <c r="E26" s="2">
        <f>1692717.2</f>
        <v>1692717.2</v>
      </c>
    </row>
    <row r="27" outlineLevel="1">
      <c r="C27" s="2" t="str">
        <v>Sin Pagar</v>
      </c>
      <c r="D27" t="str">
        <v>Dinterweb factura # 5646-5725-5805-5892-5974-6061</v>
      </c>
      <c r="E27" s="2">
        <f>7528323*0</f>
        <v>0</v>
      </c>
    </row>
    <row r="28" outlineLevel="1">
      <c r="C28" s="2" t="str">
        <v>Sin Pagar</v>
      </c>
      <c r="D28" t="str">
        <v>Distritech facturas # 6235 Llega por Panamá</v>
      </c>
      <c r="E28" s="2">
        <f>5391183.76*0</f>
        <v>0</v>
      </c>
    </row>
    <row r="29" outlineLevel="1">
      <c r="C29" s="2" t="str">
        <v>Sin Pagar</v>
      </c>
      <c r="D29" t="str">
        <v xml:space="preserve">Dream Tyme resort </v>
      </c>
      <c r="E29" s="2">
        <f>23310881.53*0</f>
        <v>0</v>
      </c>
    </row>
    <row r="30" outlineLevel="1">
      <c r="C30" s="2" t="str">
        <v>Pagado</v>
      </c>
      <c r="D30" t="str">
        <v>Ecohl facturas 6373-6474-6375</v>
      </c>
      <c r="E30" s="2">
        <v>1228867</v>
      </c>
    </row>
    <row r="31" outlineLevel="1">
      <c r="C31" s="2" t="str">
        <v>Pagado</v>
      </c>
      <c r="D31" t="str">
        <v>Funeravet factura # 6599</v>
      </c>
      <c r="E31" s="2">
        <v>771364.8</v>
      </c>
    </row>
    <row r="32" outlineLevel="1">
      <c r="C32" s="2" t="str">
        <v>Pagado</v>
      </c>
      <c r="D32" t="str">
        <v>Gilead Scense Colombia Factura # 6628</v>
      </c>
      <c r="E32" s="2">
        <v>915290.76</v>
      </c>
    </row>
    <row r="33" outlineLevel="1">
      <c r="C33" s="2" t="str">
        <v>Sin Pagar</v>
      </c>
      <c r="D33" t="str">
        <v>Global CS Colombia SAS  factura # 6443</v>
      </c>
      <c r="E33" s="3">
        <f>17406803.72*0</f>
        <v>0</v>
      </c>
    </row>
    <row r="34" outlineLevel="1">
      <c r="C34" s="2" t="str">
        <v>Pagado</v>
      </c>
      <c r="D34" t="str">
        <v>Global CS Colombia SAS -factura # 6554 - 163</v>
      </c>
      <c r="E34" s="2">
        <v>19282040</v>
      </c>
    </row>
    <row r="35" ht="14.25" customHeight="1" outlineLevel="1">
      <c r="C35" s="2" t="str">
        <v>Sin Pagar</v>
      </c>
      <c r="D35" t="str">
        <v>Global Projects service AG facturas # 6315-27-45 (Pendiente monetizar)</v>
      </c>
      <c r="E35" s="3">
        <f>15456075.3468*0</f>
        <v>0</v>
      </c>
    </row>
    <row r="36" outlineLevel="1">
      <c r="C36" s="2" t="str">
        <v>Sin Pagar</v>
      </c>
      <c r="D36" t="str">
        <v>HL Gestiones factura # 6395</v>
      </c>
      <c r="E36" s="2">
        <f>1121157.31*0</f>
        <v>0</v>
      </c>
      <c r="I36">
        <v>4</v>
      </c>
    </row>
    <row r="37" outlineLevel="1">
      <c r="C37" s="2" t="str">
        <v>Pagado</v>
      </c>
      <c r="D37" t="str">
        <v>HL Ingenieros factura # 6355</v>
      </c>
      <c r="E37" s="2">
        <v>217212</v>
      </c>
    </row>
    <row r="38" outlineLevel="1">
      <c r="C38" s="2" t="str">
        <v>Pagado</v>
      </c>
      <c r="D38" t="str">
        <v>Hl Infraestructura factura # 6366 -6368 - 6369 - 6371 - 6372 - 6386 - 6387 - 6402</v>
      </c>
      <c r="E38" s="2">
        <v>26807218</v>
      </c>
    </row>
    <row r="39" outlineLevel="1">
      <c r="C39" s="2" t="str">
        <v>Pagado</v>
      </c>
      <c r="D39" t="str">
        <v>Inversiones el Bosque factura # 6391</v>
      </c>
      <c r="E39" s="2">
        <v>2049073</v>
      </c>
    </row>
    <row r="40" outlineLevel="1">
      <c r="C40" s="2" t="str">
        <v>Pagado</v>
      </c>
      <c r="D40" t="str">
        <v>Inversiones el Bosque factura # 6627</v>
      </c>
      <c r="E40" s="2">
        <v>2013009</v>
      </c>
    </row>
    <row r="41" outlineLevel="1">
      <c r="C41" s="2" t="str">
        <v>Sin Pagar</v>
      </c>
      <c r="D41" t="str">
        <v>Live Systems technology factura # 6466</v>
      </c>
      <c r="E41" s="2">
        <f>1202975.28*0</f>
        <v>0</v>
      </c>
    </row>
    <row r="42" outlineLevel="1">
      <c r="C42" s="2" t="str">
        <v>Pagado</v>
      </c>
      <c r="D42" t="str">
        <v>Ortho Clinical Diagnostics # 6460</v>
      </c>
      <c r="E42" s="2">
        <f>1380793.13</f>
        <v>1380793.13</v>
      </c>
    </row>
    <row r="43" outlineLevel="1">
      <c r="C43" s="2" t="str">
        <v>Pagado</v>
      </c>
      <c r="D43" t="str">
        <v>Ortho Clinical Diagnostics # 6543</v>
      </c>
      <c r="E43" s="2">
        <f>1380793.13</f>
        <v>1380793.13</v>
      </c>
    </row>
    <row r="44" outlineLevel="1">
      <c r="C44" s="2" t="str">
        <v>Pagado</v>
      </c>
      <c r="D44" t="str">
        <v>Petrobras Colombia Factura # 6517</v>
      </c>
      <c r="E44" s="2">
        <v>17383715.23</v>
      </c>
    </row>
    <row r="45" outlineLevel="1">
      <c r="C45" s="2" t="str">
        <v>Pagado</v>
      </c>
      <c r="D45" t="str">
        <v>Petrobras Colombia Factura # 6518</v>
      </c>
      <c r="E45" s="2">
        <v>17383715.23</v>
      </c>
    </row>
    <row r="46" outlineLevel="1">
      <c r="C46" s="2" t="str">
        <v>Pagado</v>
      </c>
      <c r="D46" t="str">
        <v>Petrobras Internacional Baspetro Factura # 6516</v>
      </c>
      <c r="E46" s="2">
        <v>6664686.16</v>
      </c>
    </row>
    <row r="47" outlineLevel="1">
      <c r="C47" s="2" t="str">
        <v>Pagado</v>
      </c>
      <c r="D47" t="str">
        <v>Petrobras Internacional Baspetro Factura # 6526</v>
      </c>
      <c r="E47" s="2">
        <v>6714054.2</v>
      </c>
    </row>
    <row r="48" outlineLevel="1">
      <c r="C48" s="2" t="str">
        <v>Sin Pagar</v>
      </c>
      <c r="D48" t="str">
        <v>Safeguard por identificar  Deel (Pendiente monetizar)</v>
      </c>
      <c r="E48" s="2">
        <f>3462300*0</f>
        <v>0</v>
      </c>
    </row>
    <row r="49" outlineLevel="1">
      <c r="C49" s="2" t="str">
        <v>Sin Pagar</v>
      </c>
      <c r="D49" t="str">
        <v>Safeguard por identificar  Deel (Pendiente monetizar)</v>
      </c>
      <c r="E49" s="2">
        <f>('MONETIZACIONES PEND'!$R$348+'MONETIZACIONES PEND'!$R$349+'MONETIZACIONES PEND'!$R$350+'MONETIZACIONES PEND'!$R$351)*0</f>
        <v>0</v>
      </c>
    </row>
    <row r="50" ht="14.25" customHeight="1" outlineLevel="1">
      <c r="C50" s="2" t="str">
        <v>Sin Pagar</v>
      </c>
      <c r="D50" t="str">
        <v>Safeguard Payroll LTD y LLC Julio-(vencio en septiembre)</v>
      </c>
      <c r="E50" s="2">
        <f>87111218.1195*0</f>
        <v>0</v>
      </c>
      <c r="F50" s="2">
        <v>0</v>
      </c>
      <c r="G50" s="2">
        <f>(E50-F50)*0</f>
        <v>0</v>
      </c>
      <c r="J50" s="5">
        <v>20841.55</v>
      </c>
    </row>
    <row r="51" ht="14.25" customHeight="1" outlineLevel="1">
      <c r="C51" s="2" t="str">
        <v>Sin Pagar</v>
      </c>
      <c r="D51" t="str">
        <v>Safeguard Payroll LTD y LLC Agosto-(vencio en Octubre)</v>
      </c>
      <c r="E51" s="2">
        <f>66875205.9551*0</f>
        <v>0</v>
      </c>
      <c r="F51" s="2">
        <v>0</v>
      </c>
      <c r="G51" s="2">
        <f>(E51-F51)*0</f>
        <v>0</v>
      </c>
      <c r="J51" s="5">
        <v>16639.39</v>
      </c>
    </row>
    <row r="52" ht="14.25" customHeight="1" outlineLevel="1">
      <c r="C52" s="2" t="str">
        <v>Sin Pagar</v>
      </c>
      <c r="D52" t="str">
        <v>Safeguard Payroll LTD y LLC Septiembre-(vencio en Noviembre)</v>
      </c>
      <c r="E52" s="2">
        <f>63738690.8265*0</f>
        <v>0</v>
      </c>
      <c r="F52" s="2">
        <v>0</v>
      </c>
      <c r="G52" s="2">
        <f>(E52-F52)*0</f>
        <v>0</v>
      </c>
      <c r="J52" s="5">
        <v>16337.849999999999</v>
      </c>
    </row>
    <row r="53" ht="30" customHeight="1" outlineLevel="1">
      <c r="C53" s="2" t="str">
        <v>Sin Pagar</v>
      </c>
      <c r="D53" t="str">
        <v>Rejimetal  Factura # 4441-4524-4609-4688-4788-4865-4970-5060-5150-5272-5372-5485-5565-5642-5721-5802-588</v>
      </c>
      <c r="E53" s="2">
        <f>7370606*0</f>
        <v>0</v>
      </c>
      <c r="J53" s="5">
        <f>SUM(J50:J52)</f>
        <v>53818.79</v>
      </c>
    </row>
    <row r="54" outlineLevel="1">
      <c r="C54" s="2" t="str">
        <v>Pagado</v>
      </c>
      <c r="D54" t="str">
        <v>Soluciones ambientales punto azul Factura #  6504 tiene NC 183 por valor $ 3,214,02</v>
      </c>
      <c r="E54" s="2">
        <v>691500</v>
      </c>
    </row>
    <row r="55" outlineLevel="1">
      <c r="C55" s="2" t="str">
        <v>Pagado</v>
      </c>
      <c r="D55" t="str">
        <v>TPL Logistics factura # 6632</v>
      </c>
      <c r="E55" s="2">
        <v>2065543.52</v>
      </c>
    </row>
    <row r="56" ht="15" customHeight="1">
      <c r="D56" t="str">
        <v>PE</v>
      </c>
      <c r="E56" s="2">
        <f>SUBTOTAL(9,E57:E110)</f>
        <v>1486272673.4513998</v>
      </c>
      <c r="F56" s="6">
        <v>1</v>
      </c>
    </row>
    <row r="57" ht="15" customHeight="1" outlineLevel="1">
      <c r="C57" s="2" t="str">
        <v>Pagado</v>
      </c>
      <c r="D57" t="str">
        <v xml:space="preserve">Advancio Factura # 5461 EO Third parties service ADVANCIO </v>
      </c>
      <c r="E57" s="2">
        <v>8144748.81</v>
      </c>
      <c r="F57" s="2">
        <v>8125837.9884</v>
      </c>
      <c r="G57" s="2">
        <f>(E57-F57)</f>
        <v>18910.821599999443</v>
      </c>
    </row>
    <row r="58" outlineLevel="1">
      <c r="C58" s="2" t="str">
        <v>Pagado</v>
      </c>
      <c r="D58" t="str">
        <v>Action Factura # 6619</v>
      </c>
      <c r="E58" s="2">
        <v>1302416.6400000001</v>
      </c>
      <c r="F58" s="2">
        <v>1295534.9376</v>
      </c>
      <c r="G58" s="2">
        <f>(E58-F58)</f>
        <v>6881.702400000067</v>
      </c>
    </row>
    <row r="59" outlineLevel="1">
      <c r="C59" s="2" t="str">
        <v>Pagado</v>
      </c>
      <c r="D59" t="str">
        <v>Action Factura # 5-187</v>
      </c>
      <c r="E59" s="2">
        <v>11840204.32</v>
      </c>
      <c r="F59" s="2">
        <v>11777643.1088</v>
      </c>
      <c r="G59" s="2">
        <f>(E59-F59)</f>
        <v>62561.21120000072</v>
      </c>
    </row>
    <row r="60" outlineLevel="1">
      <c r="C60" s="2" t="str">
        <v>Pagado</v>
      </c>
      <c r="D60" t="str">
        <v>Bubble BPM Factura # 6609</v>
      </c>
      <c r="E60" s="2">
        <f>447027.7908*0</f>
        <v>0</v>
      </c>
      <c r="G60" s="2">
        <f>(E60-F60)*0</f>
        <v>0</v>
      </c>
    </row>
    <row r="61" outlineLevel="1">
      <c r="C61" s="2" t="str">
        <v>Pagado</v>
      </c>
      <c r="D61" t="str">
        <v>Bubble BPM Factura # 5-175</v>
      </c>
      <c r="E61" s="2">
        <f>4064001.2694*0</f>
        <v>0</v>
      </c>
      <c r="G61" s="2">
        <f>(E61-F61)*0</f>
        <v>0</v>
      </c>
    </row>
    <row r="62" outlineLevel="1">
      <c r="C62" s="2" t="str">
        <v>Pagado</v>
      </c>
      <c r="D62" t="str">
        <v>Edrington  Factura # 6606</v>
      </c>
      <c r="E62" s="2">
        <v>3571941.66</v>
      </c>
      <c r="F62" s="2">
        <v>3547520.8924000002</v>
      </c>
      <c r="G62" s="2">
        <f>(E62-F62)</f>
        <v>24420.767599999905</v>
      </c>
      <c r="K62" s="2">
        <f>E56-E57-E70-E71-E72+E73-E76-E77-E78-E79-E80-E81-E85-E94-E100-E101-E102-E103-E104</f>
        <v>1443377065.7452507</v>
      </c>
    </row>
    <row r="63" outlineLevel="1">
      <c r="C63" s="2" t="str">
        <v>Pagado</v>
      </c>
      <c r="D63" t="str">
        <v>Edrington  Factura # 5-172</v>
      </c>
      <c r="E63" s="2">
        <v>64944403.754999995</v>
      </c>
      <c r="F63" s="2">
        <v>64500389.7307</v>
      </c>
      <c r="G63" s="2">
        <f>(E63-F63)</f>
        <v>444014.0242999941</v>
      </c>
    </row>
    <row r="64" outlineLevel="1">
      <c r="C64" s="2" t="str">
        <v>Pagado</v>
      </c>
      <c r="D64" t="str">
        <v>EPDM Factura # 6541</v>
      </c>
      <c r="E64" s="2">
        <v>1005157.2</v>
      </c>
      <c r="G64" s="2">
        <f>(E64-F64)*0</f>
        <v>0</v>
      </c>
    </row>
    <row r="65" outlineLevel="1">
      <c r="C65" s="2" t="str">
        <v>Pagado</v>
      </c>
      <c r="D65" t="str">
        <v>EPDM Factura # 5-146</v>
      </c>
      <c r="E65" s="2">
        <v>10051573</v>
      </c>
      <c r="G65" s="2">
        <f>(E65-F65)*0</f>
        <v>0</v>
      </c>
    </row>
    <row r="66" outlineLevel="1">
      <c r="C66" s="2" t="str">
        <v>Pagado</v>
      </c>
      <c r="D66" t="str">
        <v>Equus Global Expansion, LLC Factura # 6600</v>
      </c>
      <c r="E66" s="2">
        <v>655634.244809073</v>
      </c>
      <c r="F66" s="2">
        <v>653547.405</v>
      </c>
      <c r="G66" s="2">
        <f>(E66-F66)</f>
        <v>2086.839809073019</v>
      </c>
    </row>
    <row r="67" outlineLevel="1">
      <c r="C67" s="2" t="str">
        <v>Pagado</v>
      </c>
      <c r="D67" t="str">
        <v>Equus Global Expansion, LLC Factura # 5-165</v>
      </c>
      <c r="E67" s="2">
        <v>4454896.955190927</v>
      </c>
      <c r="F67" s="2">
        <v>4440717.3171</v>
      </c>
      <c r="G67" s="2">
        <f>(E67-F67)</f>
        <v>14179.638090927154</v>
      </c>
    </row>
    <row r="68" outlineLevel="1">
      <c r="C68" s="2" t="str">
        <v>Pagado</v>
      </c>
      <c r="D68" t="str">
        <v>Europortage Factura # 6607</v>
      </c>
      <c r="E68" s="2">
        <v>3005458.104937093</v>
      </c>
      <c r="F68" s="2">
        <v>2973712.0476</v>
      </c>
      <c r="G68" s="2">
        <f>(E68-F68)</f>
        <v>31746.0573370927</v>
      </c>
    </row>
    <row r="69" outlineLevel="1">
      <c r="C69" s="2" t="str">
        <v>Pagado</v>
      </c>
      <c r="D69" t="str">
        <v>Europortage Factura # 5-173</v>
      </c>
      <c r="E69" s="2">
        <v>45096717.655062914</v>
      </c>
      <c r="F69" s="2">
        <v>44620369.9788</v>
      </c>
      <c r="G69" s="2">
        <f>(E69-F69)</f>
        <v>476347.67626291513</v>
      </c>
    </row>
    <row r="70" outlineLevel="1">
      <c r="C70" s="2" t="str">
        <v>Pagado</v>
      </c>
      <c r="D70" t="str">
        <v>Hemmebarsch GMBH &amp; Co KG , factura # 6447 Diciembre</v>
      </c>
      <c r="E70" s="2">
        <v>674536.8972</v>
      </c>
      <c r="F70" s="2">
        <v>683895.328</v>
      </c>
      <c r="G70" s="2">
        <f>(E70-F70)</f>
        <v>-9358.430799999973</v>
      </c>
    </row>
    <row r="71" outlineLevel="1">
      <c r="C71" s="2" t="str">
        <v>Pagado</v>
      </c>
      <c r="D71" t="str">
        <v>Hemmebarsch GMBH &amp; Co KG , factura # 5-104 Diciembre</v>
      </c>
      <c r="E71" s="2">
        <v>6745332.651900001</v>
      </c>
      <c r="F71" s="2">
        <v>6838916.456</v>
      </c>
      <c r="G71" s="2">
        <f>(E71-F71)</f>
        <v>-93583.80409999937</v>
      </c>
    </row>
    <row r="72" outlineLevel="1">
      <c r="C72" s="2" t="str">
        <v>Pagado</v>
      </c>
      <c r="D72" t="str">
        <v>Hemmebarsch GMBH &amp; Co KG , factura # 6448 Diciembre</v>
      </c>
      <c r="E72" s="2">
        <v>421603.7208</v>
      </c>
      <c r="F72" s="2">
        <v>427452.992</v>
      </c>
      <c r="G72" s="2">
        <f>(E72-F72)</f>
        <v>-5849.271200000017</v>
      </c>
    </row>
    <row r="73" outlineLevel="1">
      <c r="C73" s="2" t="str">
        <v>Pagado</v>
      </c>
      <c r="D73" t="str">
        <v>Hemmebarsch GMBH &amp; Co KG , factura # 5-105 Diciembre</v>
      </c>
      <c r="E73" s="2">
        <v>4216146.1683</v>
      </c>
      <c r="F73" s="2">
        <v>4274640.392</v>
      </c>
      <c r="G73" s="2">
        <f>(E73-F73)</f>
        <v>-58494.22369999997</v>
      </c>
    </row>
    <row r="74" outlineLevel="1">
      <c r="C74" s="2" t="str">
        <v>Pagado</v>
      </c>
      <c r="D74" t="str">
        <v>Hemmebarsch GMBH &amp; Co KG , factura # 6539 Enero</v>
      </c>
      <c r="E74" s="2">
        <v>656449.4874000001</v>
      </c>
      <c r="F74" s="2">
        <v>683090.5634</v>
      </c>
      <c r="G74" s="2">
        <f>(E74-F74)</f>
        <v>-26641.075999999885</v>
      </c>
    </row>
    <row r="75" outlineLevel="1">
      <c r="C75" s="2" t="str">
        <v>Pagado</v>
      </c>
      <c r="D75" t="str">
        <v>Hemmebarsch GMBH &amp; Co KG , factura # 5-143 Enero</v>
      </c>
      <c r="E75" s="2">
        <v>6564567.514200001</v>
      </c>
      <c r="F75" s="2">
        <v>6830981.2222</v>
      </c>
      <c r="G75" s="2">
        <f>(E75-F75)</f>
        <v>-266413.7079999987</v>
      </c>
    </row>
    <row r="76" outlineLevel="1">
      <c r="C76" s="2" t="str">
        <v>Pagado</v>
      </c>
      <c r="D76" t="str">
        <v>Hemmebarsch GMBH &amp; Co KG , factura # 6540 Enero</v>
      </c>
      <c r="E76" s="2">
        <v>411288.8124</v>
      </c>
      <c r="F76" s="2">
        <v>427980.38839999994</v>
      </c>
      <c r="G76" s="2">
        <f>(E76-F76)</f>
        <v>-16691.575999999943</v>
      </c>
    </row>
    <row r="77" outlineLevel="1">
      <c r="C77" s="2" t="str">
        <v>Pagado</v>
      </c>
      <c r="D77" t="str">
        <v>Hemmebarsch GMBH &amp; Co KG , factura # 5-144 Enero</v>
      </c>
      <c r="E77" s="2">
        <v>4112960.7642000006</v>
      </c>
      <c r="F77" s="2">
        <v>4279879.4722</v>
      </c>
      <c r="G77" s="2">
        <f>(E77-F77)</f>
        <v>-166918.70799999917</v>
      </c>
    </row>
    <row r="78" ht="30" customHeight="1" outlineLevel="1">
      <c r="C78" s="2" t="str">
        <v>Sin Pagar</v>
      </c>
      <c r="D78" t="str">
        <v>Hong kong yonyou xinfushe cloud technology co., limited Factura 6559-(Pendiente monetizar)Diciembre</v>
      </c>
      <c r="E78" s="2">
        <f>2855434.869*0</f>
        <v>0</v>
      </c>
      <c r="G78" s="2">
        <f>(E78-F78)*0</f>
        <v>0</v>
      </c>
    </row>
    <row r="79" ht="30" customHeight="1" outlineLevel="1">
      <c r="C79" s="2" t="str">
        <v>Sin Pagar</v>
      </c>
      <c r="D79" t="str">
        <v>Hong kong yonyou xinfushe cloud technology co., limited Factura 5-152 (Pendiente monetizar) Diciembre</v>
      </c>
      <c r="E79" s="2">
        <f>53276427.2691*0</f>
        <v>0</v>
      </c>
      <c r="G79" s="2">
        <f>(E79-F79)*0</f>
        <v>0</v>
      </c>
    </row>
    <row r="80" outlineLevel="1">
      <c r="C80" s="2" t="str">
        <v>Sin Pagar</v>
      </c>
      <c r="D80" t="str">
        <v>Hong kong yonyou xinfushe cloud technology co., limited Factura 6608- Enero</v>
      </c>
      <c r="E80" s="2">
        <f>2707376.616*0</f>
        <v>0</v>
      </c>
      <c r="G80" s="2">
        <f>(E80-F80)*0</f>
        <v>0</v>
      </c>
    </row>
    <row r="81" outlineLevel="1">
      <c r="C81" s="2" t="str">
        <v>Sin Pagar</v>
      </c>
      <c r="D81" t="str">
        <v>Hong kong yonyou xinfushe cloud technology co., limited Factura 5-174 Enero</v>
      </c>
      <c r="E81" s="2">
        <f>43507906.9584*0</f>
        <v>0</v>
      </c>
      <c r="G81" s="2">
        <f>(E81-F81)*0</f>
        <v>0</v>
      </c>
    </row>
    <row r="82" outlineLevel="1">
      <c r="C82" s="2" t="str">
        <v>Sin Pagar</v>
      </c>
      <c r="D82" t="str">
        <v>Hong kong yonyou xinfushe cloud technology co., limited Factura 5-186 Enero</v>
      </c>
      <c r="E82" s="2">
        <f>21217642.2864*0</f>
        <v>0</v>
      </c>
      <c r="G82" s="2">
        <f>(E82-F82)*0</f>
        <v>0</v>
      </c>
    </row>
    <row r="83" outlineLevel="1">
      <c r="C83" s="2" t="str">
        <v>Pagado</v>
      </c>
      <c r="D83" t="str">
        <v>Flexco Factura # 6603</v>
      </c>
      <c r="E83" s="2">
        <v>4074854.4165706965</v>
      </c>
      <c r="F83" s="2">
        <v>4040409.0363</v>
      </c>
      <c r="G83" s="2">
        <f>(E83-F83)</f>
        <v>34445.38027069671</v>
      </c>
    </row>
    <row r="84" outlineLevel="1">
      <c r="C84" s="2" t="str">
        <v>Pagado</v>
      </c>
      <c r="D84" t="str">
        <v>Flexco Factura # 5-169</v>
      </c>
      <c r="E84" s="2">
        <v>45275600.6034293</v>
      </c>
      <c r="F84" s="2">
        <v>44892878.8862</v>
      </c>
      <c r="G84" s="2">
        <f>(E84-F84)</f>
        <v>382721.71722929925</v>
      </c>
    </row>
    <row r="85" outlineLevel="1">
      <c r="C85" s="2" t="str">
        <v>Sin Pagar</v>
      </c>
      <c r="D85" t="str">
        <v>Insider factura  # 160 Diciembre (Pendiente monetizar)</v>
      </c>
      <c r="E85" s="2">
        <f>3973041.075*0</f>
        <v>0</v>
      </c>
      <c r="G85" s="2">
        <f>(E85-F85)*0</f>
        <v>0</v>
      </c>
    </row>
    <row r="86" outlineLevel="1">
      <c r="C86" s="2" t="str">
        <v>Sin Pagar</v>
      </c>
      <c r="D86" t="str">
        <v>Insider factura  # 188  expenses</v>
      </c>
      <c r="E86" s="2">
        <f>5737331.7549*0</f>
        <v>0</v>
      </c>
      <c r="G86" s="2">
        <f>(E86-F86)*0</f>
        <v>0</v>
      </c>
    </row>
    <row r="87" outlineLevel="1">
      <c r="C87" s="2" t="str">
        <v>Sin Pagar</v>
      </c>
      <c r="D87" t="str">
        <v>Insider factura  # XXX</v>
      </c>
      <c r="E87" s="2">
        <f>761389470.9*0</f>
        <v>0</v>
      </c>
      <c r="G87" s="2">
        <f>(E87-F87)*0</f>
        <v>0</v>
      </c>
    </row>
    <row r="88" ht="14.25" customHeight="1" outlineLevel="1">
      <c r="C88" s="2" t="str">
        <v>Pagado</v>
      </c>
      <c r="D88" t="str">
        <v>MKD Factura # 6602</v>
      </c>
      <c r="E88" s="2">
        <v>508583.24999999994</v>
      </c>
      <c r="F88" s="2">
        <v>498246.90089999995</v>
      </c>
      <c r="G88" s="2">
        <f>(E88-F88)</f>
        <v>10336.349099999992</v>
      </c>
    </row>
    <row r="89" ht="14.25" customHeight="1" outlineLevel="1">
      <c r="C89" s="2" t="str">
        <v>Pagado</v>
      </c>
      <c r="D89" t="str">
        <v>MKD Factura # 5-168</v>
      </c>
      <c r="E89" s="2">
        <v>4623113.25</v>
      </c>
      <c r="F89" s="2">
        <v>4529153.9769</v>
      </c>
      <c r="G89" s="2">
        <f>(E89-F89)</f>
        <v>93959.27309999987</v>
      </c>
    </row>
    <row r="90" outlineLevel="1">
      <c r="C90" s="2" t="str">
        <v>Pagado</v>
      </c>
      <c r="D90" t="str">
        <v>Nazdar Factura # 6604</v>
      </c>
      <c r="E90" s="2">
        <v>3239286.423046819</v>
      </c>
      <c r="F90" s="2">
        <v>3205708.881</v>
      </c>
      <c r="G90" s="2">
        <f>(E90-F90)</f>
        <v>33577.54204681888</v>
      </c>
    </row>
    <row r="91" outlineLevel="1">
      <c r="C91" s="2" t="str">
        <v>Pagado</v>
      </c>
      <c r="D91" t="str">
        <v>Nazdar Factura # 5-170</v>
      </c>
      <c r="E91" s="2">
        <v>53987558.57695318</v>
      </c>
      <c r="F91" s="2">
        <v>53427938.561500005</v>
      </c>
      <c r="G91" s="2">
        <f>(E91-F91)</f>
        <v>559620.0154531747</v>
      </c>
    </row>
    <row r="92" outlineLevel="1">
      <c r="C92" s="2" t="str">
        <v>Sin Pagar</v>
      </c>
      <c r="D92" t="str">
        <v>Neo Factura # 6613</v>
      </c>
      <c r="E92" s="2">
        <f>5494632.9165*0</f>
        <v>0</v>
      </c>
      <c r="G92" s="2">
        <f>(E92-F92)*0</f>
        <v>0</v>
      </c>
    </row>
    <row r="93" outlineLevel="1">
      <c r="C93" s="2" t="str">
        <v>Sin Pagar</v>
      </c>
      <c r="D93" t="str">
        <v>Neo Factura # FV-5-181</v>
      </c>
      <c r="E93" s="2">
        <f>68683476.3615*0</f>
        <v>0</v>
      </c>
      <c r="G93" s="2">
        <f>(E93-F93)*0</f>
        <v>0</v>
      </c>
    </row>
    <row r="94" outlineLevel="1">
      <c r="C94" s="2" t="str">
        <v>Sin Pagar</v>
      </c>
      <c r="D94" t="str">
        <v>Oncehub Factura # 5-161 ( cesantías)</v>
      </c>
      <c r="E94" s="2">
        <v>10822101.79294877</v>
      </c>
      <c r="F94" s="2">
        <f>11287082.5151</f>
        <v>11287082.5151</v>
      </c>
      <c r="G94" s="2">
        <f>(E94-F94)</f>
        <v>-464980.722151231</v>
      </c>
    </row>
    <row r="95" outlineLevel="1">
      <c r="C95" s="2" t="str">
        <v>Sin Pagar</v>
      </c>
      <c r="D95" t="str">
        <v>Oncehub Factura # 6617</v>
      </c>
      <c r="E95" s="2">
        <v>1037676.560250781</v>
      </c>
      <c r="F95" s="2">
        <v>1031230.2000000001</v>
      </c>
      <c r="G95" s="2">
        <f>(E95-F95)</f>
        <v>6446.360250780941</v>
      </c>
    </row>
    <row r="96" outlineLevel="1">
      <c r="C96" s="2" t="str">
        <v>Sin Pagar</v>
      </c>
      <c r="D96" t="str">
        <v>Oncehub Factura # 5-171</v>
      </c>
      <c r="E96" s="2">
        <v>11831038.781800449</v>
      </c>
      <c r="F96" s="2">
        <v>11757540.795</v>
      </c>
      <c r="G96" s="2">
        <f>(E96-F96)</f>
        <v>73497.98680044897</v>
      </c>
    </row>
    <row r="97" outlineLevel="1">
      <c r="C97" s="2" t="str">
        <v>Pagado</v>
      </c>
      <c r="D97" t="str">
        <v>Poc Pharma Limited Factura # 6619</v>
      </c>
      <c r="E97" s="2">
        <v>1751760</v>
      </c>
      <c r="F97" s="2">
        <v>1749384</v>
      </c>
      <c r="G97" s="2">
        <f>(E97-F97)</f>
        <v>2376</v>
      </c>
    </row>
    <row r="98" outlineLevel="1">
      <c r="C98" s="2" t="str">
        <v>Pagado</v>
      </c>
      <c r="D98" t="str">
        <v>Poc Pharma Limited Factura # 5-182</v>
      </c>
      <c r="E98" s="2">
        <v>5417974.71</v>
      </c>
      <c r="F98" s="2">
        <v>5410626.039</v>
      </c>
      <c r="G98" s="2">
        <f>(E98-F98)</f>
        <v>7348.671000000089</v>
      </c>
    </row>
    <row r="99" outlineLevel="1">
      <c r="C99" s="2" t="str">
        <v>Pagado</v>
      </c>
      <c r="D99" t="str">
        <v>Poc Pharma Limited Factura # 5-183</v>
      </c>
      <c r="E99" s="2">
        <v>5474250</v>
      </c>
      <c r="F99" s="2">
        <v>5466825</v>
      </c>
      <c r="G99" s="2">
        <f>(E99-F99)</f>
        <v>7425</v>
      </c>
    </row>
    <row r="100" outlineLevel="1">
      <c r="C100" s="2" t="str">
        <v>Pagado</v>
      </c>
      <c r="D100" t="str">
        <v xml:space="preserve">Remofirst Factura # 5-60 Octubre </v>
      </c>
      <c r="E100" s="2">
        <v>11825858.025</v>
      </c>
      <c r="F100" s="2">
        <f>(3255.57*3890.28)</f>
        <v>12665078.859600002</v>
      </c>
      <c r="G100" s="2">
        <f>(E100-F100)</f>
        <v>-839220.8346000016</v>
      </c>
    </row>
    <row r="101" outlineLevel="1">
      <c r="C101" s="2" t="str">
        <v>Pagado</v>
      </c>
      <c r="D101" t="str">
        <v>Remofirst Factura # 6338 Octubre</v>
      </c>
      <c r="E101" s="2">
        <v>3112326</v>
      </c>
      <c r="F101" s="2">
        <f>3333190.9</f>
        <v>3333190.9</v>
      </c>
      <c r="G101" s="2">
        <f>(E101-F101)</f>
        <v>-220864.8999999999</v>
      </c>
    </row>
    <row r="102" outlineLevel="1">
      <c r="C102" s="2" t="str">
        <v>Pagado</v>
      </c>
      <c r="D102" t="str">
        <v>Remofirst Factura # 5-79 Octubre</v>
      </c>
      <c r="E102" s="2">
        <v>840996.4</v>
      </c>
      <c r="F102" s="2">
        <f>868549.5952</f>
        <v>868549.5952</v>
      </c>
      <c r="G102" s="2">
        <f>(E102-F102)</f>
        <v>-27553.19519999996</v>
      </c>
    </row>
    <row r="103" outlineLevel="1">
      <c r="C103" s="2" t="str">
        <v>Sin Pagar</v>
      </c>
      <c r="D103" t="str">
        <v>Remofirst Factura # 5-162 Diciembre</v>
      </c>
      <c r="E103" s="2">
        <f>23615660.7027*0</f>
        <v>0</v>
      </c>
      <c r="G103" s="2">
        <f>(E103-F103)*0</f>
        <v>0</v>
      </c>
    </row>
    <row r="104" outlineLevel="1">
      <c r="C104" s="2" t="str">
        <v>Sin Pagar</v>
      </c>
      <c r="D104" t="str">
        <v>Remofirst Factura # 6580- Diciembre</v>
      </c>
      <c r="E104" s="2">
        <f>2672509.14*0</f>
        <v>0</v>
      </c>
      <c r="G104" s="2">
        <f>(E104-F104)*0</f>
        <v>0</v>
      </c>
    </row>
    <row r="105" outlineLevel="1">
      <c r="C105" s="2" t="str">
        <v>Pagado</v>
      </c>
      <c r="D105" t="str">
        <v>Remofirst Factura # 6637- Enero</v>
      </c>
      <c r="E105" s="2">
        <v>2356414.2</v>
      </c>
      <c r="F105" s="2">
        <v>2375897.8320000004</v>
      </c>
      <c r="G105" s="2">
        <f>(E105-F105)</f>
        <v>-19483.632000000216</v>
      </c>
    </row>
    <row r="106" outlineLevel="1">
      <c r="C106" s="2" t="str">
        <v>Pagado</v>
      </c>
      <c r="D106" t="str">
        <v>Remofirst Factura # 5-195 Enero</v>
      </c>
      <c r="E106" s="2">
        <v>62827811.099999994</v>
      </c>
      <c r="F106" s="2">
        <v>63347292.756</v>
      </c>
      <c r="G106" s="2">
        <f>(E106-F106)</f>
        <v>-519481.6560000032</v>
      </c>
    </row>
    <row r="107" outlineLevel="1">
      <c r="C107" s="2" t="str">
        <v>Pagado</v>
      </c>
      <c r="D107" t="str">
        <v>Remofirst Factura # 6601- Enero</v>
      </c>
      <c r="E107" s="2">
        <v>46678464</v>
      </c>
      <c r="F107" s="2">
        <v>47517956.64</v>
      </c>
      <c r="G107" s="2">
        <f>(E107-F107)</f>
        <v>-839492.6400000006</v>
      </c>
    </row>
    <row r="108" outlineLevel="1">
      <c r="C108" s="2" t="str">
        <v>Pagado</v>
      </c>
      <c r="D108" t="str">
        <v>Remofirst Factura # 5-166 Enero</v>
      </c>
      <c r="E108" s="2">
        <v>948507696</v>
      </c>
      <c r="F108" s="2">
        <v>965566209.96</v>
      </c>
      <c r="G108" s="2">
        <f>(E108-F108)</f>
        <v>-17058513.96000004</v>
      </c>
    </row>
    <row r="109" outlineLevel="1">
      <c r="C109" s="2" t="str">
        <v>Pagado</v>
      </c>
      <c r="D109" t="str">
        <v>Rivermate Factura # 6610</v>
      </c>
      <c r="E109" s="2">
        <v>1095096</v>
      </c>
      <c r="G109" s="2">
        <f>(E109-F109)*0</f>
        <v>0</v>
      </c>
    </row>
    <row r="110" outlineLevel="1">
      <c r="C110" s="2" t="str">
        <v>Pagado</v>
      </c>
      <c r="D110" t="str">
        <v>Rivermate Factura # 5-176</v>
      </c>
      <c r="E110" s="2">
        <v>83108175</v>
      </c>
      <c r="G110" s="2">
        <f>(E110-F110)*0</f>
        <v>0</v>
      </c>
    </row>
    <row r="111" ht="15.75" customHeight="1">
      <c r="D111" t="str">
        <v>TOTAL INGRESOS</v>
      </c>
      <c r="E111" s="2">
        <f>SUBTOTAL(9,E4:E110)</f>
        <v>2706754720.2844706</v>
      </c>
      <c r="G111" s="2">
        <f>SUM(G16:G110)</f>
        <v>15233809.696099937</v>
      </c>
    </row>
    <row r="112" ht="15.75" customHeight="1"/>
    <row r="113" ht="15.75" customHeight="1"/>
    <row r="114" ht="15.75" customHeight="1">
      <c r="C114" t="str">
        <v xml:space="preserve">CUENTAS X PAGAR MES </v>
      </c>
      <c r="E114" t="str">
        <v>ENERO</v>
      </c>
      <c r="F114" t="str">
        <v>Fecha de Elaboración:</v>
      </c>
      <c r="J114" s="1">
        <v>46023</v>
      </c>
    </row>
    <row r="115" ht="16.5" customHeight="1">
      <c r="C115" t="str">
        <v>Factura</v>
      </c>
      <c r="D115" t="str">
        <v>PROVEEDOR</v>
      </c>
      <c r="E115" s="2" t="str">
        <v>VALOR</v>
      </c>
      <c r="F115" t="str">
        <v>Fecha vencimiento</v>
      </c>
      <c r="G115" t="str">
        <v>Estado</v>
      </c>
      <c r="J115" t="str">
        <v>KPI</v>
      </c>
      <c r="K115" t="str">
        <v>Objeto</v>
      </c>
    </row>
    <row r="116" ht="16.5" customHeight="1">
      <c r="D116" t="str">
        <v>PAGOS ANTICIPADOS</v>
      </c>
      <c r="E116" s="2">
        <f>SUBTOTAL(9,E117:E121)</f>
        <v>21791439</v>
      </c>
    </row>
    <row r="117" outlineLevel="1">
      <c r="A117" t="str">
        <f>G117</f>
        <v>Cancelado</v>
      </c>
      <c r="B117">
        <f>IF(I117&lt;=-1,1,IF(I117&lt;=5,2,IF(I117&lt;=15,3,IF(H117&lt;=60,4))))</f>
        <v>2</v>
      </c>
      <c r="D117" t="str">
        <v>Anticipo nómina Action</v>
      </c>
      <c r="E117" s="2">
        <f>3666326*0</f>
        <v>0</v>
      </c>
      <c r="F117" s="1">
        <v>46024</v>
      </c>
      <c r="G117" t="str">
        <v>Cancelado</v>
      </c>
      <c r="H117">
        <f>IF(OR(G117="Sin pagar",G117="Pagar"),NETWORKDAYS($J$114,F117,'Festivos Colombia'!$A$3:$A$22),0)</f>
        <v>0</v>
      </c>
      <c r="I117">
        <f>NETWORKDAYS($J$114,F117,'Festivos Colombia'!$A$3:$A$22)</f>
        <v>1</v>
      </c>
      <c r="J117" s="7">
        <f>H117</f>
        <v>0</v>
      </c>
    </row>
    <row r="118" outlineLevel="1">
      <c r="A118" t="str">
        <f>G118</f>
        <v>Cancelado</v>
      </c>
      <c r="B118">
        <f>IF(I118&lt;=-1,1,IF(I118&lt;=5,2,IF(I118&lt;=15,3,IF(H118&lt;=60,4))))</f>
        <v>2</v>
      </c>
      <c r="D118" t="str">
        <v>Anticipo nómina Lyda María Durango Mejia-Remofirst</v>
      </c>
      <c r="E118" s="2">
        <v>3184147</v>
      </c>
      <c r="F118" s="1">
        <v>46029</v>
      </c>
      <c r="G118" t="str">
        <v>Cancelado</v>
      </c>
      <c r="H118">
        <f>IF(OR(G118="Sin pagar",G118="Pagar"),NETWORKDAYS($J$114,F118,'Festivos Colombia'!$A$3:$A$22),0)</f>
        <v>0</v>
      </c>
      <c r="I118">
        <f>NETWORKDAYS($J$114,F118,'Festivos Colombia'!$A$3:$A$22)</f>
        <v>4</v>
      </c>
      <c r="J118" s="7">
        <f>H118</f>
        <v>0</v>
      </c>
    </row>
    <row r="119" outlineLevel="1">
      <c r="A119" t="str">
        <f>G119</f>
        <v>Cancelado</v>
      </c>
      <c r="B119">
        <f>IF(I119&lt;=-1,1,IF(I119&lt;=5,2,IF(I119&lt;=15,3,IF(H119&lt;=60,4))))</f>
        <v>3</v>
      </c>
      <c r="D119" t="str">
        <v>Anticipo nómina Nazdar</v>
      </c>
      <c r="E119" s="2">
        <v>9500000</v>
      </c>
      <c r="F119" s="1">
        <v>46036</v>
      </c>
      <c r="G119" t="str">
        <v>Cancelado</v>
      </c>
      <c r="H119">
        <f>IF(OR(G119="Sin pagar",G119="Pagar"),NETWORKDAYS($J$114,F119,'Festivos Colombia'!$A$3:$A$22),0)</f>
        <v>0</v>
      </c>
      <c r="I119">
        <f>NETWORKDAYS($J$114,F119,'Festivos Colombia'!$A$3:$A$22)</f>
        <v>8</v>
      </c>
      <c r="J119" s="7">
        <f>H119</f>
        <v>0</v>
      </c>
    </row>
    <row r="120" outlineLevel="1">
      <c r="A120" t="str">
        <f>G120</f>
        <v>Cancelado</v>
      </c>
      <c r="B120">
        <f>IF(I120&lt;=-1,1,IF(I120&lt;=5,2,IF(I120&lt;=15,3,IF(H120&lt;=60,4))))</f>
        <v>3</v>
      </c>
      <c r="D120" t="str">
        <v>Anticipo nómina Action</v>
      </c>
      <c r="E120" s="2">
        <v>4360000</v>
      </c>
      <c r="F120" s="1">
        <v>46036</v>
      </c>
      <c r="G120" t="str">
        <v>Cancelado</v>
      </c>
      <c r="H120">
        <f>IF(OR(G120="Sin pagar",G120="Pagar"),NETWORKDAYS($J$114,F120,'Festivos Colombia'!$A$3:$A$22),0)</f>
        <v>0</v>
      </c>
      <c r="I120">
        <f>NETWORKDAYS($J$114,F120,'Festivos Colombia'!$A$3:$A$22)</f>
        <v>8</v>
      </c>
      <c r="J120" s="7">
        <f>H120</f>
        <v>0</v>
      </c>
    </row>
    <row r="121" ht="15.75" customHeight="1" outlineLevel="1">
      <c r="A121" t="str">
        <f>G121</f>
        <v>Cancelado</v>
      </c>
      <c r="B121">
        <f>IF(I121&lt;=-1,1,IF(I121&lt;=5,2,IF(I121&lt;=15,3,IF(H121&lt;=60,4))))</f>
        <v>4</v>
      </c>
      <c r="D121" t="str">
        <v>Anticipo nómina Action</v>
      </c>
      <c r="E121" s="2">
        <f>4747292</f>
        <v>4747292</v>
      </c>
      <c r="F121" s="1">
        <v>46055</v>
      </c>
      <c r="G121" t="str">
        <v>Cancelado</v>
      </c>
      <c r="H121">
        <f>IF(OR(G121="Sin pagar",G121="Pagar"),NETWORKDAYS($J$114,F121,'Festivos Colombia'!$A$3:$A$22),0)</f>
        <v>0</v>
      </c>
      <c r="I121">
        <f>NETWORKDAYS($J$114,F121,'Festivos Colombia'!$A$3:$A$22)</f>
        <v>21</v>
      </c>
      <c r="J121" s="7">
        <f>H121</f>
        <v>0</v>
      </c>
    </row>
    <row r="122" ht="16.5" customHeight="1">
      <c r="D122" t="str">
        <v xml:space="preserve">SEGURIDAD SOCIAL   </v>
      </c>
      <c r="E122" s="2">
        <f>SUBTOTAL(9,E123:E123)</f>
        <v>464642000</v>
      </c>
    </row>
    <row r="123" ht="15.75" customHeight="1" outlineLevel="1">
      <c r="A123" t="str">
        <f>G123</f>
        <v>Cancelado</v>
      </c>
      <c r="B123">
        <f>IF(I123&lt;=-1,1,IF(I123&lt;=5,2,IF(I123&lt;=15,3,IF(H123&lt;=60,4))))</f>
        <v>3</v>
      </c>
      <c r="C123" s="6">
        <v>176206200</v>
      </c>
      <c r="D123" t="str">
        <v xml:space="preserve">Seguridad social </v>
      </c>
      <c r="E123" s="2">
        <v>464642000</v>
      </c>
      <c r="F123" s="1">
        <v>46036</v>
      </c>
      <c r="G123" t="str">
        <v>Cancelado</v>
      </c>
      <c r="H123">
        <f>IF(OR(G123="Sin pagar",G123="Pagar"),NETWORKDAYS($J$114,F123,'Festivos Colombia'!$A$3:$A$22),0)</f>
        <v>0</v>
      </c>
      <c r="I123">
        <f>NETWORKDAYS($J$114,F123,'Festivos Colombia'!$A$3:$A$22)</f>
        <v>8</v>
      </c>
      <c r="J123" s="7">
        <f>H123</f>
        <v>0</v>
      </c>
    </row>
    <row r="124" ht="16.5" customHeight="1">
      <c r="D124" t="str">
        <v>AFC´S</v>
      </c>
      <c r="E124" s="2">
        <f>SUBTOTAL(9,E125:E127)</f>
        <v>18075460</v>
      </c>
    </row>
    <row r="125" outlineLevel="1">
      <c r="A125" t="str">
        <f>G125</f>
        <v>Cancelado</v>
      </c>
      <c r="B125">
        <f>IF(I125&lt;=-1,1,IF(I125&lt;=5,2,IF(I125&lt;=15,3,IF(H125&lt;=60,4))))</f>
        <v>4</v>
      </c>
      <c r="D125" t="str">
        <v xml:space="preserve">AFC Dafuturo cheque </v>
      </c>
      <c r="E125" s="2">
        <v>1000000</v>
      </c>
      <c r="F125" s="1">
        <v>46052</v>
      </c>
      <c r="G125" t="str">
        <v>Cancelado</v>
      </c>
      <c r="H125">
        <f>IF(OR(G125="Sin pagar",G125="Pagar"),NETWORKDAYS($J$114,F125,'Festivos Colombia'!$A$3:$A$22),0)</f>
        <v>0</v>
      </c>
      <c r="I125">
        <f>NETWORKDAYS($J$114,F125,'Festivos Colombia'!$A$3:$A$22)</f>
        <v>20</v>
      </c>
      <c r="J125" s="7">
        <f>H125</f>
        <v>0</v>
      </c>
    </row>
    <row r="126" outlineLevel="1">
      <c r="A126" t="str">
        <f>G126</f>
        <v>Cancelado</v>
      </c>
      <c r="B126">
        <f>IF(I126&lt;=-1,1,IF(I126&lt;=5,2,IF(I126&lt;=15,3,IF(H126&lt;=60,4))))</f>
        <v>4</v>
      </c>
      <c r="D126" t="str">
        <v xml:space="preserve">AFC OER electronico </v>
      </c>
      <c r="E126" s="2">
        <f>4100000+1650000+5000000+3950000</f>
        <v>14700000</v>
      </c>
      <c r="F126" s="1">
        <v>46050</v>
      </c>
      <c r="G126" t="str">
        <v>Cancelado</v>
      </c>
      <c r="H126">
        <f>IF(OR(G126="Sin pagar",G126="Pagar"),NETWORKDAYS($J$114,F126,'Festivos Colombia'!$A$3:$A$22),0)</f>
        <v>0</v>
      </c>
      <c r="I126">
        <f>NETWORKDAYS($J$114,F126,'Festivos Colombia'!$A$3:$A$22)</f>
        <v>18</v>
      </c>
      <c r="J126" s="7">
        <f>H126</f>
        <v>0</v>
      </c>
    </row>
    <row r="127" ht="15.75" customHeight="1" outlineLevel="1">
      <c r="A127" t="str">
        <f>G127</f>
        <v>Cancelado</v>
      </c>
      <c r="B127">
        <f>IF(I127&lt;=-1,1,IF(I127&lt;=5,2,IF(I127&lt;=15,3,IF(H127&lt;=60,4))))</f>
        <v>4</v>
      </c>
      <c r="D127" t="str">
        <v xml:space="preserve">AFC Edward Forero electronico </v>
      </c>
      <c r="E127" s="2">
        <v>2375460</v>
      </c>
      <c r="F127" s="1">
        <v>46050</v>
      </c>
      <c r="G127" t="str">
        <v>Cancelado</v>
      </c>
      <c r="H127">
        <f>IF(OR(G127="Sin pagar",G127="Pagar"),NETWORKDAYS($J$114,F127,'Festivos Colombia'!$A$3:$A$22),0)</f>
        <v>0</v>
      </c>
      <c r="I127">
        <f>NETWORKDAYS($J$114,F127,'Festivos Colombia'!$A$3:$A$22)</f>
        <v>18</v>
      </c>
      <c r="J127" s="7">
        <f>H127</f>
        <v>0</v>
      </c>
    </row>
    <row r="128" ht="16.5" customHeight="1">
      <c r="D128" t="str">
        <v xml:space="preserve">IMPUESTOS </v>
      </c>
      <c r="E128" s="2">
        <f>SUBTOTAL(9,E129:E132)</f>
        <v>216455000</v>
      </c>
      <c r="J128" s="7">
        <f>H128</f>
        <v>0</v>
      </c>
    </row>
    <row r="129" outlineLevel="1">
      <c r="D129" t="str">
        <v xml:space="preserve">Reteica 6to bimestre 2025 </v>
      </c>
      <c r="E129" s="2">
        <v>1090000</v>
      </c>
      <c r="F129" s="1">
        <v>46038</v>
      </c>
      <c r="G129" t="str">
        <v>Cancelado</v>
      </c>
      <c r="H129">
        <f>IF(OR(G129="Sin pagar",G129="Pagar"),NETWORKDAYS($J$114,F129,'Festivos Colombia'!$A$3:$A$22),0)</f>
        <v>0</v>
      </c>
      <c r="I129">
        <f>NETWORKDAYS($J$114,F129,'Festivos Colombia'!$A$3:$A$22)</f>
        <v>10</v>
      </c>
      <c r="J129" s="7">
        <f>H129</f>
        <v>0</v>
      </c>
    </row>
    <row r="130" outlineLevel="1">
      <c r="D130" t="str">
        <v xml:space="preserve">IVA Bimetral </v>
      </c>
      <c r="E130" s="2">
        <v>72004000</v>
      </c>
      <c r="F130" s="1">
        <v>46041</v>
      </c>
      <c r="G130" t="str">
        <v>Cancelado</v>
      </c>
      <c r="H130">
        <f>IF(OR(G130="Sin pagar",G130="Pagar"),NETWORKDAYS($J$114,F130,'Festivos Colombia'!$A$3:$A$22),0)</f>
        <v>0</v>
      </c>
      <c r="I130">
        <f>NETWORKDAYS($J$114,F130,'Festivos Colombia'!$A$3:$A$22)</f>
        <v>11</v>
      </c>
      <c r="J130" s="7">
        <f>H130</f>
        <v>0</v>
      </c>
    </row>
    <row r="131" outlineLevel="1">
      <c r="A131" t="str">
        <f>G131</f>
        <v>Cancelado</v>
      </c>
      <c r="B131">
        <f>IF(I131&lt;=-1,1,IF(I131&lt;=5,2,IF(I131&lt;=15,3,IF(H131&lt;=60,4))))</f>
        <v>3</v>
      </c>
      <c r="D131" t="str">
        <v xml:space="preserve">RETENCIÓN EN LA FUENTE </v>
      </c>
      <c r="E131" s="2">
        <v>143189000</v>
      </c>
      <c r="F131" s="1">
        <v>46041</v>
      </c>
      <c r="G131" t="str">
        <v>Cancelado</v>
      </c>
      <c r="H131">
        <f>IF(OR(G131="Sin pagar",G131="Pagar"),NETWORKDAYS($J$114,F131,'Festivos Colombia'!$A$3:$A$22),0)</f>
        <v>0</v>
      </c>
      <c r="I131">
        <f>NETWORKDAYS($J$114,F131,'Festivos Colombia'!$A$3:$A$22)</f>
        <v>11</v>
      </c>
      <c r="J131" s="7">
        <f>H131</f>
        <v>0</v>
      </c>
    </row>
    <row r="132" ht="15.75" customHeight="1" outlineLevel="1">
      <c r="D132" t="str">
        <v>Retención de IVA</v>
      </c>
      <c r="E132" s="2">
        <v>172000</v>
      </c>
      <c r="F132" s="1">
        <v>46041</v>
      </c>
      <c r="G132" t="str">
        <v>Cancelado</v>
      </c>
      <c r="H132">
        <f>IF(OR(G132="Sin pagar",G132="Pagar"),NETWORKDAYS($J$114,F132,'Festivos Colombia'!$A$3:$A$22),0)</f>
        <v>0</v>
      </c>
      <c r="I132">
        <f>NETWORKDAYS($J$114,F132,'Festivos Colombia'!$A$3:$A$22)</f>
        <v>11</v>
      </c>
      <c r="J132" s="7">
        <f>H132</f>
        <v>0</v>
      </c>
    </row>
    <row r="133" ht="16.5" customHeight="1">
      <c r="D133" t="str">
        <v>ARRIENDO, INTERNET, TELEFONIA Y GASTOS DE OFICINA</v>
      </c>
      <c r="E133" s="2">
        <f>SUBTOTAL(9,E134:E152)</f>
        <v>9884764.51</v>
      </c>
      <c r="J133" s="7">
        <f>H133</f>
        <v>0</v>
      </c>
    </row>
    <row r="134" outlineLevel="1">
      <c r="A134" t="str">
        <f>G134</f>
        <v>Cancelado</v>
      </c>
      <c r="B134">
        <f>IF(I134&lt;=-1,1,IF(I134&lt;=5,2,IF(I134&lt;=15,3,IF(H134&lt;=60,4))))</f>
        <v>3</v>
      </c>
      <c r="C134">
        <v>26978</v>
      </c>
      <c r="D134" t="str">
        <v>Parking remofirst</v>
      </c>
      <c r="E134" s="2">
        <v>667000</v>
      </c>
      <c r="F134" s="1">
        <v>46031</v>
      </c>
      <c r="G134" t="str">
        <v>Cancelado</v>
      </c>
      <c r="H134">
        <f>IF(OR(G134="Sin pagar",G134="Pagar"),NETWORKDAYS($J$114,F134,'Festivos Colombia'!$A$3:$A$22),0)</f>
        <v>0</v>
      </c>
      <c r="I134">
        <f>NETWORKDAYS($J$114,F134,'Festivos Colombia'!$A$3:$A$22)</f>
        <v>6</v>
      </c>
      <c r="J134" s="7">
        <f>H134</f>
        <v>0</v>
      </c>
    </row>
    <row r="135" ht="14.25" customHeight="1" outlineLevel="1">
      <c r="A135" t="str">
        <f>G135</f>
        <v>Cancelado</v>
      </c>
      <c r="B135">
        <f>IF(I135&lt;=-1,1,IF(I135&lt;=5,2,IF(I135&lt;=15,3,IF(H135&lt;=60,4))))</f>
        <v>3</v>
      </c>
      <c r="C135" s="4" t="str">
        <v>FE-53959</v>
      </c>
      <c r="D135" t="str">
        <v>BUK colombia SAS-Sucricpión Diciembre</v>
      </c>
      <c r="E135" s="2">
        <f>1178285.75</f>
        <v>1178285.75</v>
      </c>
      <c r="F135" s="1">
        <v>46031</v>
      </c>
      <c r="G135" t="str">
        <v>Cancelado</v>
      </c>
      <c r="H135">
        <f>IF(OR(G135="Sin pagar",G135="Pagar"),NETWORKDAYS($J$114,F135,'Festivos Colombia'!$A$3:$A$22),0)</f>
        <v>0</v>
      </c>
      <c r="I135">
        <f>NETWORKDAYS($J$114,F135,'Festivos Colombia'!$A$3:$A$22)</f>
        <v>6</v>
      </c>
      <c r="J135" s="7">
        <f>H135</f>
        <v>0</v>
      </c>
    </row>
    <row r="136" outlineLevel="1">
      <c r="A136" t="str">
        <f>G136</f>
        <v>Cancelado</v>
      </c>
      <c r="B136">
        <f>IF(I136&lt;=-1,1,IF(I136&lt;=5,2,IF(I136&lt;=15,3,IF(H136&lt;=60,4))))</f>
        <v>3</v>
      </c>
      <c r="C136" s="4" t="str">
        <v>FEV 3264</v>
      </c>
      <c r="D136" t="str">
        <v>Pruebas THT- Plan detal 6 informes</v>
      </c>
      <c r="E136" s="2">
        <v>1104320</v>
      </c>
      <c r="F136" s="1">
        <v>46036</v>
      </c>
      <c r="G136" t="str">
        <v>Cancelado</v>
      </c>
      <c r="H136">
        <f>IF(OR(G136="Sin pagar",G136="Pagar"),NETWORKDAYS($J$114,F136,'Festivos Colombia'!$A$3:$A$22),0)</f>
        <v>0</v>
      </c>
      <c r="I136">
        <f>NETWORKDAYS($J$114,F136,'Festivos Colombia'!$A$3:$A$22)</f>
        <v>8</v>
      </c>
      <c r="J136" s="7">
        <f>H136</f>
        <v>0</v>
      </c>
    </row>
    <row r="137" outlineLevel="1">
      <c r="A137" t="str">
        <f>G137</f>
        <v>Cancelado</v>
      </c>
      <c r="B137">
        <f>IF(I137&lt;=-1,1,IF(I137&lt;=5,2,IF(I137&lt;=15,3,IF(H137&lt;=60,4))))</f>
        <v>3</v>
      </c>
      <c r="C137" t="str">
        <v>FEWP-6404</v>
      </c>
      <c r="D137" t="str">
        <v>WORKPLACE SOLUTIONS GROUP SAS (SPACIO)</v>
      </c>
      <c r="E137" s="2">
        <v>358066.76</v>
      </c>
      <c r="F137" s="1">
        <v>46041</v>
      </c>
      <c r="G137" t="str">
        <v>Cancelado</v>
      </c>
      <c r="H137">
        <f>IF(OR(G137="Sin pagar",G137="Pagar"),NETWORKDAYS($J$114,F137,'Festivos Colombia'!$A$3:$A$22),0)</f>
        <v>0</v>
      </c>
      <c r="I137">
        <f>NETWORKDAYS($J$114,F137,'Festivos Colombia'!$A$3:$A$22)</f>
        <v>11</v>
      </c>
      <c r="J137" s="7">
        <f>H137</f>
        <v>0</v>
      </c>
    </row>
    <row r="138" outlineLevel="1">
      <c r="A138" t="str">
        <f>G138</f>
        <v>Cancelado</v>
      </c>
      <c r="B138">
        <f>IF(I138&lt;=-1,1,IF(I138&lt;=5,2,IF(I138&lt;=15,3,IF(H138&lt;=60,4))))</f>
        <v>3</v>
      </c>
      <c r="C138" t="str">
        <v>FEWP-6372</v>
      </c>
      <c r="D138" t="str">
        <v>WORKPLACE SOLUTIONS GROUP SAS (SPACIO)-Sala de juntas 9 horas</v>
      </c>
      <c r="E138" s="2">
        <v>912272</v>
      </c>
      <c r="F138" s="1">
        <v>46041</v>
      </c>
      <c r="G138" t="str">
        <v>Cancelado</v>
      </c>
      <c r="H138">
        <f>IF(OR(G138="Sin pagar",G138="Pagar"),NETWORKDAYS($J$114,F138,'Festivos Colombia'!$A$3:$A$22),0)</f>
        <v>0</v>
      </c>
      <c r="I138">
        <f>NETWORKDAYS($J$114,F138,'Festivos Colombia'!$A$3:$A$22)</f>
        <v>11</v>
      </c>
      <c r="J138" s="7">
        <f>H138</f>
        <v>0</v>
      </c>
    </row>
    <row r="139" outlineLevel="1">
      <c r="A139" t="str">
        <f>G139</f>
        <v>Cancelado</v>
      </c>
      <c r="B139">
        <f>IF(I139&lt;=-1,1,IF(I139&lt;=5,2,IF(I139&lt;=15,3,IF(H139&lt;=60,4))))</f>
        <v>3</v>
      </c>
      <c r="C139" t="str">
        <v>FEWP-6373</v>
      </c>
      <c r="D139" t="str">
        <v>WORKPLACE SOLUTIONS GROUP SAS (SPACIO)-Impresiones a color</v>
      </c>
      <c r="E139" s="2">
        <v>218500</v>
      </c>
      <c r="F139" s="1">
        <v>46041</v>
      </c>
      <c r="G139" t="str">
        <v>Cancelado</v>
      </c>
      <c r="H139">
        <f>IF(OR(G139="Sin pagar",G139="Pagar"),NETWORKDAYS($J$114,F139,'Festivos Colombia'!$A$3:$A$22),0)</f>
        <v>0</v>
      </c>
      <c r="I139">
        <f>NETWORKDAYS($J$114,F139,'Festivos Colombia'!$A$3:$A$22)</f>
        <v>11</v>
      </c>
      <c r="J139" s="7">
        <f>H139</f>
        <v>0</v>
      </c>
    </row>
    <row r="140" outlineLevel="1">
      <c r="A140" t="str">
        <f>G140</f>
        <v>Cancelado</v>
      </c>
      <c r="B140">
        <f>IF(I140&lt;=-1,1,IF(I140&lt;=5,2,IF(I140&lt;=15,3,IF(H140&lt;=60,4))))</f>
        <v>3</v>
      </c>
      <c r="C140" t="str">
        <v>FEWP-6448</v>
      </c>
      <c r="D140" t="str">
        <v>WORKPLACE SOLUTIONS GROUP SAS (SPACIO)-Sala de juntas 3 horas</v>
      </c>
      <c r="E140" s="2">
        <v>207000</v>
      </c>
      <c r="F140" s="1">
        <v>46042</v>
      </c>
      <c r="G140" t="str">
        <v>Cancelado</v>
      </c>
      <c r="H140">
        <f>IF(OR(G140="Sin pagar",G140="Pagar"),NETWORKDAYS($J$114,F140,'Festivos Colombia'!$A$3:$A$22),0)</f>
        <v>0</v>
      </c>
      <c r="I140">
        <f>NETWORKDAYS($J$114,F140,'Festivos Colombia'!$A$3:$A$22)</f>
        <v>12</v>
      </c>
      <c r="J140" s="7">
        <f>H140</f>
        <v>0</v>
      </c>
    </row>
    <row r="141" outlineLevel="1">
      <c r="A141" t="str">
        <f>G141</f>
        <v>Cancelado</v>
      </c>
      <c r="B141">
        <f>IF(I141&lt;=-1,1,IF(I141&lt;=5,2,IF(I141&lt;=15,3,IF(H141&lt;=60,4))))</f>
        <v>4</v>
      </c>
      <c r="C141" t="str">
        <v>FEWP-6463</v>
      </c>
      <c r="D141" t="str">
        <v>WORKPLACE SOLUTIONS GROUP SAS (SPACIO)-Sala de juntas 3 horas</v>
      </c>
      <c r="E141" s="2">
        <v>227700</v>
      </c>
      <c r="F141" s="1">
        <v>46052</v>
      </c>
      <c r="G141" t="str">
        <v>Cancelado</v>
      </c>
      <c r="H141">
        <f>IF(OR(G141="Sin pagar",G141="Pagar"),NETWORKDAYS($J$114,F141,'Festivos Colombia'!$A$3:$A$22),0)</f>
        <v>0</v>
      </c>
      <c r="I141">
        <f>NETWORKDAYS($J$114,F141,'Festivos Colombia'!$A$3:$A$22)</f>
        <v>20</v>
      </c>
      <c r="J141" s="7">
        <f>H141</f>
        <v>0</v>
      </c>
    </row>
    <row r="142" outlineLevel="1">
      <c r="A142" t="str">
        <f>G142</f>
        <v>Cancelado</v>
      </c>
      <c r="B142">
        <f>IF(I142&lt;=-1,1,IF(I142&lt;=5,2,IF(I142&lt;=15,3,IF(H142&lt;=60,4))))</f>
        <v>3</v>
      </c>
      <c r="C142" s="4" t="str">
        <v>580831409004</v>
      </c>
      <c r="D142" t="str">
        <v>Movistar Office 365</v>
      </c>
      <c r="E142" s="2">
        <v>352410</v>
      </c>
      <c r="F142" s="1">
        <v>46031</v>
      </c>
      <c r="G142" t="str">
        <v>Cancelado</v>
      </c>
      <c r="H142">
        <f>IF(OR(G142="Sin pagar",G142="Pagar"),NETWORKDAYS($J$114,F142,'Festivos Colombia'!$A$3:$A$22),0)</f>
        <v>0</v>
      </c>
      <c r="I142">
        <f>NETWORKDAYS($J$114,F142,'Festivos Colombia'!$A$3:$A$22)</f>
        <v>6</v>
      </c>
      <c r="J142" s="7">
        <f>H142</f>
        <v>0</v>
      </c>
      <c r="K142" t="str">
        <v>Sin radicar - se paga por fecha de suspensión 12/01</v>
      </c>
    </row>
    <row r="143" outlineLevel="1">
      <c r="A143" t="str">
        <f>G143</f>
        <v>Cancelado</v>
      </c>
      <c r="B143">
        <f>IF(I143&lt;=-1,1,IF(I143&lt;=5,2,IF(I143&lt;=15,3,IF(H143&lt;=60,4))))</f>
        <v>3</v>
      </c>
      <c r="C143" t="str">
        <v>EMPR60241</v>
      </c>
      <c r="D143" t="str">
        <v>Bienestar a la carta compensar mes de octubre</v>
      </c>
      <c r="E143" s="2">
        <f>150000</f>
        <v>150000</v>
      </c>
      <c r="F143" s="1">
        <v>46038</v>
      </c>
      <c r="G143" t="str">
        <v>Cancelado</v>
      </c>
      <c r="H143">
        <f>IF(OR(G143="Sin pagar",G143="Pagar"),NETWORKDAYS($J$114,F143,'Festivos Colombia'!$A$3:$A$22),0)</f>
        <v>0</v>
      </c>
      <c r="I143">
        <f>NETWORKDAYS($J$114,F143,'Festivos Colombia'!$A$3:$A$22)</f>
        <v>10</v>
      </c>
      <c r="J143" s="7">
        <f>H143</f>
        <v>0</v>
      </c>
    </row>
    <row r="144" outlineLevel="1">
      <c r="A144" t="str">
        <f>G144</f>
        <v>Cancelado</v>
      </c>
      <c r="B144">
        <f>IF(I144&lt;=-1,1,IF(I144&lt;=5,2,IF(I144&lt;=15,3,IF(H144&lt;=60,4))))</f>
        <v>3</v>
      </c>
      <c r="C144">
        <v>62</v>
      </c>
      <c r="D144" t="str">
        <v>Rafael Mier (arriendo Bodega para S&amp;P)</v>
      </c>
      <c r="E144" s="2">
        <v>180000</v>
      </c>
      <c r="F144" s="1">
        <v>46036</v>
      </c>
      <c r="G144" t="str">
        <v>Cancelado</v>
      </c>
      <c r="H144">
        <f>IF(OR(G144="Sin pagar",G144="Pagar"),NETWORKDAYS($J$114,F144,'Festivos Colombia'!$A$3:$A$22),0)</f>
        <v>0</v>
      </c>
      <c r="I144">
        <f>NETWORKDAYS($J$114,F144,'Festivos Colombia'!$A$3:$A$22)</f>
        <v>8</v>
      </c>
      <c r="J144" s="7">
        <f>H144</f>
        <v>0</v>
      </c>
    </row>
    <row r="145" outlineLevel="1">
      <c r="A145" t="str">
        <f>G145</f>
        <v>Cancelado</v>
      </c>
      <c r="B145">
        <f>IF(I145&lt;=-1,1,IF(I145&lt;=5,2,IF(I145&lt;=15,3,IF(H145&lt;=60,4))))</f>
        <v>3</v>
      </c>
      <c r="C145">
        <v>1</v>
      </c>
      <c r="D145" t="str">
        <v xml:space="preserve">Giovanna Guio-Reembolso de gastos </v>
      </c>
      <c r="E145" s="2">
        <v>146000</v>
      </c>
      <c r="F145" s="1">
        <v>46045</v>
      </c>
      <c r="G145" t="str">
        <v>Cancelado</v>
      </c>
      <c r="H145">
        <f>IF(OR(G145="Sin pagar",G145="Pagar"),NETWORKDAYS($J$114,F145,'Festivos Colombia'!$A$3:$A$22),0)</f>
        <v>0</v>
      </c>
      <c r="I145">
        <f>NETWORKDAYS($J$114,F145,'Festivos Colombia'!$A$3:$A$22)</f>
        <v>15</v>
      </c>
      <c r="J145" s="7">
        <f>H145</f>
        <v>0</v>
      </c>
    </row>
    <row r="146" outlineLevel="1">
      <c r="A146" t="str">
        <f>G146</f>
        <v>Cancelado</v>
      </c>
      <c r="B146">
        <f>IF(I146&lt;=-1,1,IF(I146&lt;=5,2,IF(I146&lt;=15,3,IF(H146&lt;=60,4))))</f>
        <v>3</v>
      </c>
      <c r="C146" s="4" t="str">
        <v>003 - 292457153</v>
      </c>
      <c r="D146" t="str">
        <v>Claro Office 365</v>
      </c>
      <c r="E146" s="2">
        <v>1357345</v>
      </c>
      <c r="F146" s="1">
        <v>46044</v>
      </c>
      <c r="G146" t="str">
        <v>Cancelado</v>
      </c>
      <c r="H146">
        <f>IF(OR(G146="Sin pagar",G146="Pagar"),NETWORKDAYS($J$114,F146,'Festivos Colombia'!$A$3:$A$22),0)</f>
        <v>0</v>
      </c>
      <c r="I146">
        <f>NETWORKDAYS($J$114,F146,'Festivos Colombia'!$A$3:$A$22)</f>
        <v>14</v>
      </c>
      <c r="J146" s="7">
        <f>H146</f>
        <v>0</v>
      </c>
    </row>
    <row r="147" outlineLevel="1">
      <c r="A147" t="str">
        <f>G147</f>
        <v>Cancelado</v>
      </c>
      <c r="B147">
        <f>IF(I147&lt;=-1,1,IF(I147&lt;=5,2,IF(I147&lt;=15,3,IF(H147&lt;=60,4))))</f>
        <v>3</v>
      </c>
      <c r="C147" t="str">
        <v xml:space="preserve">	6016985756</v>
      </c>
      <c r="D147" t="str">
        <v xml:space="preserve">Claro-Telefonia </v>
      </c>
      <c r="E147" s="2">
        <v>845089</v>
      </c>
      <c r="F147" s="1">
        <v>46044</v>
      </c>
      <c r="G147" t="str">
        <v>Cancelado</v>
      </c>
      <c r="H147">
        <f>IF(OR(G147="Sin pagar",G147="Pagar"),NETWORKDAYS($J$114,F147,'Festivos Colombia'!$A$3:$A$22),0)</f>
        <v>0</v>
      </c>
      <c r="I147">
        <f>NETWORKDAYS($J$114,F147,'Festivos Colombia'!$A$3:$A$22)</f>
        <v>14</v>
      </c>
      <c r="J147" s="7">
        <f>H147</f>
        <v>0</v>
      </c>
    </row>
    <row r="148" outlineLevel="1">
      <c r="A148" t="str">
        <f>G148</f>
        <v>Cancelado</v>
      </c>
      <c r="B148">
        <f>IF(I148&lt;=-1,1,IF(I148&lt;=5,2,IF(I148&lt;=15,3,IF(H148&lt;=60,4))))</f>
        <v>4</v>
      </c>
      <c r="C148" t="str">
        <v>S/N</v>
      </c>
      <c r="D148" t="str">
        <v>Reembolso Caja menor</v>
      </c>
      <c r="E148" s="2">
        <v>267900</v>
      </c>
      <c r="F148" s="1">
        <v>46052</v>
      </c>
      <c r="G148" t="str">
        <v>Cancelado</v>
      </c>
      <c r="H148">
        <f>IF(OR(G148="Sin pagar",G148="Pagar"),NETWORKDAYS($J$114,F148,'Festivos Colombia'!$A$3:$A$22),0)</f>
        <v>0</v>
      </c>
      <c r="I148">
        <f>NETWORKDAYS($J$114,F148,'Festivos Colombia'!$A$3:$A$22)</f>
        <v>20</v>
      </c>
      <c r="J148" s="7">
        <f>H148</f>
        <v>0</v>
      </c>
    </row>
    <row r="149" outlineLevel="1">
      <c r="A149" t="str">
        <f>G149</f>
        <v>Cancelado</v>
      </c>
      <c r="B149">
        <f>IF(I149&lt;=-1,1,IF(I149&lt;=5,2,IF(I149&lt;=15,3,IF(H149&lt;=60,4))))</f>
        <v>4</v>
      </c>
      <c r="C149" s="4" t="str">
        <v>BEC503796728</v>
      </c>
      <c r="D149" t="str">
        <v>Movistar telefonía</v>
      </c>
      <c r="E149" s="2">
        <v>856438</v>
      </c>
      <c r="F149" s="1">
        <v>46052</v>
      </c>
      <c r="G149" t="str">
        <v>Cancelado</v>
      </c>
      <c r="H149">
        <f>IF(OR(G149="Sin pagar",G149="Pagar"),NETWORKDAYS($J$114,F149,'Festivos Colombia'!$A$3:$A$22),0)</f>
        <v>0</v>
      </c>
      <c r="I149">
        <f>NETWORKDAYS($J$114,F149,'Festivos Colombia'!$A$3:$A$22)</f>
        <v>20</v>
      </c>
      <c r="J149" s="7">
        <f>H149</f>
        <v>0</v>
      </c>
    </row>
    <row r="150" outlineLevel="1">
      <c r="A150" t="str">
        <f>G150</f>
        <v>Cancelado</v>
      </c>
      <c r="B150">
        <f>IF(I150&lt;=-1,1,IF(I150&lt;=5,2,IF(I150&lt;=15,3,IF(H150&lt;=60,4))))</f>
        <v>4</v>
      </c>
      <c r="C150" s="4" t="str">
        <v>BEC503796728</v>
      </c>
      <c r="D150" t="str">
        <v>Movistar telefonía</v>
      </c>
      <c r="E150" s="2">
        <v>856438</v>
      </c>
      <c r="F150" s="1">
        <v>46052</v>
      </c>
      <c r="G150" t="str">
        <v>Cancelado</v>
      </c>
      <c r="H150">
        <f>IF(OR(G150="Sin pagar",G150="Pagar"),NETWORKDAYS($J$114,F150,'Festivos Colombia'!$A$3:$A$22),0)</f>
        <v>0</v>
      </c>
      <c r="I150">
        <f>NETWORKDAYS($J$114,F150,'Festivos Colombia'!$A$3:$A$22)</f>
        <v>20</v>
      </c>
      <c r="J150" s="7">
        <f>H150</f>
        <v>0</v>
      </c>
    </row>
    <row r="151" outlineLevel="1">
      <c r="A151" t="str">
        <f>G151</f>
        <v>Sin Pagar</v>
      </c>
      <c r="B151">
        <f>IF(I151&lt;=-1,1,IF(I151&lt;=5,2,IF(I151&lt;=15,3,IF(H151&lt;=60,4))))</f>
        <v>4</v>
      </c>
      <c r="C151">
        <v>16</v>
      </c>
      <c r="D151" t="str">
        <v>Edgar Rafael Obrador Borja</v>
      </c>
      <c r="E151" s="2">
        <f>1015098.5*0</f>
        <v>0</v>
      </c>
      <c r="F151" s="1">
        <v>46059</v>
      </c>
      <c r="G151" t="str">
        <v>Sin Pagar</v>
      </c>
      <c r="H151">
        <f>IF(OR(G151="Sin pagar",G151="Pagar"),NETWORKDAYS($J$114,F151,'Festivos Colombia'!$A$3:$A$22),0)</f>
        <v>25</v>
      </c>
      <c r="I151">
        <f>NETWORKDAYS($J$114,F151,'Festivos Colombia'!$A$3:$A$22)</f>
        <v>25</v>
      </c>
      <c r="J151" s="7">
        <f>H151</f>
        <v>25</v>
      </c>
      <c r="K151" t="str">
        <v>Sin radicar</v>
      </c>
    </row>
    <row r="152" ht="14.25" customHeight="1" outlineLevel="1">
      <c r="A152" t="str">
        <f>G152</f>
        <v>Sin Pagar</v>
      </c>
      <c r="B152">
        <f>IF(I152&lt;=-1,1,IF(I152&lt;=5,2,IF(I152&lt;=15,3,IF(H152&lt;=60,4))))</f>
        <v>4</v>
      </c>
      <c r="C152" s="4" t="str">
        <v>FE-56980</v>
      </c>
      <c r="D152" t="str">
        <v>BUK colombia SAS-Suscripión Enero</v>
      </c>
      <c r="E152" s="2">
        <f>1244113.7*0</f>
        <v>0</v>
      </c>
      <c r="F152" s="1">
        <v>46066</v>
      </c>
      <c r="G152" t="str">
        <v>Sin Pagar</v>
      </c>
      <c r="H152">
        <f>IF(OR(G152="Sin pagar",G152="Pagar"),NETWORKDAYS($J$114,F152,'Festivos Colombia'!$A$3:$A$22),0)</f>
        <v>30</v>
      </c>
      <c r="I152">
        <f>NETWORKDAYS($J$114,F152,'Festivos Colombia'!$A$3:$A$22)</f>
        <v>30</v>
      </c>
      <c r="J152" s="7">
        <f>H152</f>
        <v>30</v>
      </c>
    </row>
    <row r="153" ht="16.5" customHeight="1">
      <c r="D153" t="str">
        <v>PLANES COMPLEMENTARIOS Y PREPAGADAS</v>
      </c>
      <c r="E153" s="2">
        <f>SUBTOTAL(9,E154:E155)</f>
        <v>1462406</v>
      </c>
    </row>
    <row r="154" ht="14.25" customHeight="1" outlineLevel="1">
      <c r="A154" t="str">
        <f>G154</f>
        <v>Cancelado</v>
      </c>
      <c r="B154">
        <f>IF(I154&lt;=-1,1,IF(I154&lt;=5,2,IF(I154&lt;=15,3,IF(H154&lt;=60,4))))</f>
        <v>3</v>
      </c>
      <c r="C154" t="str">
        <v>SD0117095702</v>
      </c>
      <c r="D154" t="str">
        <v>Plan complementario Eduard Forero</v>
      </c>
      <c r="E154" s="2">
        <v>658350</v>
      </c>
      <c r="F154" s="1">
        <v>46038</v>
      </c>
      <c r="G154" t="str">
        <v>Cancelado</v>
      </c>
      <c r="H154">
        <f>IF(OR(G154="Sin pagar",G154="Pagar"),NETWORKDAYS($J$114,F154,'Festivos Colombia'!$A$3:$A$22),0)</f>
        <v>0</v>
      </c>
      <c r="I154">
        <f>NETWORKDAYS($J$114,F154,'Festivos Colombia'!$A$3:$A$22)</f>
        <v>10</v>
      </c>
      <c r="J154" s="7">
        <f>H154</f>
        <v>0</v>
      </c>
    </row>
    <row r="155" ht="15.75" customHeight="1" outlineLevel="1">
      <c r="A155" t="str">
        <f>G155</f>
        <v>Cancelado</v>
      </c>
      <c r="B155">
        <f>IF(I155&lt;=-1,1,IF(I155&lt;=5,2,IF(I155&lt;=15,3,IF(H155&lt;=60,4))))</f>
        <v>3</v>
      </c>
      <c r="C155" s="4" t="str">
        <v>219912160194</v>
      </c>
      <c r="D155" t="str">
        <v>Plan complementario Ricardo Arambulo</v>
      </c>
      <c r="E155" s="2">
        <f>804056</f>
        <v>804056</v>
      </c>
      <c r="F155" s="1">
        <v>46045</v>
      </c>
      <c r="G155" t="str">
        <v>Cancelado</v>
      </c>
      <c r="H155">
        <f>IF(OR(G155="Sin pagar",G155="Pagar"),NETWORKDAYS($J$114,F155,'Festivos Colombia'!$A$3:$A$22),0)</f>
        <v>0</v>
      </c>
      <c r="I155">
        <f>NETWORKDAYS($J$114,F155,'Festivos Colombia'!$A$3:$A$22)</f>
        <v>15</v>
      </c>
      <c r="J155" s="7">
        <f>H155</f>
        <v>0</v>
      </c>
    </row>
    <row r="156" ht="16.5" customHeight="1">
      <c r="D156" t="str">
        <v>PÓLIZAS Y SEGUROS</v>
      </c>
      <c r="E156" s="2">
        <f>SUBTOTAL(9,E157:E161)</f>
        <v>9704799</v>
      </c>
    </row>
    <row r="157" outlineLevel="1">
      <c r="A157" t="str">
        <f>G157</f>
        <v>Cancelado</v>
      </c>
      <c r="B157">
        <f>IF(I157&lt;=-1,1,IF(I157&lt;=5,2,IF(I157&lt;=15,3,IF(H157&lt;=60,4))))</f>
        <v>4</v>
      </c>
      <c r="C157">
        <v>20833343208</v>
      </c>
      <c r="D157" t="str">
        <v>Poliza Suramericana Póliza #  083004098664</v>
      </c>
      <c r="E157" s="2">
        <v>174056</v>
      </c>
      <c r="F157" s="1">
        <v>46052</v>
      </c>
      <c r="G157" t="str">
        <v>Cancelado</v>
      </c>
      <c r="H157">
        <f>IF(OR(G157="Sin pagar",G157="Pagar"),NETWORKDAYS($J$114,F157,'Festivos Colombia'!$A$3:$A$22),0)</f>
        <v>0</v>
      </c>
      <c r="I157">
        <f>NETWORKDAYS($J$114,F157,'Festivos Colombia'!$A$3:$A$22)</f>
        <v>20</v>
      </c>
      <c r="J157" s="7">
        <f>H157</f>
        <v>0</v>
      </c>
      <c r="K157" t="str">
        <v>Sin radicar</v>
      </c>
    </row>
    <row r="158" outlineLevel="1">
      <c r="A158" t="str">
        <f>G158</f>
        <v>Cancelado</v>
      </c>
      <c r="B158">
        <f>IF(I158&lt;=-1,1,IF(I158&lt;=5,2,IF(I158&lt;=15,3,IF(H158&lt;=60,4))))</f>
        <v>4</v>
      </c>
      <c r="C158">
        <v>20911204190</v>
      </c>
      <c r="D158" t="str">
        <v>Poliza Suramericana Póliza #  091000808492</v>
      </c>
      <c r="E158" s="2">
        <v>70096</v>
      </c>
      <c r="F158" s="1">
        <v>46052</v>
      </c>
      <c r="G158" t="str">
        <v>Cancelado</v>
      </c>
      <c r="H158">
        <f>IF(OR(G158="Sin pagar",G158="Pagar"),NETWORKDAYS($J$114,F158,'Festivos Colombia'!$A$3:$A$22),0)</f>
        <v>0</v>
      </c>
      <c r="I158">
        <f>NETWORKDAYS($J$114,F158,'Festivos Colombia'!$A$3:$A$22)</f>
        <v>20</v>
      </c>
      <c r="J158" s="7">
        <f>H158</f>
        <v>0</v>
      </c>
      <c r="K158" t="str">
        <v>Sin radicar</v>
      </c>
    </row>
    <row r="159" outlineLevel="1">
      <c r="A159" t="str">
        <f>G159</f>
        <v>Cancelado</v>
      </c>
      <c r="B159">
        <f>IF(I159&lt;=-1,1,IF(I159&lt;=5,2,IF(I159&lt;=15,3,IF(H159&lt;=60,4))))</f>
        <v>4</v>
      </c>
      <c r="C159">
        <v>20911204307</v>
      </c>
      <c r="D159" t="str">
        <v>Poliza Suramericana Póliza #  091000808492</v>
      </c>
      <c r="E159" s="2">
        <v>28438</v>
      </c>
      <c r="F159" s="1">
        <v>46052</v>
      </c>
      <c r="G159" t="str">
        <v>Cancelado</v>
      </c>
      <c r="H159">
        <f>IF(OR(G159="Sin pagar",G159="Pagar"),NETWORKDAYS($J$114,F159,'Festivos Colombia'!$A$3:$A$22),0)</f>
        <v>0</v>
      </c>
      <c r="I159">
        <f>NETWORKDAYS($J$114,F159,'Festivos Colombia'!$A$3:$A$22)</f>
        <v>20</v>
      </c>
      <c r="J159" s="7">
        <f>H159</f>
        <v>0</v>
      </c>
      <c r="K159" t="str">
        <v>Sin radicar</v>
      </c>
    </row>
    <row r="160" outlineLevel="1">
      <c r="A160" t="str">
        <f>G160</f>
        <v>Cancelado</v>
      </c>
      <c r="B160">
        <f>IF(I160&lt;=-1,1,IF(I160&lt;=5,2,IF(I160&lt;=15,3,IF(H160&lt;=60,4))))</f>
        <v>4</v>
      </c>
      <c r="C160" t="str">
        <v>S/N</v>
      </c>
      <c r="D160" t="str">
        <v>Poliza Suramericana Póliza #  091000808492</v>
      </c>
      <c r="E160" s="2">
        <v>9432209</v>
      </c>
      <c r="F160" s="1">
        <v>46053</v>
      </c>
      <c r="G160" t="str">
        <v>Cancelado</v>
      </c>
      <c r="H160">
        <f>IF(OR(G160="Sin pagar",G160="Pagar"),NETWORKDAYS($J$114,F160,'Festivos Colombia'!$A$3:$A$22),0)</f>
        <v>0</v>
      </c>
      <c r="I160">
        <f>NETWORKDAYS($J$114,F160,'Festivos Colombia'!$A$3:$A$22)</f>
        <v>20</v>
      </c>
      <c r="J160" s="7">
        <f>H160</f>
        <v>0</v>
      </c>
      <c r="K160" t="str">
        <v>Sin radicar</v>
      </c>
    </row>
    <row r="161" ht="15.75" customHeight="1" outlineLevel="1">
      <c r="A161" t="str">
        <f>G161</f>
        <v>Sin Pagar</v>
      </c>
      <c r="B161">
        <f>IF(I161&lt;=-1,1,IF(I161&lt;=5,2,IF(I161&lt;=15,3,IF(H161&lt;=60,4))))</f>
        <v>4</v>
      </c>
      <c r="C161" t="str">
        <v>S/N</v>
      </c>
      <c r="D161" t="str">
        <v>Poliza Suramericana Póliza #  083004098664</v>
      </c>
      <c r="E161" s="2">
        <f>9337*0</f>
        <v>0</v>
      </c>
      <c r="F161" s="1">
        <v>46054</v>
      </c>
      <c r="G161" t="str">
        <v>Sin Pagar</v>
      </c>
      <c r="H161">
        <f>IF(OR(G161="Sin pagar",G161="Pagar"),NETWORKDAYS($J$114,F161,'Festivos Colombia'!$A$3:$A$22),0)</f>
        <v>20</v>
      </c>
      <c r="I161">
        <f>NETWORKDAYS($J$114,F161,'Festivos Colombia'!$A$3:$A$22)</f>
        <v>20</v>
      </c>
      <c r="J161" s="7">
        <f>H161</f>
        <v>20</v>
      </c>
      <c r="K161" t="str">
        <v>Sin radicar</v>
      </c>
    </row>
    <row r="162" ht="16.5" customHeight="1">
      <c r="D162" t="str">
        <v>SERVICIOS DE MENSAJERÍA</v>
      </c>
      <c r="E162" s="2">
        <f>SUBTOTAL(9,E163:E167)</f>
        <v>603266.6</v>
      </c>
    </row>
    <row r="163" outlineLevel="1">
      <c r="A163" t="str">
        <f>G163</f>
        <v>Cancelado</v>
      </c>
      <c r="B163">
        <f>IF(I163&lt;=-1,1,IF(I163&lt;=5,2,IF(I163&lt;=15,3,IF(H163&lt;=60,4))))</f>
        <v>3</v>
      </c>
      <c r="C163">
        <v>53</v>
      </c>
      <c r="D163" t="str">
        <v>Yecid Martin</v>
      </c>
      <c r="E163" s="2">
        <v>39000</v>
      </c>
      <c r="F163" s="1">
        <v>46031</v>
      </c>
      <c r="G163" t="str">
        <v>Cancelado</v>
      </c>
      <c r="H163">
        <f>IF(OR(G163="Sin pagar",G163="Pagar"),NETWORKDAYS($J$114,F163,'Festivos Colombia'!$A$3:$A$22),0)</f>
        <v>0</v>
      </c>
      <c r="I163">
        <f>NETWORKDAYS($J$114,F163,'Festivos Colombia'!$A$3:$A$22)</f>
        <v>6</v>
      </c>
      <c r="J163" s="7">
        <f>H163</f>
        <v>0</v>
      </c>
    </row>
    <row r="164" outlineLevel="1">
      <c r="A164" t="str">
        <f>G164</f>
        <v>Cancelado</v>
      </c>
      <c r="B164">
        <f>IF(I164&lt;=-1,1,IF(I164&lt;=5,2,IF(I164&lt;=15,3,IF(H164&lt;=60,4))))</f>
        <v>3</v>
      </c>
      <c r="C164">
        <v>18</v>
      </c>
      <c r="D164" t="str">
        <v>Mundo Express</v>
      </c>
      <c r="E164" s="2">
        <v>40000</v>
      </c>
      <c r="F164" s="1">
        <v>46031</v>
      </c>
      <c r="G164" t="str">
        <v>Cancelado</v>
      </c>
      <c r="H164">
        <f>IF(OR(G164="Sin pagar",G164="Pagar"),NETWORKDAYS($J$114,F164,'Festivos Colombia'!$A$3:$A$22),0)</f>
        <v>0</v>
      </c>
      <c r="I164">
        <f>NETWORKDAYS($J$114,F164,'Festivos Colombia'!$A$3:$A$22)</f>
        <v>6</v>
      </c>
      <c r="J164" s="7">
        <f>H164</f>
        <v>0</v>
      </c>
    </row>
    <row r="165" outlineLevel="1">
      <c r="A165" t="str">
        <f>G165</f>
        <v>Cancelado</v>
      </c>
      <c r="B165">
        <f>IF(I165&lt;=-1,1,IF(I165&lt;=5,2,IF(I165&lt;=15,3,IF(H165&lt;=60,4))))</f>
        <v>3</v>
      </c>
      <c r="C165">
        <v>54</v>
      </c>
      <c r="D165" t="str">
        <v>Yecid Martin</v>
      </c>
      <c r="E165" s="2">
        <v>39000</v>
      </c>
      <c r="F165" s="1">
        <v>46038</v>
      </c>
      <c r="G165" t="str">
        <v>Cancelado</v>
      </c>
      <c r="H165">
        <f>IF(OR(G165="Sin pagar",G165="Pagar"),NETWORKDAYS($J$114,F165,'Festivos Colombia'!$A$3:$A$22),0)</f>
        <v>0</v>
      </c>
      <c r="I165">
        <f>NETWORKDAYS($J$114,F165,'Festivos Colombia'!$A$3:$A$22)</f>
        <v>10</v>
      </c>
      <c r="J165" s="7">
        <f>H165</f>
        <v>0</v>
      </c>
    </row>
    <row r="166" outlineLevel="1">
      <c r="A166" t="str">
        <f>G166</f>
        <v>Cancelado</v>
      </c>
      <c r="B166">
        <f>IF(I166&lt;=-1,1,IF(I166&lt;=5,2,IF(I166&lt;=15,3,IF(H166&lt;=60,4))))</f>
        <v>3</v>
      </c>
      <c r="C166">
        <v>55</v>
      </c>
      <c r="D166" t="str">
        <v>Yecid Martin</v>
      </c>
      <c r="E166" s="2">
        <v>242681.98</v>
      </c>
      <c r="F166" s="1">
        <v>46045</v>
      </c>
      <c r="G166" t="str">
        <v>Cancelado</v>
      </c>
      <c r="H166">
        <f>IF(OR(G166="Sin pagar",G166="Pagar"),NETWORKDAYS($J$114,F166,'Festivos Colombia'!$A$3:$A$22),0)</f>
        <v>0</v>
      </c>
      <c r="I166">
        <f>NETWORKDAYS($J$114,F166,'Festivos Colombia'!$A$3:$A$22)</f>
        <v>15</v>
      </c>
      <c r="J166" s="7">
        <f>H166</f>
        <v>0</v>
      </c>
      <c r="K166" t="str">
        <v>Sin radicar</v>
      </c>
    </row>
    <row r="167" ht="15.75" customHeight="1" outlineLevel="1">
      <c r="A167" t="str">
        <f>G167</f>
        <v>Cancelado</v>
      </c>
      <c r="B167">
        <f>IF(I167&lt;=-1,1,IF(I167&lt;=5,2,IF(I167&lt;=15,3,IF(H167&lt;=60,4))))</f>
        <v>4</v>
      </c>
      <c r="C167">
        <v>56</v>
      </c>
      <c r="D167" t="str">
        <v>Yecid Martin</v>
      </c>
      <c r="E167" s="2">
        <v>242584.62</v>
      </c>
      <c r="F167" s="1">
        <v>46052</v>
      </c>
      <c r="G167" t="str">
        <v>Cancelado</v>
      </c>
      <c r="H167">
        <f>IF(OR(G167="Sin pagar",G167="Pagar"),NETWORKDAYS($J$114,F167,'Festivos Colombia'!$A$3:$A$22),0)</f>
        <v>0</v>
      </c>
      <c r="I167">
        <f>NETWORKDAYS($J$114,F167,'Festivos Colombia'!$A$3:$A$22)</f>
        <v>20</v>
      </c>
      <c r="J167" s="7">
        <f>H167</f>
        <v>0</v>
      </c>
      <c r="K167" t="str">
        <v>Sin radicar</v>
      </c>
    </row>
    <row r="168" ht="15.75" customHeight="1">
      <c r="D168" t="str">
        <v>REEMBOLSO SAIPEM</v>
      </c>
      <c r="E168" s="2">
        <f>SUBTOTAL(9,E169:E170)</f>
        <v>0</v>
      </c>
    </row>
    <row r="169" outlineLevel="1">
      <c r="D169" t="str">
        <v>Reembolso previsto</v>
      </c>
      <c r="E169" s="2">
        <f>1200000*0</f>
        <v>0</v>
      </c>
      <c r="F169" s="1">
        <v>46052</v>
      </c>
      <c r="G169" t="str">
        <v>Cancelado</v>
      </c>
      <c r="H169">
        <f>IF(OR(G169="Sin pagar",G169="Pagar"),NETWORKDAYS($J$114,F169,'Festivos Colombia'!$A$3:$A$22),0)</f>
        <v>0</v>
      </c>
      <c r="I169">
        <f>NETWORKDAYS($J$114,F169,'Festivos Colombia'!$A$3:$A$22)</f>
        <v>20</v>
      </c>
      <c r="J169" s="7">
        <f>H169</f>
        <v>0</v>
      </c>
    </row>
    <row r="170" ht="15.75" customHeight="1" outlineLevel="1">
      <c r="D170" t="str">
        <v>Servicio de traducción</v>
      </c>
      <c r="E170" s="2">
        <f>500000*0</f>
        <v>0</v>
      </c>
      <c r="F170" s="1">
        <v>46052</v>
      </c>
      <c r="G170" t="str">
        <v>Cancelado</v>
      </c>
      <c r="H170">
        <f>IF(OR(G170="Sin pagar",G170="Pagar"),NETWORKDAYS($J$114,F170,'Festivos Colombia'!$A$3:$A$22),0)</f>
        <v>0</v>
      </c>
      <c r="I170">
        <f>NETWORKDAYS($J$114,F170,'Festivos Colombia'!$A$3:$A$22)</f>
        <v>20</v>
      </c>
      <c r="J170" s="7">
        <f>H170</f>
        <v>0</v>
      </c>
    </row>
    <row r="171" ht="16.5" customHeight="1">
      <c r="D171" t="str">
        <v>EXAMENES MÉDICOS SAIPEM y OTROS</v>
      </c>
      <c r="E171" s="2">
        <f>SUBTOTAL(9,E172:E175)</f>
        <v>4712238</v>
      </c>
    </row>
    <row r="172" outlineLevel="1">
      <c r="D172" t="str">
        <v>Examenes médicos de control Armando de Jesus Hincapie -  Saipem</v>
      </c>
      <c r="E172" s="2">
        <f>2004302*0</f>
        <v>0</v>
      </c>
      <c r="F172" s="1">
        <v>46024</v>
      </c>
      <c r="G172" t="str">
        <v>Cancelado</v>
      </c>
      <c r="H172">
        <f>IF(OR(G172="Sin pagar",G172="Pagar"),NETWORKDAYS($J$114,F172,'Festivos Colombia'!$A$3:$A$22),0)</f>
        <v>0</v>
      </c>
      <c r="I172">
        <f>NETWORKDAYS($J$114,F172,'Festivos Colombia'!$A$3:$A$22)</f>
        <v>1</v>
      </c>
      <c r="J172" s="7">
        <f>H172</f>
        <v>0</v>
      </c>
    </row>
    <row r="173" outlineLevel="1">
      <c r="D173" t="str">
        <v>Examenes Medicos Diego Montes - SAIPEM</v>
      </c>
      <c r="E173" s="2">
        <v>570360</v>
      </c>
      <c r="F173" s="1">
        <v>46035</v>
      </c>
      <c r="G173" t="str">
        <v>Cancelado</v>
      </c>
      <c r="H173">
        <f>IF(OR(G173="Sin pagar",G173="Pagar"),NETWORKDAYS($J$114,F173,'Festivos Colombia'!$A$3:$A$22),0)</f>
        <v>0</v>
      </c>
      <c r="I173">
        <f>NETWORKDAYS($J$114,F173,'Festivos Colombia'!$A$3:$A$22)</f>
        <v>7</v>
      </c>
      <c r="J173" s="7">
        <f>H173</f>
        <v>0</v>
      </c>
    </row>
    <row r="174" outlineLevel="1">
      <c r="D174" t="str">
        <v>Examenes Medicos Carlos Alberto Pulgarin Legarda - SAIPEM</v>
      </c>
      <c r="E174" s="2">
        <v>2004302</v>
      </c>
      <c r="F174" s="1">
        <v>46041</v>
      </c>
      <c r="G174" t="str">
        <v>Cancelado</v>
      </c>
      <c r="H174">
        <f>IF(OR(G174="Sin pagar",G174="Pagar"),NETWORKDAYS($J$114,F174,'Festivos Colombia'!$A$3:$A$22),0)</f>
        <v>0</v>
      </c>
      <c r="I174">
        <f>NETWORKDAYS($J$114,F174,'Festivos Colombia'!$A$3:$A$22)</f>
        <v>11</v>
      </c>
      <c r="J174" s="7">
        <f>H174</f>
        <v>0</v>
      </c>
    </row>
    <row r="175" ht="15.75" customHeight="1" outlineLevel="1">
      <c r="D175" t="str">
        <v>Examenes Medicos Nestor José Padilla - SAIPEM</v>
      </c>
      <c r="E175" s="2">
        <v>2137576</v>
      </c>
      <c r="F175" s="1">
        <v>46056</v>
      </c>
      <c r="G175" t="str">
        <v>Cancelado</v>
      </c>
      <c r="H175">
        <f>IF(OR(G175="Sin pagar",G175="Pagar"),NETWORKDAYS($J$114,F175,'Festivos Colombia'!$A$3:$A$22),0)</f>
        <v>0</v>
      </c>
      <c r="I175">
        <f>NETWORKDAYS($J$114,F175,'Festivos Colombia'!$A$3:$A$22)</f>
        <v>22</v>
      </c>
      <c r="J175" s="7">
        <f>H175</f>
        <v>0</v>
      </c>
    </row>
    <row r="176" ht="16.5" customHeight="1">
      <c r="D176" t="str">
        <v>TIQUETES AÉREOS , HOTELES SAIPEM-AECID - ROOT CAPITAL</v>
      </c>
      <c r="E176" s="2">
        <f>SUBTOTAL(9,E177:E181)</f>
        <v>4915472</v>
      </c>
    </row>
    <row r="177" outlineLevel="1">
      <c r="D177" t="str">
        <v xml:space="preserve">Tiquetes Medellin-bogotá y vsa junto Hoteles Armando Jesus Hincapie Vergara- Saipem </v>
      </c>
      <c r="E177" s="2">
        <f>1339850*0</f>
        <v>0</v>
      </c>
      <c r="F177" s="1">
        <v>46027</v>
      </c>
      <c r="G177" t="str">
        <v>Cancelado</v>
      </c>
      <c r="H177">
        <f>IF(OR(G177="Sin pagar",G177="Pagar"),NETWORKDAYS($J$114,F177,'Festivos Colombia'!$A$3:$A$22),0)</f>
        <v>0</v>
      </c>
      <c r="I177">
        <f>NETWORKDAYS($J$114,F177,'Festivos Colombia'!$A$3:$A$22)</f>
        <v>2</v>
      </c>
      <c r="J177" s="7">
        <f>H177</f>
        <v>0</v>
      </c>
    </row>
    <row r="178" outlineLevel="1">
      <c r="D178" t="str">
        <v xml:space="preserve">Tiquetes Bogotá - Monteria Cristobal Capachero- Saipem </v>
      </c>
      <c r="E178" s="2">
        <v>586650</v>
      </c>
      <c r="F178" s="1">
        <v>46041</v>
      </c>
      <c r="G178" t="str">
        <v>Cancelado</v>
      </c>
      <c r="H178">
        <f>IF(OR(G178="Sin pagar",G178="Pagar"),NETWORKDAYS($J$114,F178,'Festivos Colombia'!$A$3:$A$22),0)</f>
        <v>0</v>
      </c>
      <c r="I178">
        <f>NETWORKDAYS($J$114,F178,'Festivos Colombia'!$A$3:$A$22)</f>
        <v>11</v>
      </c>
      <c r="J178" s="7">
        <f>H178</f>
        <v>0</v>
      </c>
    </row>
    <row r="179" outlineLevel="1">
      <c r="D179" t="str">
        <v xml:space="preserve">Tiquetes Medellín -Bogota y VSA Carlos Pulgarin Legarda- Saipem </v>
      </c>
      <c r="E179" s="2">
        <v>1931252</v>
      </c>
      <c r="F179" s="1">
        <v>46042</v>
      </c>
      <c r="G179" t="str">
        <v>Cancelado</v>
      </c>
      <c r="H179">
        <f>IF(OR(G179="Sin pagar",G179="Pagar"),NETWORKDAYS($J$114,F179,'Festivos Colombia'!$A$3:$A$22),0)</f>
        <v>0</v>
      </c>
      <c r="I179">
        <f>NETWORKDAYS($J$114,F179,'Festivos Colombia'!$A$3:$A$22)</f>
        <v>12</v>
      </c>
      <c r="J179" s="7">
        <f>H179</f>
        <v>0</v>
      </c>
    </row>
    <row r="180" outlineLevel="1">
      <c r="D180" t="str">
        <v>Tiquetes Popayan -Bogota y VSA Cristhian Guapacha - Root Capital</v>
      </c>
      <c r="E180" s="2">
        <v>912900</v>
      </c>
      <c r="F180" s="1">
        <v>46050</v>
      </c>
      <c r="G180" t="str">
        <v>Cancelado</v>
      </c>
      <c r="H180">
        <f>IF(OR(G180="Sin pagar",G180="Pagar"),NETWORKDAYS($J$114,F180,'Festivos Colombia'!$A$3:$A$22),0)</f>
        <v>0</v>
      </c>
      <c r="I180">
        <f>NETWORKDAYS($J$114,F180,'Festivos Colombia'!$A$3:$A$22)</f>
        <v>18</v>
      </c>
      <c r="J180" s="7">
        <f>H180</f>
        <v>0</v>
      </c>
    </row>
    <row r="181" ht="15.75" customHeight="1" outlineLevel="1">
      <c r="D181" t="str">
        <v>Tiquetes Montería -Bogota y VSA Nestor José Padilla -Saipem</v>
      </c>
      <c r="E181" s="2">
        <v>1484670</v>
      </c>
      <c r="F181" s="1">
        <v>46056</v>
      </c>
      <c r="G181" t="str">
        <v>Cancelado</v>
      </c>
      <c r="H181">
        <f>IF(OR(G181="Sin pagar",G181="Pagar"),NETWORKDAYS($J$114,F181,'Festivos Colombia'!$A$3:$A$22),0)</f>
        <v>0</v>
      </c>
      <c r="I181">
        <f>NETWORKDAYS($J$114,F181,'Festivos Colombia'!$A$3:$A$22)</f>
        <v>22</v>
      </c>
      <c r="J181" s="7">
        <f>H181</f>
        <v>0</v>
      </c>
    </row>
    <row r="182" ht="16.5" customHeight="1">
      <c r="D182" t="str">
        <v>REEMBOLSOS REMOFIRST-YON YOU-AECID</v>
      </c>
      <c r="E182" s="2">
        <f>SUBTOTAL(9,E183:E193)</f>
        <v>13750636.35</v>
      </c>
    </row>
    <row r="183" outlineLevel="1">
      <c r="A183" t="str">
        <f>G183</f>
        <v>Cancelado</v>
      </c>
      <c r="B183">
        <f>IF(I183&lt;=-1,1,IF(I183&lt;=5,2,IF(I183&lt;=15,3,IF(H183&lt;=60,4))))</f>
        <v>4</v>
      </c>
      <c r="D183" t="str">
        <v>Reembolso Johan mauricio alarcon vasquez 41 - Remofirst - Radpair</v>
      </c>
      <c r="E183" s="2">
        <v>1830976</v>
      </c>
      <c r="F183" s="1">
        <v>46050</v>
      </c>
      <c r="G183" t="str">
        <v>Cancelado</v>
      </c>
      <c r="H183">
        <f>IF(OR(G183="Sin pagar",G183="Pagar"),NETWORKDAYS($J$114,F183,'Festivos Colombia'!$A$3:$A$22),0)</f>
        <v>0</v>
      </c>
      <c r="I183">
        <f>NETWORKDAYS($J$114,F183,'Festivos Colombia'!$A$3:$A$22)</f>
        <v>18</v>
      </c>
      <c r="J183" s="7">
        <f>H183</f>
        <v>0</v>
      </c>
    </row>
    <row r="184" outlineLevel="1">
      <c r="A184" t="str">
        <f>G184</f>
        <v>Cancelado</v>
      </c>
      <c r="B184">
        <f>IF(I184&lt;=-1,1,IF(I184&lt;=5,2,IF(I184&lt;=15,3,IF(H184&lt;=60,4))))</f>
        <v>4</v>
      </c>
      <c r="D184" t="str">
        <v>Reembolso Laura alejandra aleman rojas 20 - Remofirst - CARBONBETTER</v>
      </c>
      <c r="E184" s="2">
        <v>200000</v>
      </c>
      <c r="F184" s="1">
        <v>46050</v>
      </c>
      <c r="G184" t="str">
        <v>Cancelado</v>
      </c>
      <c r="H184">
        <f>IF(OR(G184="Sin pagar",G184="Pagar"),NETWORKDAYS($J$114,F184,'Festivos Colombia'!$A$3:$A$22),0)</f>
        <v>0</v>
      </c>
      <c r="I184">
        <f>NETWORKDAYS($J$114,F184,'Festivos Colombia'!$A$3:$A$22)</f>
        <v>18</v>
      </c>
      <c r="J184" s="7">
        <f>H184</f>
        <v>0</v>
      </c>
    </row>
    <row r="185" outlineLevel="1">
      <c r="A185" t="str">
        <f>G185</f>
        <v>Cancelado</v>
      </c>
      <c r="B185">
        <f>IF(I185&lt;=-1,1,IF(I185&lt;=5,2,IF(I185&lt;=15,3,IF(H185&lt;=60,4))))</f>
        <v>4</v>
      </c>
      <c r="D185" t="str">
        <v>Reembolso Sandra lucia barrios angulo 38 - Remofirst - Quantic Vision, S.A</v>
      </c>
      <c r="E185" s="2">
        <v>363500</v>
      </c>
      <c r="F185" s="1">
        <v>46050</v>
      </c>
      <c r="G185" t="str">
        <v>Cancelado</v>
      </c>
      <c r="H185">
        <f>IF(OR(G185="Sin pagar",G185="Pagar"),NETWORKDAYS($J$114,F185,'Festivos Colombia'!$A$3:$A$22),0)</f>
        <v>0</v>
      </c>
      <c r="I185">
        <f>NETWORKDAYS($J$114,F185,'Festivos Colombia'!$A$3:$A$22)</f>
        <v>18</v>
      </c>
      <c r="J185" s="7">
        <f>H185</f>
        <v>0</v>
      </c>
    </row>
    <row r="186" outlineLevel="1">
      <c r="A186" t="str">
        <f>G186</f>
        <v>Cancelado</v>
      </c>
      <c r="B186">
        <f>IF(I186&lt;=-1,1,IF(I186&lt;=5,2,IF(I186&lt;=15,3,IF(H186&lt;=60,4))))</f>
        <v>4</v>
      </c>
      <c r="D186" t="str">
        <v>Reembolso Gloria paulina corredor cifuentes 25 - Remofirst - ISLAMIC RELIEF</v>
      </c>
      <c r="E186" s="2">
        <v>322868</v>
      </c>
      <c r="F186" s="1">
        <v>46050</v>
      </c>
      <c r="G186" t="str">
        <v>Cancelado</v>
      </c>
      <c r="H186">
        <f>IF(OR(G186="Sin pagar",G186="Pagar"),NETWORKDAYS($J$114,F186,'Festivos Colombia'!$A$3:$A$22),0)</f>
        <v>0</v>
      </c>
      <c r="I186">
        <f>NETWORKDAYS($J$114,F186,'Festivos Colombia'!$A$3:$A$22)</f>
        <v>18</v>
      </c>
      <c r="J186" s="7">
        <f>H186</f>
        <v>0</v>
      </c>
    </row>
    <row r="187" outlineLevel="1">
      <c r="A187" t="str">
        <f>G187</f>
        <v>Cancelado</v>
      </c>
      <c r="B187">
        <f>IF(I187&lt;=-1,1,IF(I187&lt;=5,2,IF(I187&lt;=15,3,IF(H187&lt;=60,4))))</f>
        <v>4</v>
      </c>
      <c r="D187" t="str">
        <v>Reembolso Cindy carolina leguizamon clavijo 25 - Remofirst - ISLAMIC RELIEF</v>
      </c>
      <c r="E187" s="2">
        <v>557742</v>
      </c>
      <c r="F187" s="1">
        <v>46050</v>
      </c>
      <c r="G187" t="str">
        <v>Cancelado</v>
      </c>
      <c r="H187">
        <f>IF(OR(G187="Sin pagar",G187="Pagar"),NETWORKDAYS($J$114,F187,'Festivos Colombia'!$A$3:$A$22),0)</f>
        <v>0</v>
      </c>
      <c r="I187">
        <f>NETWORKDAYS($J$114,F187,'Festivos Colombia'!$A$3:$A$22)</f>
        <v>18</v>
      </c>
      <c r="J187" s="7">
        <f>H187</f>
        <v>0</v>
      </c>
    </row>
    <row r="188" outlineLevel="1">
      <c r="A188" t="str">
        <f>G188</f>
        <v>Cancelado</v>
      </c>
      <c r="B188">
        <f>IF(I188&lt;=-1,1,IF(I188&lt;=5,2,IF(I188&lt;=15,3,IF(H188&lt;=60,4))))</f>
        <v>4</v>
      </c>
      <c r="D188" t="str">
        <v>Reembolso Orlando  mendez davila 06 - Remofirst - TC1 CORPORATION SAC</v>
      </c>
      <c r="E188" s="2">
        <v>133619</v>
      </c>
      <c r="F188" s="1">
        <v>46050</v>
      </c>
      <c r="G188" t="str">
        <v>Cancelado</v>
      </c>
      <c r="H188">
        <f>IF(OR(G188="Sin pagar",G188="Pagar"),NETWORKDAYS($J$114,F188,'Festivos Colombia'!$A$3:$A$22),0)</f>
        <v>0</v>
      </c>
      <c r="I188">
        <f>NETWORKDAYS($J$114,F188,'Festivos Colombia'!$A$3:$A$22)</f>
        <v>18</v>
      </c>
      <c r="J188" s="7">
        <f>H188</f>
        <v>0</v>
      </c>
    </row>
    <row r="189" outlineLevel="1">
      <c r="A189" t="str">
        <f>G189</f>
        <v>Cancelado</v>
      </c>
      <c r="B189">
        <f>IF(I189&lt;=-1,1,IF(I189&lt;=5,2,IF(I189&lt;=15,3,IF(H189&lt;=60,4))))</f>
        <v>4</v>
      </c>
      <c r="D189" t="str">
        <v>Reembolso Cindy lorena nomesque medina 25 - Remofirst - ISLAMIC RELIEF</v>
      </c>
      <c r="E189" s="2">
        <v>30000</v>
      </c>
      <c r="F189" s="1">
        <v>46050</v>
      </c>
      <c r="G189" t="str">
        <v>Cancelado</v>
      </c>
      <c r="H189">
        <f>IF(OR(G189="Sin pagar",G189="Pagar"),NETWORKDAYS($J$114,F189,'Festivos Colombia'!$A$3:$A$22),0)</f>
        <v>0</v>
      </c>
      <c r="I189">
        <f>NETWORKDAYS($J$114,F189,'Festivos Colombia'!$A$3:$A$22)</f>
        <v>18</v>
      </c>
      <c r="J189" s="7">
        <f>H189</f>
        <v>0</v>
      </c>
    </row>
    <row r="190" outlineLevel="1">
      <c r="A190" t="str">
        <f>G190</f>
        <v>Cancelado</v>
      </c>
      <c r="B190">
        <f>IF(I190&lt;=-1,1,IF(I190&lt;=5,2,IF(I190&lt;=15,3,IF(H190&lt;=60,4))))</f>
        <v>4</v>
      </c>
      <c r="D190" t="str">
        <v>Reembolso Diana paola perea palacios 33 - Remofirst - Salty Slopes LLC</v>
      </c>
      <c r="E190" s="2">
        <v>1224000</v>
      </c>
      <c r="F190" s="1">
        <v>46050</v>
      </c>
      <c r="G190" t="str">
        <v>Cancelado</v>
      </c>
      <c r="H190">
        <f>IF(OR(G190="Sin pagar",G190="Pagar"),NETWORKDAYS($J$114,F190,'Festivos Colombia'!$A$3:$A$22),0)</f>
        <v>0</v>
      </c>
      <c r="I190">
        <f>NETWORKDAYS($J$114,F190,'Festivos Colombia'!$A$3:$A$22)</f>
        <v>18</v>
      </c>
      <c r="J190" s="7">
        <f>H190</f>
        <v>0</v>
      </c>
    </row>
    <row r="191" outlineLevel="1">
      <c r="A191" t="str">
        <f>G191</f>
        <v>Cancelado</v>
      </c>
      <c r="B191">
        <f>IF(I191&lt;=-1,1,IF(I191&lt;=5,2,IF(I191&lt;=15,3,IF(H191&lt;=60,4))))</f>
        <v>4</v>
      </c>
      <c r="D191" t="str">
        <v>Reembolso Liliana maria saldaña martinez 25 - Remofirst - ISLAMIC RELIEF</v>
      </c>
      <c r="E191" s="2">
        <v>1177291</v>
      </c>
      <c r="F191" s="1">
        <v>46050</v>
      </c>
      <c r="G191" t="str">
        <v>Cancelado</v>
      </c>
      <c r="H191">
        <f>IF(OR(G191="Sin pagar",G191="Pagar"),NETWORKDAYS($J$114,F191,'Festivos Colombia'!$A$3:$A$22),0)</f>
        <v>0</v>
      </c>
      <c r="I191">
        <f>NETWORKDAYS($J$114,F191,'Festivos Colombia'!$A$3:$A$22)</f>
        <v>18</v>
      </c>
      <c r="J191" s="7">
        <f>H191</f>
        <v>0</v>
      </c>
    </row>
    <row r="192" outlineLevel="1">
      <c r="A192" t="str">
        <f>G192</f>
        <v>Cancelado</v>
      </c>
      <c r="B192">
        <f>IF(I192&lt;=-1,1,IF(I192&lt;=5,2,IF(I192&lt;=15,3,IF(H192&lt;=60,4))))</f>
        <v>4</v>
      </c>
      <c r="D192" t="str">
        <v>Reembolso Paula alejandra moreno navarro C1052 - Yonyou</v>
      </c>
      <c r="E192" s="2">
        <v>5145613</v>
      </c>
      <c r="F192" s="1">
        <v>46050</v>
      </c>
      <c r="G192" t="str">
        <v>Cancelado</v>
      </c>
      <c r="H192">
        <f>IF(OR(G192="Sin pagar",G192="Pagar"),NETWORKDAYS($J$114,F192,'Festivos Colombia'!$A$3:$A$22),0)</f>
        <v>0</v>
      </c>
      <c r="I192">
        <f>NETWORKDAYS($J$114,F192,'Festivos Colombia'!$A$3:$A$22)</f>
        <v>18</v>
      </c>
      <c r="J192" s="7">
        <f>H192</f>
        <v>0</v>
      </c>
    </row>
    <row r="193" ht="15.75" customHeight="1" outlineLevel="1">
      <c r="A193" t="str">
        <f>G193</f>
        <v>Cancelado</v>
      </c>
      <c r="B193">
        <f>IF(I193&lt;=-1,1,IF(I193&lt;=5,2,IF(I193&lt;=15,3,IF(H193&lt;=60,4))))</f>
        <v>4</v>
      </c>
      <c r="D193" t="str">
        <v>Reembolso Sonia rocio quintanilla quintero C1052 - Yonyou</v>
      </c>
      <c r="E193" s="2">
        <v>2765027.35</v>
      </c>
      <c r="F193" s="1">
        <v>46050</v>
      </c>
      <c r="G193" t="str">
        <v>Cancelado</v>
      </c>
      <c r="H193">
        <f>IF(OR(G193="Sin pagar",G193="Pagar"),NETWORKDAYS($J$114,F193,'Festivos Colombia'!$A$3:$A$22),0)</f>
        <v>0</v>
      </c>
      <c r="I193">
        <f>NETWORKDAYS($J$114,F193,'Festivos Colombia'!$A$3:$A$22)</f>
        <v>18</v>
      </c>
      <c r="J193" s="7">
        <f>H193</f>
        <v>0</v>
      </c>
    </row>
    <row r="194" ht="16.5" customHeight="1">
      <c r="D194" t="str">
        <v>REEMBOLSOS INSIDER</v>
      </c>
      <c r="E194" s="2">
        <f>SUBTOTAL(9,E195:E199)</f>
        <v>5680526</v>
      </c>
    </row>
    <row r="195" outlineLevel="1">
      <c r="A195" t="str">
        <f>G195</f>
        <v>Cancelado</v>
      </c>
      <c r="B195">
        <f>IF(I195&lt;=-1,1,IF(I195&lt;=5,2,IF(I195&lt;=15,3,IF(H195&lt;=60,4))))</f>
        <v>4</v>
      </c>
      <c r="D195" t="str">
        <v>Reembolso Alejandra  carrillo cambas C1029 - Insider</v>
      </c>
      <c r="E195" s="2">
        <v>729742</v>
      </c>
      <c r="F195" s="1">
        <v>46050</v>
      </c>
      <c r="G195" t="str">
        <v>Cancelado</v>
      </c>
      <c r="H195">
        <f>IF(OR(G195="Sin pagar",G195="Pagar"),NETWORKDAYS($J$114,F195,'Festivos Colombia'!$A$3:$A$22),0)</f>
        <v>0</v>
      </c>
      <c r="I195">
        <f>NETWORKDAYS($J$114,F195,'Festivos Colombia'!$A$3:$A$22)</f>
        <v>18</v>
      </c>
      <c r="J195" s="7">
        <f>H195</f>
        <v>0</v>
      </c>
    </row>
    <row r="196" outlineLevel="1">
      <c r="A196" t="str">
        <f>G196</f>
        <v>Cancelado</v>
      </c>
      <c r="B196">
        <f>IF(I196&lt;=-1,1,IF(I196&lt;=5,2,IF(I196&lt;=15,3,IF(H196&lt;=60,4))))</f>
        <v>4</v>
      </c>
      <c r="D196" t="str">
        <v>Reembolso Alejandro  perez  lievano C1029 - Insider</v>
      </c>
      <c r="E196" s="2">
        <v>2487043</v>
      </c>
      <c r="F196" s="1">
        <v>46050</v>
      </c>
      <c r="G196" t="str">
        <v>Cancelado</v>
      </c>
      <c r="H196">
        <f>IF(OR(G196="Sin pagar",G196="Pagar"),NETWORKDAYS($J$114,F196,'Festivos Colombia'!$A$3:$A$22),0)</f>
        <v>0</v>
      </c>
      <c r="I196">
        <f>NETWORKDAYS($J$114,F196,'Festivos Colombia'!$A$3:$A$22)</f>
        <v>18</v>
      </c>
      <c r="J196" s="7">
        <f>H196</f>
        <v>0</v>
      </c>
    </row>
    <row r="197" outlineLevel="1">
      <c r="A197" t="str">
        <f>G197</f>
        <v>Cancelado</v>
      </c>
      <c r="B197">
        <f>IF(I197&lt;=-1,1,IF(I197&lt;=5,2,IF(I197&lt;=15,3,IF(H197&lt;=60,4))))</f>
        <v>4</v>
      </c>
      <c r="D197" t="str">
        <v>Reembolso Carlos andres salamanca buitrago C1029 - Insider</v>
      </c>
      <c r="E197" s="2">
        <v>724467</v>
      </c>
      <c r="F197" s="1">
        <v>46050</v>
      </c>
      <c r="G197" t="str">
        <v>Cancelado</v>
      </c>
      <c r="H197">
        <f>IF(OR(G197="Sin pagar",G197="Pagar"),NETWORKDAYS($J$114,F197,'Festivos Colombia'!$A$3:$A$22),0)</f>
        <v>0</v>
      </c>
      <c r="I197">
        <f>NETWORKDAYS($J$114,F197,'Festivos Colombia'!$A$3:$A$22)</f>
        <v>18</v>
      </c>
      <c r="J197" s="7">
        <f>H197</f>
        <v>0</v>
      </c>
    </row>
    <row r="198" outlineLevel="1">
      <c r="A198" t="str">
        <f>G198</f>
        <v>Cancelado</v>
      </c>
      <c r="B198">
        <f>IF(I198&lt;=-1,1,IF(I198&lt;=5,2,IF(I198&lt;=15,3,IF(H198&lt;=60,4))))</f>
        <v>4</v>
      </c>
      <c r="D198" t="str">
        <v>Reembolso Edgar felipe chaves rodriguez C1029 - Insider</v>
      </c>
      <c r="E198" s="2">
        <v>657632</v>
      </c>
      <c r="F198" s="1">
        <v>46050</v>
      </c>
      <c r="G198" t="str">
        <v>Cancelado</v>
      </c>
      <c r="H198">
        <f>IF(OR(G198="Sin pagar",G198="Pagar"),NETWORKDAYS($J$114,F198,'Festivos Colombia'!$A$3:$A$22),0)</f>
        <v>0</v>
      </c>
      <c r="I198">
        <f>NETWORKDAYS($J$114,F198,'Festivos Colombia'!$A$3:$A$22)</f>
        <v>18</v>
      </c>
      <c r="J198" s="7">
        <f>H198</f>
        <v>0</v>
      </c>
    </row>
    <row r="199" ht="15.75" customHeight="1" outlineLevel="1">
      <c r="A199" t="str">
        <f>G199</f>
        <v>Cancelado</v>
      </c>
      <c r="B199">
        <f>IF(I199&lt;=-1,1,IF(I199&lt;=5,2,IF(I199&lt;=15,3,IF(H199&lt;=60,4))))</f>
        <v>4</v>
      </c>
      <c r="D199" t="str">
        <v>Reembolso Gabriela ysabel diaz correa C1029 - Insider</v>
      </c>
      <c r="E199" s="2">
        <v>1081642</v>
      </c>
      <c r="F199" s="1">
        <v>46050</v>
      </c>
      <c r="G199" t="str">
        <v>Cancelado</v>
      </c>
      <c r="H199">
        <f>IF(OR(G199="Sin pagar",G199="Pagar"),NETWORKDAYS($J$114,F199,'Festivos Colombia'!$A$3:$A$22),0)</f>
        <v>0</v>
      </c>
      <c r="I199">
        <f>NETWORKDAYS($J$114,F199,'Festivos Colombia'!$A$3:$A$22)</f>
        <v>18</v>
      </c>
      <c r="J199" s="7">
        <f>H199</f>
        <v>0</v>
      </c>
    </row>
    <row r="200" ht="15.75" customHeight="1">
      <c r="D200" t="str">
        <v>ASESORÍAS</v>
      </c>
      <c r="E200" s="2">
        <f>SUBTOTAL(9,E201:E223)</f>
        <v>18285290.61</v>
      </c>
    </row>
    <row r="201" outlineLevel="1">
      <c r="A201" t="str">
        <f>G201</f>
        <v>Cancelado</v>
      </c>
      <c r="B201">
        <f>IF(I201&lt;=-1,1,IF(I201&lt;=5,2,IF(I201&lt;=15,3,IF(H201&lt;=60,4))))</f>
        <v>3</v>
      </c>
      <c r="C201" t="str">
        <v>FENI-11342</v>
      </c>
      <c r="D201" t="str">
        <v>Nixcom -renovación de 50 licencias con vigencia anual.</v>
      </c>
      <c r="E201" s="2">
        <f>5025723</f>
        <v>5025723</v>
      </c>
      <c r="F201" s="1">
        <v>46031</v>
      </c>
      <c r="G201" t="str">
        <v>Cancelado</v>
      </c>
      <c r="H201">
        <f>IF(OR(G201="Sin pagar",G201="Pagar"),NETWORKDAYS($J$114,F201,'Festivos Colombia'!$A$3:$A$22),0)</f>
        <v>0</v>
      </c>
      <c r="I201">
        <f>NETWORKDAYS($J$114,F201,'Festivos Colombia'!$A$3:$A$22)</f>
        <v>6</v>
      </c>
      <c r="J201" s="7">
        <f>H201</f>
        <v>0</v>
      </c>
    </row>
    <row r="202" ht="13.5" customHeight="1" outlineLevel="1">
      <c r="A202" t="str">
        <f>G202</f>
        <v>Cancelado</v>
      </c>
      <c r="B202">
        <f>IF(I202&lt;=-1,1,IF(I202&lt;=5,2,IF(I202&lt;=15,3,IF(H202&lt;=60,4))))</f>
        <v>3</v>
      </c>
      <c r="C202" t="str">
        <v>BPA 6578</v>
      </c>
      <c r="D202" t="str">
        <v>Barrera Palacios</v>
      </c>
      <c r="E202" s="2">
        <f>1525052.49</f>
        <v>1525052.49</v>
      </c>
      <c r="F202" s="1">
        <v>46031</v>
      </c>
      <c r="G202" t="str">
        <v>Cancelado</v>
      </c>
      <c r="H202">
        <f>IF(OR(G202="Sin pagar",G202="Pagar"),NETWORKDAYS($J$114,F202,'Festivos Colombia'!$A$3:$A$22),0)</f>
        <v>0</v>
      </c>
      <c r="I202">
        <f>NETWORKDAYS($J$114,F202,'Festivos Colombia'!$A$3:$A$22)</f>
        <v>6</v>
      </c>
      <c r="J202" s="7">
        <f>H202</f>
        <v>0</v>
      </c>
    </row>
    <row r="203" outlineLevel="1">
      <c r="A203" t="str">
        <f>G203</f>
        <v>Cancelado</v>
      </c>
      <c r="B203">
        <f>IF(I203&lt;=-1,1,IF(I203&lt;=5,2,IF(I203&lt;=15,3,IF(H203&lt;=60,4))))</f>
        <v>3</v>
      </c>
      <c r="C203" t="str">
        <v>FENI-11345</v>
      </c>
      <c r="D203" t="str">
        <v>Nixcom Servicio técnico mensual</v>
      </c>
      <c r="E203" s="2">
        <f>833000</f>
        <v>833000</v>
      </c>
      <c r="F203" s="1">
        <v>46031</v>
      </c>
      <c r="G203" t="str">
        <v>Cancelado</v>
      </c>
      <c r="H203">
        <f>IF(OR(G203="Sin pagar",G203="Pagar"),NETWORKDAYS($J$114,F203,'Festivos Colombia'!$A$3:$A$22),0)</f>
        <v>0</v>
      </c>
      <c r="I203">
        <f>NETWORKDAYS($J$114,F203,'Festivos Colombia'!$A$3:$A$22)</f>
        <v>6</v>
      </c>
      <c r="J203" s="7">
        <f>H203</f>
        <v>0</v>
      </c>
    </row>
    <row r="204" outlineLevel="1">
      <c r="A204" t="str">
        <f>G204</f>
        <v>Cancelado</v>
      </c>
      <c r="B204">
        <f>IF(I204&lt;=-1,1,IF(I204&lt;=5,2,IF(I204&lt;=15,3,IF(H204&lt;=60,4))))</f>
        <v>3</v>
      </c>
      <c r="C204">
        <v>12</v>
      </c>
      <c r="D204" t="str">
        <v>Jhoana Herrera Paz</v>
      </c>
      <c r="E204" s="2">
        <v>464486</v>
      </c>
      <c r="F204" s="1">
        <v>46036</v>
      </c>
      <c r="G204" t="str">
        <v>Cancelado</v>
      </c>
      <c r="H204">
        <f>IF(OR(G204="Sin pagar",G204="Pagar"),NETWORKDAYS($J$114,F204,'Festivos Colombia'!$A$3:$A$22),0)</f>
        <v>0</v>
      </c>
      <c r="I204">
        <f>NETWORKDAYS($J$114,F204,'Festivos Colombia'!$A$3:$A$22)</f>
        <v>8</v>
      </c>
      <c r="J204" s="7">
        <f>H204</f>
        <v>0</v>
      </c>
    </row>
    <row r="205" ht="16.5" customHeight="1" outlineLevel="1">
      <c r="A205" t="str">
        <f>G205</f>
        <v>Cancelado</v>
      </c>
      <c r="B205">
        <f>IF(I205&lt;=-1,1,IF(I205&lt;=5,2,IF(I205&lt;=15,3,IF(H205&lt;=60,4))))</f>
        <v>3</v>
      </c>
      <c r="C205" s="4" t="str">
        <v>01-26</v>
      </c>
      <c r="D205" t="str">
        <v>Yadira Pineda- servicios Diciembre  y mensajeria service Panamá -Pago por Panamá</v>
      </c>
      <c r="E205" s="2">
        <f>600*0</f>
        <v>0</v>
      </c>
      <c r="F205" s="1">
        <v>46038</v>
      </c>
      <c r="G205" t="str">
        <v>Cancelado</v>
      </c>
      <c r="H205">
        <f>IF(OR(G205="Sin pagar",G205="Pagar"),NETWORKDAYS($J$114,F205,'Festivos Colombia'!$A$3:$A$22),0)</f>
        <v>0</v>
      </c>
      <c r="I205">
        <f>NETWORKDAYS($J$114,F205,'Festivos Colombia'!$A$3:$A$22)</f>
        <v>10</v>
      </c>
      <c r="J205" s="7">
        <f>H205</f>
        <v>0</v>
      </c>
    </row>
    <row r="206" ht="14.25" customHeight="1" outlineLevel="1">
      <c r="A206" t="str">
        <f>G206</f>
        <v>Cancelado</v>
      </c>
      <c r="B206">
        <f>IF(I206&lt;=-1,1,IF(I206&lt;=5,2,IF(I206&lt;=15,3,IF(H206&lt;=60,4))))</f>
        <v>3</v>
      </c>
      <c r="C206">
        <v>8</v>
      </c>
      <c r="D206" t="str">
        <v>Sebastían Romero Espitia</v>
      </c>
      <c r="E206" s="2">
        <v>510000</v>
      </c>
      <c r="F206" s="1">
        <v>46038</v>
      </c>
      <c r="G206" t="str">
        <v>Cancelado</v>
      </c>
      <c r="H206">
        <f>IF(OR(G206="Sin pagar",G206="Pagar"),NETWORKDAYS($J$114,F206,'Festivos Colombia'!$A$3:$A$22),0)</f>
        <v>0</v>
      </c>
      <c r="I206">
        <f>NETWORKDAYS($J$114,F206,'Festivos Colombia'!$A$3:$A$22)</f>
        <v>10</v>
      </c>
      <c r="J206" s="7">
        <f>H206</f>
        <v>0</v>
      </c>
    </row>
    <row r="207" outlineLevel="1">
      <c r="A207" t="str">
        <f>G207</f>
        <v>Cancelado</v>
      </c>
      <c r="B207">
        <f>IF(I207&lt;=-1,1,IF(I207&lt;=5,2,IF(I207&lt;=15,3,IF(H207&lt;=60,4))))</f>
        <v>3</v>
      </c>
      <c r="C207" t="str">
        <v>BOGA105445411</v>
      </c>
      <c r="D207" t="str">
        <v>Carvajal</v>
      </c>
      <c r="E207" s="2">
        <v>73640</v>
      </c>
      <c r="F207" s="1">
        <v>46038</v>
      </c>
      <c r="G207" t="str">
        <v>Cancelado</v>
      </c>
      <c r="H207">
        <f>IF(OR(G207="Sin pagar",G207="Pagar"),NETWORKDAYS($J$114,F207,'Festivos Colombia'!$A$3:$A$22),0)</f>
        <v>0</v>
      </c>
      <c r="I207">
        <f>NETWORKDAYS($J$114,F207,'Festivos Colombia'!$A$3:$A$22)</f>
        <v>10</v>
      </c>
      <c r="J207" s="7">
        <f>H207</f>
        <v>0</v>
      </c>
    </row>
    <row r="208" outlineLevel="1">
      <c r="A208" t="str">
        <f>G208</f>
        <v>Cancelado</v>
      </c>
      <c r="B208">
        <f>IF(I208&lt;=-1,1,IF(I208&lt;=5,2,IF(I208&lt;=15,3,IF(H208&lt;=60,4))))</f>
        <v>3</v>
      </c>
      <c r="C208">
        <v>260101</v>
      </c>
      <c r="D208" t="str">
        <v xml:space="preserve">Analia Lorena Di Nicola </v>
      </c>
      <c r="E208" s="2">
        <v>475363.2</v>
      </c>
      <c r="F208" s="1">
        <v>46045</v>
      </c>
      <c r="G208" t="str">
        <v>Cancelado</v>
      </c>
      <c r="H208">
        <f>IF(OR(G208="Sin pagar",G208="Pagar"),NETWORKDAYS($J$114,F208,'Festivos Colombia'!$A$3:$A$22),0)</f>
        <v>0</v>
      </c>
      <c r="I208">
        <f>NETWORKDAYS($J$114,F208,'Festivos Colombia'!$A$3:$A$22)</f>
        <v>15</v>
      </c>
      <c r="J208" s="7">
        <f>H208</f>
        <v>0</v>
      </c>
    </row>
    <row r="209" outlineLevel="1">
      <c r="A209" t="str">
        <f>G209</f>
        <v>Cancelado</v>
      </c>
      <c r="B209">
        <f>IF(I209&lt;=-1,1,IF(I209&lt;=5,2,IF(I209&lt;=15,3,IF(H209&lt;=60,4))))</f>
        <v>3</v>
      </c>
      <c r="C209">
        <v>24</v>
      </c>
      <c r="D209" t="str">
        <v xml:space="preserve">Edward Felipe Forero Osorio </v>
      </c>
      <c r="E209" s="2">
        <v>1489471.36</v>
      </c>
      <c r="F209" s="1">
        <v>46045</v>
      </c>
      <c r="G209" t="str">
        <v>Cancelado</v>
      </c>
      <c r="H209">
        <f>IF(OR(G209="Sin pagar",G209="Pagar"),NETWORKDAYS($J$114,F209,'Festivos Colombia'!$A$3:$A$22),0)</f>
        <v>0</v>
      </c>
      <c r="I209">
        <f>NETWORKDAYS($J$114,F209,'Festivos Colombia'!$A$3:$A$22)</f>
        <v>15</v>
      </c>
      <c r="J209" s="7">
        <f>H209</f>
        <v>0</v>
      </c>
    </row>
    <row r="210" outlineLevel="1">
      <c r="A210" t="str">
        <f>G210</f>
        <v>Cancelado</v>
      </c>
      <c r="B210">
        <f>IF(I210&lt;=-1,1,IF(I210&lt;=5,2,IF(I210&lt;=15,3,IF(H210&lt;=60,4))))</f>
        <v>3</v>
      </c>
      <c r="C210">
        <v>16</v>
      </c>
      <c r="D210" t="str">
        <v xml:space="preserve">Sara Forero Osorio </v>
      </c>
      <c r="E210" s="2">
        <v>1489471.36</v>
      </c>
      <c r="F210" s="1">
        <v>46045</v>
      </c>
      <c r="G210" t="str">
        <v>Cancelado</v>
      </c>
      <c r="H210">
        <f>IF(OR(G210="Sin pagar",G210="Pagar"),NETWORKDAYS($J$114,F210,'Festivos Colombia'!$A$3:$A$22),0)</f>
        <v>0</v>
      </c>
      <c r="I210">
        <f>NETWORKDAYS($J$114,F210,'Festivos Colombia'!$A$3:$A$22)</f>
        <v>15</v>
      </c>
      <c r="J210" s="7">
        <f>H210</f>
        <v>0</v>
      </c>
    </row>
    <row r="211" ht="14.25" customHeight="1" outlineLevel="1">
      <c r="A211" t="str">
        <f>G211</f>
        <v>Cancelado</v>
      </c>
      <c r="B211">
        <f>IF(I211&lt;=-1,1,IF(I211&lt;=5,2,IF(I211&lt;=15,3,IF(H211&lt;=60,4))))</f>
        <v>4</v>
      </c>
      <c r="C211" t="str">
        <v>FEV-1-95</v>
      </c>
      <c r="D211" t="str">
        <v>Yoana Forero Servicios profesionales -Costa Rica</v>
      </c>
      <c r="E211" s="2">
        <v>774025.2</v>
      </c>
      <c r="F211" s="1">
        <v>46052</v>
      </c>
      <c r="G211" t="str">
        <v>Cancelado</v>
      </c>
      <c r="H211">
        <f>IF(OR(G211="Sin pagar",G211="Pagar"),NETWORKDAYS($J$114,F211,'Festivos Colombia'!$A$3:$A$22),0)</f>
        <v>0</v>
      </c>
      <c r="I211">
        <f>NETWORKDAYS($J$114,F211,'Festivos Colombia'!$A$3:$A$22)</f>
        <v>20</v>
      </c>
      <c r="J211" s="7">
        <f>H211</f>
        <v>0</v>
      </c>
    </row>
    <row r="212" outlineLevel="1">
      <c r="A212" t="str">
        <f>G212</f>
        <v>Cancelado</v>
      </c>
      <c r="B212">
        <f>IF(I212&lt;=-1,1,IF(I212&lt;=5,2,IF(I212&lt;=15,3,IF(H212&lt;=60,4))))</f>
        <v>4</v>
      </c>
      <c r="C212" t="str">
        <v>2026-001</v>
      </c>
      <c r="D212" t="str">
        <v xml:space="preserve">Pedro Pablo oviedo Cutiva- Cuenta Ricardo Arambulo </v>
      </c>
      <c r="E212" s="2">
        <v>1438893</v>
      </c>
      <c r="F212" s="1">
        <v>46052</v>
      </c>
      <c r="G212" t="str">
        <v>Cancelado</v>
      </c>
      <c r="H212">
        <f>IF(OR(G212="Sin pagar",G212="Pagar"),NETWORKDAYS($J$114,F212,'Festivos Colombia'!$A$3:$A$22),0)</f>
        <v>0</v>
      </c>
      <c r="I212">
        <f>NETWORKDAYS($J$114,F212,'Festivos Colombia'!$A$3:$A$22)</f>
        <v>20</v>
      </c>
      <c r="J212" s="7">
        <f>H212</f>
        <v>0</v>
      </c>
    </row>
    <row r="213" outlineLevel="1">
      <c r="A213" t="str">
        <f>G213</f>
        <v>Cancelado</v>
      </c>
      <c r="B213">
        <f>IF(I213&lt;=-1,1,IF(I213&lt;=5,2,IF(I213&lt;=15,3,IF(H213&lt;=60,4))))</f>
        <v>4</v>
      </c>
      <c r="C213" t="str">
        <v>FEG 1519</v>
      </c>
      <c r="D213" t="str">
        <v>Gelcon  GC -Aplicación Batería de Riesgo Psicosocial</v>
      </c>
      <c r="E213" s="2">
        <v>1499400</v>
      </c>
      <c r="F213" s="1">
        <v>46052</v>
      </c>
      <c r="G213" t="str">
        <v>Cancelado</v>
      </c>
      <c r="H213">
        <f>IF(OR(G213="Sin pagar",G213="Pagar"),NETWORKDAYS($J$114,F213,'Festivos Colombia'!$A$3:$A$22),0)</f>
        <v>0</v>
      </c>
      <c r="I213">
        <f>NETWORKDAYS($J$114,F213,'Festivos Colombia'!$A$3:$A$22)</f>
        <v>20</v>
      </c>
      <c r="J213" s="7">
        <f>H213</f>
        <v>0</v>
      </c>
      <c r="K213" t="str">
        <v>Pendiente de aprobación Luisa</v>
      </c>
    </row>
    <row r="214" outlineLevel="1">
      <c r="A214" t="str">
        <f>G214</f>
        <v>Cancelado</v>
      </c>
      <c r="B214">
        <f>IF(I214&lt;=-1,1,IF(I214&lt;=5,2,IF(I214&lt;=15,3,IF(H214&lt;=60,4))))</f>
        <v>4</v>
      </c>
      <c r="C214" t="str">
        <v>FE36</v>
      </c>
      <c r="D214" t="str">
        <v>Gomez Rodriguez &amp; Asociados Revisoria fiscal- Enero</v>
      </c>
      <c r="E214" s="2">
        <v>1877565</v>
      </c>
      <c r="F214" s="1">
        <v>46052</v>
      </c>
      <c r="G214" t="str">
        <v>Cancelado</v>
      </c>
      <c r="H214">
        <f>IF(OR(G214="Sin pagar",G214="Pagar"),NETWORKDAYS($J$114,F214,'Festivos Colombia'!$A$3:$A$22),0)</f>
        <v>0</v>
      </c>
      <c r="I214">
        <f>NETWORKDAYS($J$114,F214,'Festivos Colombia'!$A$3:$A$22)</f>
        <v>20</v>
      </c>
      <c r="J214" s="7">
        <f>H214</f>
        <v>0</v>
      </c>
      <c r="K214" t="str">
        <v>Pendiente de aprobación Luisa</v>
      </c>
    </row>
    <row r="215" outlineLevel="1">
      <c r="A215" t="str">
        <f>G215</f>
        <v>Cancelado</v>
      </c>
      <c r="B215">
        <f>IF(I215&lt;=-1,1,IF(I215&lt;=5,2,IF(I215&lt;=15,3,IF(H215&lt;=60,4))))</f>
        <v>4</v>
      </c>
      <c r="C215" t="str">
        <v>FE36</v>
      </c>
      <c r="D215" t="str">
        <v>Curso planeación de nómina</v>
      </c>
      <c r="E215" s="2">
        <v>809200</v>
      </c>
      <c r="F215" s="1">
        <v>46055</v>
      </c>
      <c r="G215" t="str">
        <v>Cancelado</v>
      </c>
      <c r="H215">
        <f>IF(OR(G215="Sin pagar",G215="Pagar"),NETWORKDAYS($J$114,F215,'Festivos Colombia'!$A$3:$A$22),0)</f>
        <v>0</v>
      </c>
      <c r="I215">
        <f>NETWORKDAYS($J$114,F215,'Festivos Colombia'!$A$3:$A$22)</f>
        <v>21</v>
      </c>
      <c r="J215" s="7">
        <f>H215</f>
        <v>0</v>
      </c>
      <c r="K215" t="str">
        <v>Pendiente de aprobación Luisa</v>
      </c>
    </row>
    <row r="216" outlineLevel="1">
      <c r="A216" t="str">
        <f>G216</f>
        <v>Sin Pagar</v>
      </c>
      <c r="B216">
        <f>IF(I216&lt;=-1,1,IF(I216&lt;=5,2,IF(I216&lt;=15,3,IF(H216&lt;=60,4))))</f>
        <v>4</v>
      </c>
      <c r="C216" t="str">
        <v>FE-2064</v>
      </c>
      <c r="D216" t="str">
        <v>Plurum 80% escuela de liderazgo</v>
      </c>
      <c r="E216" s="2">
        <f>41353724*0</f>
        <v>0</v>
      </c>
      <c r="F216" s="1">
        <v>46059</v>
      </c>
      <c r="G216" t="str">
        <v>Sin Pagar</v>
      </c>
      <c r="H216">
        <f>IF(OR(G216="Sin pagar",G216="Pagar"),NETWORKDAYS($J$114,F216,'Festivos Colombia'!$A$3:$A$22),0)</f>
        <v>25</v>
      </c>
      <c r="I216">
        <f>NETWORKDAYS($J$114,F216,'Festivos Colombia'!$A$3:$A$22)</f>
        <v>25</v>
      </c>
      <c r="J216" s="7">
        <f>H216</f>
        <v>25</v>
      </c>
    </row>
    <row r="217" outlineLevel="1">
      <c r="A217" t="str">
        <f>G217</f>
        <v>Sin Pagar</v>
      </c>
      <c r="B217">
        <f>IF(I217&lt;=-1,1,IF(I217&lt;=5,2,IF(I217&lt;=15,3,IF(H217&lt;=60,4))))</f>
        <v>4</v>
      </c>
      <c r="C217" t="str">
        <v>FED-59</v>
      </c>
      <c r="D217" t="str">
        <v>Innovate SAS-Servicio en la nube mes de Enero</v>
      </c>
      <c r="E217" s="2">
        <f>754578*0</f>
        <v>0</v>
      </c>
      <c r="F217" s="1">
        <v>46059</v>
      </c>
      <c r="G217" t="str">
        <v>Sin Pagar</v>
      </c>
      <c r="H217">
        <f>IF(OR(G217="Sin pagar",G217="Pagar"),NETWORKDAYS($J$114,F217,'Festivos Colombia'!$A$3:$A$22),0)</f>
        <v>25</v>
      </c>
      <c r="I217">
        <f>NETWORKDAYS($J$114,F217,'Festivos Colombia'!$A$3:$A$22)</f>
        <v>25</v>
      </c>
      <c r="J217" s="7">
        <f>H217</f>
        <v>25</v>
      </c>
      <c r="K217" t="str">
        <v>Sin radicar</v>
      </c>
    </row>
    <row r="218" outlineLevel="1">
      <c r="A218" t="str">
        <f>G218</f>
        <v>Sin Pagar</v>
      </c>
      <c r="B218">
        <f>IF(I218&lt;=-1,1,IF(I218&lt;=5,2,IF(I218&lt;=15,3,IF(H218&lt;=60,4))))</f>
        <v>4</v>
      </c>
      <c r="C218">
        <v>8</v>
      </c>
      <c r="D218" t="str">
        <v>José Joaquín Salcedo Duran ( Consultoria en seguridad información)</v>
      </c>
      <c r="E218" s="2">
        <f>3100000*0</f>
        <v>0</v>
      </c>
      <c r="F218" s="1">
        <v>46059</v>
      </c>
      <c r="G218" t="str">
        <v>Sin Pagar</v>
      </c>
      <c r="H218">
        <f>IF(OR(G218="Sin pagar",G218="Pagar"),NETWORKDAYS($J$114,F218,'Festivos Colombia'!$A$3:$A$22),0)</f>
        <v>25</v>
      </c>
      <c r="I218">
        <f>NETWORKDAYS($J$114,F218,'Festivos Colombia'!$A$3:$A$22)</f>
        <v>25</v>
      </c>
      <c r="J218" s="7">
        <f>H218</f>
        <v>25</v>
      </c>
    </row>
    <row r="219" outlineLevel="1">
      <c r="A219" t="str">
        <f>G219</f>
        <v>Sin Pagar</v>
      </c>
      <c r="B219">
        <f>IF(I219&lt;=-1,1,IF(I219&lt;=5,2,IF(I219&lt;=15,3,IF(H219&lt;=60,4))))</f>
        <v>4</v>
      </c>
      <c r="C219" t="str">
        <v>FENI-11542</v>
      </c>
      <c r="D219" t="str">
        <v>Nixcom Servicio técnico mensual</v>
      </c>
      <c r="E219" s="2">
        <f>833000*0</f>
        <v>0</v>
      </c>
      <c r="F219" s="1">
        <v>46054</v>
      </c>
      <c r="G219" t="str">
        <v>Sin Pagar</v>
      </c>
      <c r="H219">
        <f>IF(OR(G219="Sin pagar",G219="Pagar"),NETWORKDAYS($J$114,F219,'Festivos Colombia'!$A$3:$A$22),0)</f>
        <v>20</v>
      </c>
      <c r="I219">
        <f>NETWORKDAYS($J$114,F219,'Festivos Colombia'!$A$3:$A$22)</f>
        <v>20</v>
      </c>
      <c r="J219" s="7">
        <f>H219</f>
        <v>20</v>
      </c>
    </row>
    <row r="220" outlineLevel="1">
      <c r="A220" t="str">
        <f>G220</f>
        <v>Sin Pagar</v>
      </c>
      <c r="B220">
        <f>IF(I220&lt;=-1,1,IF(I220&lt;=5,2,IF(I220&lt;=15,3,IF(H220&lt;=60,4))))</f>
        <v>4</v>
      </c>
      <c r="C220" t="str">
        <v>FE-399</v>
      </c>
      <c r="D220" t="str">
        <v>ACT&amp;J Consultores  S&amp;P</v>
      </c>
      <c r="E220" s="2">
        <f>4065250*0</f>
        <v>0</v>
      </c>
      <c r="F220" s="1">
        <v>46059</v>
      </c>
      <c r="G220" t="str">
        <v>Sin Pagar</v>
      </c>
      <c r="H220">
        <f>IF(OR(G220="Sin pagar",G220="Pagar"),NETWORKDAYS($J$114,F220,'Festivos Colombia'!$A$3:$A$22),0)</f>
        <v>25</v>
      </c>
      <c r="I220">
        <f>NETWORKDAYS($J$114,F220,'Festivos Colombia'!$A$3:$A$22)</f>
        <v>25</v>
      </c>
      <c r="J220" s="7">
        <f>H220</f>
        <v>25</v>
      </c>
    </row>
    <row r="221" outlineLevel="1">
      <c r="A221" t="str">
        <f>G221</f>
        <v>Sin Pagar</v>
      </c>
      <c r="B221">
        <f>IF(I221&lt;=-1,1,IF(I221&lt;=5,2,IF(I221&lt;=15,3,IF(H221&lt;=60,4))))</f>
        <v>4</v>
      </c>
      <c r="C221" t="str">
        <v>FE-387</v>
      </c>
      <c r="D221" t="str">
        <v>ACT&amp;J Consultores  Global</v>
      </c>
      <c r="E221" s="2">
        <f>(3665694*1.052)*0</f>
        <v>0</v>
      </c>
      <c r="F221" s="1">
        <v>46059</v>
      </c>
      <c r="G221" t="str">
        <v>Sin Pagar</v>
      </c>
      <c r="H221">
        <f>IF(OR(G221="Sin pagar",G221="Pagar"),NETWORKDAYS($J$114,F221,'Festivos Colombia'!$A$3:$A$22),0)</f>
        <v>25</v>
      </c>
      <c r="I221">
        <f>NETWORKDAYS($J$114,F221,'Festivos Colombia'!$A$3:$A$22)</f>
        <v>25</v>
      </c>
      <c r="J221" s="7">
        <f>H221</f>
        <v>25</v>
      </c>
      <c r="K221" t="str">
        <v>Sin radicar</v>
      </c>
    </row>
    <row r="222" outlineLevel="1">
      <c r="A222" t="str">
        <f>G222</f>
        <v>Sin Pagar</v>
      </c>
      <c r="B222">
        <f>IF(I222&lt;=-1,1,IF(I222&lt;=5,2,IF(I222&lt;=15,3,IF(H222&lt;=60,4))))</f>
        <v>4</v>
      </c>
      <c r="C222" t="str">
        <v>FENI-11463</v>
      </c>
      <c r="D222" t="str">
        <v>Nixcom Servicio técnico mensual</v>
      </c>
      <c r="E222" s="2">
        <f>1238034*0</f>
        <v>0</v>
      </c>
      <c r="F222" s="1">
        <v>46059</v>
      </c>
      <c r="G222" t="str">
        <v>Sin Pagar</v>
      </c>
      <c r="H222">
        <f>IF(OR(G222="Sin pagar",G222="Pagar"),NETWORKDAYS($J$114,F222,'Festivos Colombia'!$A$3:$A$22),0)</f>
        <v>25</v>
      </c>
      <c r="I222">
        <f>NETWORKDAYS($J$114,F222,'Festivos Colombia'!$A$3:$A$22)</f>
        <v>25</v>
      </c>
      <c r="J222" s="7">
        <f>H222</f>
        <v>25</v>
      </c>
    </row>
    <row r="223" ht="13.5" customHeight="1" outlineLevel="1">
      <c r="A223" t="str">
        <f>G223</f>
        <v>Sin Pagar</v>
      </c>
      <c r="B223">
        <f>IF(I223&lt;=-1,1,IF(I223&lt;=5,2,IF(I223&lt;=15,3,IF(H223&lt;=60,4))))</f>
        <v>4</v>
      </c>
      <c r="C223" t="str">
        <v>BPA 6679</v>
      </c>
      <c r="D223" t="str">
        <v>Barrera Palacios</v>
      </c>
      <c r="E223" s="2">
        <f>1723309.31*0</f>
        <v>0</v>
      </c>
      <c r="F223" s="1">
        <v>46071</v>
      </c>
      <c r="G223" t="str">
        <v>Sin Pagar</v>
      </c>
      <c r="H223">
        <f>IF(OR(G223="Sin pagar",G223="Pagar"),NETWORKDAYS($J$114,F223,'Festivos Colombia'!$A$3:$A$22),0)</f>
        <v>33</v>
      </c>
      <c r="I223">
        <f>NETWORKDAYS($J$114,F223,'Festivos Colombia'!$A$3:$A$22)</f>
        <v>33</v>
      </c>
      <c r="J223" s="7">
        <f>H223</f>
        <v>33</v>
      </c>
    </row>
    <row r="224" ht="15.75" customHeight="1">
      <c r="D224" t="str">
        <v xml:space="preserve">COSTOS FINANCIEROS </v>
      </c>
      <c r="E224" s="2">
        <f>SUBTOTAL(9,E225:E225)</f>
        <v>13274584.23</v>
      </c>
    </row>
    <row r="225" ht="15.75" customHeight="1" outlineLevel="1">
      <c r="A225" t="str">
        <f>G225</f>
        <v>Cancelado</v>
      </c>
      <c r="B225">
        <f>IF(I225&lt;=-1,1,IF(I225&lt;=5,2,IF(I225&lt;=15,3,IF(H225&lt;=60,4))))</f>
        <v>4</v>
      </c>
      <c r="D225" t="str">
        <v>Costos financieros (Cuentas S&amp;P)</v>
      </c>
      <c r="E225" s="2">
        <f>11536652.23+1737932</f>
        <v>13274584.23</v>
      </c>
      <c r="F225" s="1">
        <v>46053</v>
      </c>
      <c r="G225" t="str">
        <v>Cancelado</v>
      </c>
      <c r="H225">
        <f>IF(OR(G225="Sin pagar",G225="Pagar"),NETWORKDAYS($J$114,F225,'Festivos Colombia'!$A$3:$A$22),0)</f>
        <v>0</v>
      </c>
      <c r="I225">
        <f>NETWORKDAYS($J$114,F225,'Festivos Colombia'!$A$3:$A$22)</f>
        <v>20</v>
      </c>
      <c r="J225" s="7">
        <f>H225</f>
        <v>0</v>
      </c>
    </row>
    <row r="226" ht="16.5" customHeight="1">
      <c r="D226" t="str">
        <v>CRÉDITOS-LIBRANZAS</v>
      </c>
      <c r="E226" s="2">
        <f>SUBTOTAL(9,E227:E228)</f>
        <v>2696319</v>
      </c>
    </row>
    <row r="227" outlineLevel="1">
      <c r="A227" t="str">
        <f>G227</f>
        <v>Cancelado</v>
      </c>
      <c r="B227">
        <f>IF(I227&lt;=-1,1,IF(I227&lt;=5,2,IF(I227&lt;=15,3,IF(H227&lt;=60,4))))</f>
        <v>4</v>
      </c>
      <c r="D227" t="str">
        <v>Libranza Compensar-BBVA</v>
      </c>
      <c r="E227" s="2">
        <v>2157496</v>
      </c>
      <c r="F227" s="1">
        <v>46050</v>
      </c>
      <c r="G227" t="str">
        <v>Cancelado</v>
      </c>
      <c r="H227">
        <f>IF(OR(G227="Sin pagar",G227="Pagar"),NETWORKDAYS($J$114,F227,'Festivos Colombia'!$A$3:$A$22),0)</f>
        <v>0</v>
      </c>
      <c r="I227">
        <f>NETWORKDAYS($J$114,F227,'Festivos Colombia'!$A$3:$A$22)</f>
        <v>18</v>
      </c>
      <c r="J227" s="7">
        <f>H227</f>
        <v>0</v>
      </c>
    </row>
    <row r="228" ht="15.75" customHeight="1" outlineLevel="1">
      <c r="A228" t="str">
        <f>G228</f>
        <v>Cancelado</v>
      </c>
      <c r="B228">
        <f>IF(I228&lt;=-1,1,IF(I228&lt;=5,2,IF(I228&lt;=15,3,IF(H228&lt;=60,4))))</f>
        <v>4</v>
      </c>
      <c r="D228" t="str">
        <v>Libranza Comfenalco Lisset Franco REMOFIRST -BBVA</v>
      </c>
      <c r="E228" s="2">
        <v>538823</v>
      </c>
      <c r="F228" s="1">
        <v>46051</v>
      </c>
      <c r="G228" t="str">
        <v>Cancelado</v>
      </c>
      <c r="H228">
        <f>IF(OR(G228="Sin pagar",G228="Pagar"),NETWORKDAYS($J$114,F228,'Festivos Colombia'!$A$3:$A$22),0)</f>
        <v>0</v>
      </c>
      <c r="I228">
        <f>NETWORKDAYS($J$114,F228,'Festivos Colombia'!$A$3:$A$22)</f>
        <v>19</v>
      </c>
      <c r="J228" s="7">
        <f>H228</f>
        <v>0</v>
      </c>
    </row>
    <row r="229" ht="16.5" customHeight="1">
      <c r="D229" t="str">
        <v>TARJETAS DE CRÉDITO</v>
      </c>
      <c r="E229" s="2">
        <f>SUBTOTAL(9,E230:E232)</f>
        <v>15081893.75</v>
      </c>
    </row>
    <row r="230" outlineLevel="1">
      <c r="A230" t="str">
        <f>G230</f>
        <v>Cancelado</v>
      </c>
      <c r="B230">
        <f>IF(I230&lt;=-1,1,IF(I230&lt;=5,2,IF(I230&lt;=15,3,IF(H230&lt;=60,4))))</f>
        <v>2</v>
      </c>
      <c r="D230" t="str">
        <v>TC Bancolombia TC 4853</v>
      </c>
      <c r="E230" s="2">
        <f>(2878369+(55*3790.77))*0</f>
        <v>0</v>
      </c>
      <c r="F230" s="1">
        <v>46027</v>
      </c>
      <c r="G230" t="str">
        <v>Cancelado</v>
      </c>
      <c r="H230">
        <f>IF(OR(G230="Sin pagar",G230="Pagar"),NETWORKDAYS($J$114,F230,'Festivos Colombia'!$A$3:$A$22),0)</f>
        <v>0</v>
      </c>
      <c r="I230">
        <f>NETWORKDAYS($J$114,F230,'Festivos Colombia'!$A$3:$A$22)</f>
        <v>2</v>
      </c>
      <c r="J230" s="7">
        <f>H230</f>
        <v>0</v>
      </c>
    </row>
    <row r="231" outlineLevel="1">
      <c r="A231" t="str">
        <f>G231</f>
        <v>Cancelado</v>
      </c>
      <c r="B231">
        <f>IF(I231&lt;=-1,1,IF(I231&lt;=5,2,IF(I231&lt;=15,3,IF(H231&lt;=60,4))))</f>
        <v>3</v>
      </c>
      <c r="D231" t="str">
        <v>TC Bancolombia-Ramon Esteban Cardona Salazar TC 5996</v>
      </c>
      <c r="E231" s="2">
        <f>12699797+1814686.59</f>
        <v>14514483.59</v>
      </c>
      <c r="F231" s="1">
        <v>46042</v>
      </c>
      <c r="G231" t="str">
        <v>Cancelado</v>
      </c>
      <c r="H231">
        <f>IF(OR(G231="Sin pagar",G231="Pagar"),NETWORKDAYS($J$114,F231,'Festivos Colombia'!$A$3:$A$22),0)</f>
        <v>0</v>
      </c>
      <c r="I231">
        <f>NETWORKDAYS($J$114,F231,'Festivos Colombia'!$A$3:$A$22)</f>
        <v>12</v>
      </c>
      <c r="J231" s="7">
        <f>H231</f>
        <v>0</v>
      </c>
    </row>
    <row r="232" ht="15.75" customHeight="1" outlineLevel="1">
      <c r="A232" t="str">
        <f>G232</f>
        <v>Cancelado</v>
      </c>
      <c r="B232">
        <f>IF(I232&lt;=-1,1,IF(I232&lt;=5,2,IF(I232&lt;=15,3,IF(H232&lt;=60,4))))</f>
        <v>4</v>
      </c>
      <c r="D232" t="str">
        <v>TC Bancolombia TC 4853</v>
      </c>
      <c r="E232" s="2">
        <f>(152*3628.16)+15929.84</f>
        <v>567410.1599999999</v>
      </c>
      <c r="F232" s="1">
        <v>46058</v>
      </c>
      <c r="G232" t="str">
        <v>Cancelado</v>
      </c>
      <c r="H232">
        <f>IF(OR(G232="Sin pagar",G232="Pagar"),NETWORKDAYS($J$114,F232,'Festivos Colombia'!$A$3:$A$22),0)</f>
        <v>0</v>
      </c>
      <c r="I232">
        <f>NETWORKDAYS($J$114,F232,'Festivos Colombia'!$A$3:$A$22)</f>
        <v>24</v>
      </c>
      <c r="J232" s="7">
        <f>H232</f>
        <v>0</v>
      </c>
    </row>
    <row r="233" ht="16.5" customHeight="1">
      <c r="D233" t="str">
        <v>ESTUDIOS DE SEGURIDAD Y EXAMENES OCUPACIONALES</v>
      </c>
      <c r="E233" s="2">
        <f>SUBTOTAL(9,E234:E244)</f>
        <v>2284006</v>
      </c>
    </row>
    <row r="234" ht="15.75" customHeight="1" outlineLevel="1">
      <c r="A234" t="str">
        <f>G234</f>
        <v>Cancelado</v>
      </c>
      <c r="B234">
        <f>IF(I234&lt;=-1,1,IF(I234&lt;=5,2,IF(I234&lt;=15,3,IF(H234&lt;=60,4))))</f>
        <v>3</v>
      </c>
      <c r="C234">
        <v>6837</v>
      </c>
      <c r="D234" t="str">
        <v xml:space="preserve">EMASOC </v>
      </c>
      <c r="E234" s="2">
        <f>359000</f>
        <v>359000</v>
      </c>
      <c r="F234" s="1">
        <v>46031</v>
      </c>
      <c r="G234" t="str">
        <v>Cancelado</v>
      </c>
      <c r="H234">
        <f>IF(OR(G234="Sin pagar",G234="Pagar"),NETWORKDAYS($J$114,F234,'Festivos Colombia'!$A$3:$A$22),0)</f>
        <v>0</v>
      </c>
      <c r="I234">
        <f>NETWORKDAYS($J$114,F234,'Festivos Colombia'!$A$3:$A$22)</f>
        <v>6</v>
      </c>
      <c r="J234" s="7">
        <f>H234</f>
        <v>0</v>
      </c>
    </row>
    <row r="235" ht="15.75" customHeight="1" outlineLevel="1">
      <c r="A235" t="str">
        <f>G235</f>
        <v>Cancelado</v>
      </c>
      <c r="B235">
        <f>IF(I235&lt;=-1,1,IF(I235&lt;=5,2,IF(I235&lt;=15,3,IF(H235&lt;=60,4))))</f>
        <v>3</v>
      </c>
      <c r="C235">
        <v>6846</v>
      </c>
      <c r="D235" t="str">
        <v xml:space="preserve">EMASOC </v>
      </c>
      <c r="E235" s="2">
        <f>517000</f>
        <v>517000</v>
      </c>
      <c r="F235" s="1">
        <v>46038</v>
      </c>
      <c r="G235" t="str">
        <v>Cancelado</v>
      </c>
      <c r="H235">
        <f>IF(OR(G235="Sin pagar",G235="Pagar"),NETWORKDAYS($J$114,F235,'Festivos Colombia'!$A$3:$A$22),0)</f>
        <v>0</v>
      </c>
      <c r="I235">
        <f>NETWORKDAYS($J$114,F235,'Festivos Colombia'!$A$3:$A$22)</f>
        <v>10</v>
      </c>
      <c r="J235" s="7">
        <f>H235</f>
        <v>0</v>
      </c>
    </row>
    <row r="236" ht="15.75" customHeight="1" outlineLevel="1">
      <c r="A236" t="str">
        <f>G236</f>
        <v>Cancelado</v>
      </c>
      <c r="B236">
        <f>IF(I236&lt;=-1,1,IF(I236&lt;=5,2,IF(I236&lt;=15,3,IF(H236&lt;=60,4))))</f>
        <v>3</v>
      </c>
      <c r="C236">
        <v>6855</v>
      </c>
      <c r="D236" t="str">
        <v xml:space="preserve">EMASOC </v>
      </c>
      <c r="E236" s="2">
        <f>499900</f>
        <v>499900</v>
      </c>
      <c r="F236" s="1">
        <v>46038</v>
      </c>
      <c r="G236" t="str">
        <v>Cancelado</v>
      </c>
      <c r="H236">
        <f>IF(OR(G236="Sin pagar",G236="Pagar"),NETWORKDAYS($J$114,F236,'Festivos Colombia'!$A$3:$A$22),0)</f>
        <v>0</v>
      </c>
      <c r="I236">
        <f>NETWORKDAYS($J$114,F236,'Festivos Colombia'!$A$3:$A$22)</f>
        <v>10</v>
      </c>
      <c r="J236" s="7">
        <f>H236</f>
        <v>0</v>
      </c>
    </row>
    <row r="237" ht="15.75" customHeight="1" outlineLevel="1">
      <c r="A237" t="str">
        <f>G237</f>
        <v>Cancelado</v>
      </c>
      <c r="B237">
        <f>IF(I237&lt;=-1,1,IF(I237&lt;=5,2,IF(I237&lt;=15,3,IF(H237&lt;=60,4))))</f>
        <v>3</v>
      </c>
      <c r="C237">
        <v>6861</v>
      </c>
      <c r="D237" t="str">
        <v xml:space="preserve">EMASOC </v>
      </c>
      <c r="E237" s="2">
        <v>334500</v>
      </c>
      <c r="F237" s="1">
        <v>46045</v>
      </c>
      <c r="G237" t="str">
        <v>Cancelado</v>
      </c>
      <c r="H237">
        <f>IF(OR(G237="Sin pagar",G237="Pagar"),NETWORKDAYS($J$114,F237,'Festivos Colombia'!$A$3:$A$22),0)</f>
        <v>0</v>
      </c>
      <c r="I237">
        <f>NETWORKDAYS($J$114,F237,'Festivos Colombia'!$A$3:$A$22)</f>
        <v>15</v>
      </c>
      <c r="J237" s="7">
        <f>H237</f>
        <v>0</v>
      </c>
    </row>
    <row r="238" ht="15.75" customHeight="1" outlineLevel="1">
      <c r="A238" t="str">
        <f>G238</f>
        <v>Sin Pagar</v>
      </c>
      <c r="B238">
        <f>IF(I238&lt;=-1,1,IF(I238&lt;=5,2,IF(I238&lt;=15,3,IF(H238&lt;=60,4))))</f>
        <v>4</v>
      </c>
      <c r="C238">
        <v>6871</v>
      </c>
      <c r="D238" t="str">
        <v xml:space="preserve">EMASOC </v>
      </c>
      <c r="E238" s="2">
        <f>1158000*0</f>
        <v>0</v>
      </c>
      <c r="F238" s="1">
        <v>46066</v>
      </c>
      <c r="G238" t="str">
        <v>Sin Pagar</v>
      </c>
      <c r="H238">
        <f>IF(OR(G238="Sin pagar",G238="Pagar"),NETWORKDAYS($J$114,F238,'Festivos Colombia'!$A$3:$A$22),0)</f>
        <v>30</v>
      </c>
      <c r="I238">
        <f>NETWORKDAYS($J$114,F238,'Festivos Colombia'!$A$3:$A$22)</f>
        <v>30</v>
      </c>
      <c r="J238" s="7">
        <f>H238</f>
        <v>30</v>
      </c>
    </row>
    <row r="239" ht="15.75" customHeight="1" outlineLevel="1">
      <c r="A239" t="str">
        <f>G239</f>
        <v>Sin Pagar</v>
      </c>
      <c r="B239">
        <f>IF(I239&lt;=-1,1,IF(I239&lt;=5,2,IF(I239&lt;=15,3,IF(H239&lt;=60,4))))</f>
        <v>4</v>
      </c>
      <c r="C239">
        <v>6882</v>
      </c>
      <c r="D239" t="str">
        <v xml:space="preserve">EMASOC </v>
      </c>
      <c r="E239" s="2">
        <f>102500*0</f>
        <v>0</v>
      </c>
      <c r="F239" s="1">
        <v>46073</v>
      </c>
      <c r="G239" t="str">
        <v>Sin Pagar</v>
      </c>
      <c r="H239">
        <f>IF(OR(G239="Sin pagar",G239="Pagar"),NETWORKDAYS($J$114,F239,'Festivos Colombia'!$A$3:$A$22),0)</f>
        <v>35</v>
      </c>
      <c r="I239">
        <f>NETWORKDAYS($J$114,F239,'Festivos Colombia'!$A$3:$A$22)</f>
        <v>35</v>
      </c>
      <c r="J239" s="7">
        <f>H239</f>
        <v>35</v>
      </c>
    </row>
    <row r="240" ht="15.75" customHeight="1" outlineLevel="1">
      <c r="A240" t="str">
        <f>G240</f>
        <v>Sin Pagar</v>
      </c>
      <c r="B240">
        <f>IF(I240&lt;=-1,1,IF(I240&lt;=5,2,IF(I240&lt;=15,3,IF(H240&lt;=60,4))))</f>
        <v>4</v>
      </c>
      <c r="C240">
        <v>6895</v>
      </c>
      <c r="D240" t="str">
        <v xml:space="preserve">EMASOC </v>
      </c>
      <c r="E240" s="2">
        <f>102500*0</f>
        <v>0</v>
      </c>
      <c r="F240" s="1">
        <v>46075</v>
      </c>
      <c r="G240" t="str">
        <v>Sin Pagar</v>
      </c>
      <c r="H240">
        <f>IF(OR(G240="Sin pagar",G240="Pagar"),NETWORKDAYS($J$114,F240,'Festivos Colombia'!$A$3:$A$22),0)</f>
        <v>35</v>
      </c>
      <c r="I240">
        <f>NETWORKDAYS($J$114,F240,'Festivos Colombia'!$A$3:$A$22)</f>
        <v>35</v>
      </c>
      <c r="J240" s="7">
        <f>H240</f>
        <v>35</v>
      </c>
    </row>
    <row r="241" ht="15.75" customHeight="1" outlineLevel="1">
      <c r="A241" t="str">
        <f>G241</f>
        <v>Sin Pagar</v>
      </c>
      <c r="B241">
        <f>IF(I241&lt;=-1,1,IF(I241&lt;=5,2,IF(I241&lt;=15,3,IF(H241&lt;=60,4))))</f>
        <v>4</v>
      </c>
      <c r="C241">
        <v>6900</v>
      </c>
      <c r="D241" t="str">
        <v xml:space="preserve">EMASOC </v>
      </c>
      <c r="E241" s="2">
        <f>313500*0</f>
        <v>0</v>
      </c>
      <c r="F241" s="1">
        <v>46080</v>
      </c>
      <c r="G241" t="str">
        <v>Sin Pagar</v>
      </c>
      <c r="H241">
        <f>IF(OR(G241="Sin pagar",G241="Pagar"),NETWORKDAYS($J$114,F241,'Festivos Colombia'!$A$3:$A$22),0)</f>
        <v>40</v>
      </c>
      <c r="I241">
        <f>NETWORKDAYS($J$114,F241,'Festivos Colombia'!$A$3:$A$22)</f>
        <v>40</v>
      </c>
      <c r="J241" s="7">
        <f>H241</f>
        <v>40</v>
      </c>
    </row>
    <row r="242" ht="15.75" customHeight="1" outlineLevel="1">
      <c r="A242" t="str">
        <f>G242</f>
        <v>Sin Pagar</v>
      </c>
      <c r="B242">
        <f>IF(I242&lt;=-1,1,IF(I242&lt;=5,2,IF(I242&lt;=15,3,IF(H242&lt;=60,4))))</f>
        <v>4</v>
      </c>
      <c r="C242">
        <v>6903</v>
      </c>
      <c r="D242" t="str">
        <v xml:space="preserve">EMASOC </v>
      </c>
      <c r="E242" s="2">
        <f>592500*0</f>
        <v>0</v>
      </c>
      <c r="F242" s="1">
        <v>46081</v>
      </c>
      <c r="G242" t="str">
        <v>Sin Pagar</v>
      </c>
      <c r="H242">
        <f>IF(OR(G242="Sin pagar",G242="Pagar"),NETWORKDAYS($J$114,F242,'Festivos Colombia'!$A$3:$A$22),0)</f>
        <v>40</v>
      </c>
      <c r="I242">
        <f>NETWORKDAYS($J$114,F242,'Festivos Colombia'!$A$3:$A$22)</f>
        <v>40</v>
      </c>
      <c r="J242" s="7">
        <f>H242</f>
        <v>40</v>
      </c>
    </row>
    <row r="243" ht="15.75" customHeight="1" outlineLevel="1">
      <c r="A243" t="str">
        <f>G243</f>
        <v>Sin Pagar</v>
      </c>
      <c r="B243">
        <f>IF(I243&lt;=-1,1,IF(I243&lt;=5,2,IF(I243&lt;=15,3,IF(H243&lt;=60,4))))</f>
        <v>4</v>
      </c>
      <c r="C243">
        <v>6910</v>
      </c>
      <c r="D243" t="str">
        <v xml:space="preserve">EMASOC </v>
      </c>
      <c r="E243" s="2">
        <f>3410000*0</f>
        <v>0</v>
      </c>
      <c r="F243" s="1">
        <v>46084</v>
      </c>
      <c r="G243" t="str">
        <v>Sin Pagar</v>
      </c>
      <c r="H243">
        <f>IF(OR(G243="Sin pagar",G243="Pagar"),NETWORKDAYS($J$114,F243,'Festivos Colombia'!$A$3:$A$22),0)</f>
        <v>42</v>
      </c>
      <c r="I243">
        <f>NETWORKDAYS($J$114,F243,'Festivos Colombia'!$A$3:$A$22)</f>
        <v>42</v>
      </c>
      <c r="J243" s="7">
        <f>H243</f>
        <v>42</v>
      </c>
    </row>
    <row r="244" ht="15.75" customHeight="1" outlineLevel="1">
      <c r="A244" t="str">
        <f>G244</f>
        <v>Cancelado</v>
      </c>
      <c r="B244">
        <f>IF(I244&lt;=-1,1,IF(I244&lt;=5,2,IF(I244&lt;=15,3,IF(H244&lt;=60,4))))</f>
        <v>3</v>
      </c>
      <c r="C244" t="str">
        <v>FE3074</v>
      </c>
      <c r="D244" t="str">
        <v>Prosinte</v>
      </c>
      <c r="E244" s="2">
        <v>573606</v>
      </c>
      <c r="F244" s="1">
        <v>46038</v>
      </c>
      <c r="G244" t="str">
        <v>Cancelado</v>
      </c>
      <c r="H244">
        <f>IF(OR(G244="Sin pagar",G244="Pagar"),NETWORKDAYS($J$114,F244,'Festivos Colombia'!$A$3:$A$22),0)</f>
        <v>0</v>
      </c>
      <c r="I244">
        <f>NETWORKDAYS($J$114,F244,'Festivos Colombia'!$A$3:$A$22)</f>
        <v>10</v>
      </c>
      <c r="J244" s="7">
        <f>H244</f>
        <v>0</v>
      </c>
    </row>
    <row r="245" ht="16.5" customHeight="1">
      <c r="D245" t="str">
        <v>SOFTWARE NÓMINA</v>
      </c>
      <c r="E245" s="2">
        <f>SUBTOTAL(9,E246:E252)</f>
        <v>16845908.0884</v>
      </c>
    </row>
    <row r="246" ht="30" customHeight="1" outlineLevel="1">
      <c r="A246" t="str">
        <f>G246</f>
        <v>Cancelado</v>
      </c>
      <c r="B246">
        <f>IF(I246&lt;=-1,1,IF(I246&lt;=5,2,IF(I246&lt;=15,3,IF(H246&lt;=60,4))))</f>
        <v>3</v>
      </c>
      <c r="C246">
        <v>43845</v>
      </c>
      <c r="D246" t="str">
        <v>Práxedes nómina electronica-Servidores hosting y/o Computación en la nuble Cloud Noviembre</v>
      </c>
      <c r="E246" s="2">
        <f>1567608</f>
        <v>1567608</v>
      </c>
      <c r="F246" s="1">
        <v>46031</v>
      </c>
      <c r="G246" t="str">
        <v>Cancelado</v>
      </c>
      <c r="H246">
        <f>IF(OR(G246="Sin pagar",G246="Pagar"),NETWORKDAYS($J$114,F246,'Festivos Colombia'!$A$3:$A$22),0)</f>
        <v>0</v>
      </c>
      <c r="I246">
        <f>NETWORKDAYS($J$114,F246,'Festivos Colombia'!$A$3:$A$22)</f>
        <v>6</v>
      </c>
      <c r="J246" s="7">
        <f>H246</f>
        <v>0</v>
      </c>
    </row>
    <row r="247" outlineLevel="1">
      <c r="A247" t="str">
        <f>G247</f>
        <v>Cancelado</v>
      </c>
      <c r="B247">
        <f>IF(I247&lt;=-1,1,IF(I247&lt;=5,2,IF(I247&lt;=15,3,IF(H247&lt;=60,4))))</f>
        <v>3</v>
      </c>
      <c r="C247">
        <v>43984</v>
      </c>
      <c r="D247" t="str">
        <v>Práxedes nómina electronica-Transmisión nómina eléctronica Noviembre</v>
      </c>
      <c r="E247" s="2">
        <v>121007.46168</v>
      </c>
      <c r="F247" s="1">
        <v>46038</v>
      </c>
      <c r="G247" t="str">
        <v>Cancelado</v>
      </c>
      <c r="H247">
        <f>IF(OR(G247="Sin pagar",G247="Pagar"),NETWORKDAYS($J$114,F247,'Festivos Colombia'!$A$3:$A$22),0)</f>
        <v>0</v>
      </c>
      <c r="I247">
        <f>NETWORKDAYS($J$114,F247,'Festivos Colombia'!$A$3:$A$22)</f>
        <v>10</v>
      </c>
      <c r="J247" s="7">
        <f>H247</f>
        <v>0</v>
      </c>
    </row>
    <row r="248" ht="30" customHeight="1" outlineLevel="1">
      <c r="A248" t="str">
        <f>G248</f>
        <v>Cancelado</v>
      </c>
      <c r="B248">
        <f>IF(I248&lt;=-1,1,IF(I248&lt;=5,2,IF(I248&lt;=15,3,IF(H248&lt;=60,4))))</f>
        <v>3</v>
      </c>
      <c r="C248">
        <v>43846</v>
      </c>
      <c r="D248" t="str">
        <v>Práxedes nómina electronica-Servidores hosting y/o Computación en la nuble Cloud Noviembre</v>
      </c>
      <c r="E248" s="2">
        <v>1497598.62672</v>
      </c>
      <c r="F248" s="1">
        <v>46045</v>
      </c>
      <c r="G248" t="str">
        <v>Cancelado</v>
      </c>
      <c r="H248">
        <f>IF(OR(G248="Sin pagar",G248="Pagar"),NETWORKDAYS($J$114,F248,'Festivos Colombia'!$A$3:$A$22),0)</f>
        <v>0</v>
      </c>
      <c r="I248">
        <f>NETWORKDAYS($J$114,F248,'Festivos Colombia'!$A$3:$A$22)</f>
        <v>15</v>
      </c>
      <c r="J248" s="7">
        <f>H248</f>
        <v>0</v>
      </c>
    </row>
    <row r="249" outlineLevel="1">
      <c r="A249" t="str">
        <f>G249</f>
        <v>Cancelado</v>
      </c>
      <c r="B249">
        <f>IF(I249&lt;=-1,1,IF(I249&lt;=5,2,IF(I249&lt;=15,3,IF(H249&lt;=60,4))))</f>
        <v>3</v>
      </c>
      <c r="C249" t="str">
        <v>GFE57362</v>
      </c>
      <c r="D249" t="str">
        <v>Novasoft-Servicio hosting Web-19 Usuarios-27 Bases de datos Diciembre</v>
      </c>
      <c r="E249" s="2">
        <f>5188351</f>
        <v>5188351</v>
      </c>
      <c r="F249" s="1">
        <v>46031</v>
      </c>
      <c r="G249" t="str">
        <v>Cancelado</v>
      </c>
      <c r="H249">
        <f>IF(OR(G249="Sin pagar",G249="Pagar"),NETWORKDAYS($J$114,F249,'Festivos Colombia'!$A$3:$A$22),0)</f>
        <v>0</v>
      </c>
      <c r="I249">
        <f>NETWORKDAYS($J$114,F249,'Festivos Colombia'!$A$3:$A$22)</f>
        <v>6</v>
      </c>
      <c r="J249" s="7">
        <f>H249</f>
        <v>0</v>
      </c>
    </row>
    <row r="250" ht="30" customHeight="1" outlineLevel="1">
      <c r="A250" t="str">
        <f>G250</f>
        <v>Cancelado</v>
      </c>
      <c r="B250">
        <f>IF(I250&lt;=-1,1,IF(I250&lt;=5,2,IF(I250&lt;=15,3,IF(H250&lt;=60,4))))</f>
        <v>3</v>
      </c>
      <c r="C250" t="str">
        <v>GFE58327</v>
      </c>
      <c r="D250" t="str">
        <v>Novasoft-Derecho de uso de nómina, Derecho de uso portal , nómina electrónica, Habilitación y emisión de comprobantes Noviembre</v>
      </c>
      <c r="E250" s="2">
        <f>8471343</f>
        <v>8471343</v>
      </c>
      <c r="F250" s="1">
        <v>46038</v>
      </c>
      <c r="G250" t="str">
        <v>Cancelado</v>
      </c>
      <c r="H250">
        <f>IF(OR(G250="Sin pagar",G250="Pagar"),NETWORKDAYS($J$114,F250,'Festivos Colombia'!$A$3:$A$22),0)</f>
        <v>0</v>
      </c>
      <c r="I250">
        <f>NETWORKDAYS($J$114,F250,'Festivos Colombia'!$A$3:$A$22)</f>
        <v>10</v>
      </c>
      <c r="J250" s="7">
        <f>H250</f>
        <v>0</v>
      </c>
    </row>
    <row r="251" ht="30" customHeight="1" outlineLevel="1">
      <c r="A251" t="str">
        <f>G251</f>
        <v>Sin Pagar</v>
      </c>
      <c r="B251">
        <f>IF(I251&lt;=-1,1,IF(I251&lt;=5,2,IF(I251&lt;=15,3,IF(H251&lt;=60,4))))</f>
        <v>4</v>
      </c>
      <c r="C251" t="str">
        <v>GFE59375</v>
      </c>
      <c r="D251" t="str">
        <v>Novasoft-Derecho de uso de nómina, Derecho de uso portal , nómina electrónica, Habilitación y emisión de comprobantes Diciembre</v>
      </c>
      <c r="E251" s="2">
        <f>8312384.54*0</f>
        <v>0</v>
      </c>
      <c r="F251" s="1">
        <v>46078</v>
      </c>
      <c r="G251" t="str">
        <v>Sin Pagar</v>
      </c>
      <c r="H251">
        <f>IF(OR(G251="Sin pagar",G251="Pagar"),NETWORKDAYS($J$114,F251,'Festivos Colombia'!$A$3:$A$22),0)</f>
        <v>38</v>
      </c>
      <c r="I251">
        <f>NETWORKDAYS($J$114,F251,'Festivos Colombia'!$A$3:$A$22)</f>
        <v>38</v>
      </c>
      <c r="J251" s="7">
        <f>H251</f>
        <v>38</v>
      </c>
    </row>
    <row r="252" ht="15.75" customHeight="1" outlineLevel="1">
      <c r="A252" t="str">
        <f>G252</f>
        <v>Sin Pagar</v>
      </c>
      <c r="B252">
        <f>IF(I252&lt;=-1,1,IF(I252&lt;=5,2,IF(I252&lt;=15,3,IF(H252&lt;=60,4))))</f>
        <v>4</v>
      </c>
      <c r="C252" t="str">
        <v>GFE59440</v>
      </c>
      <c r="D252" t="str">
        <v>Novasoft-Servicio hosting Web-19 Usuarios-29 Bases de datos Enero</v>
      </c>
      <c r="E252" s="2">
        <f>5506137*0</f>
        <v>0</v>
      </c>
      <c r="F252" s="1">
        <v>46080</v>
      </c>
      <c r="G252" t="str">
        <v>Sin Pagar</v>
      </c>
      <c r="H252">
        <f>IF(OR(G252="Sin pagar",G252="Pagar"),NETWORKDAYS($J$114,F252,'Festivos Colombia'!$A$3:$A$22),0)</f>
        <v>40</v>
      </c>
      <c r="I252">
        <f>NETWORKDAYS($J$114,F252,'Festivos Colombia'!$A$3:$A$22)</f>
        <v>40</v>
      </c>
      <c r="J252" s="7">
        <f>H252</f>
        <v>40</v>
      </c>
    </row>
    <row r="253" ht="16.5" customHeight="1">
      <c r="D253" t="str">
        <v>NÓMINAS Y ABONO A TARJETAS PEOPLE PASS</v>
      </c>
      <c r="E253" s="2">
        <f>SUBTOTAL(9,E254:E280)</f>
        <v>1677006642.89</v>
      </c>
    </row>
    <row r="254" outlineLevel="1">
      <c r="D254" t="str">
        <v>Anticipo cesantías yesela Agudelo Durango</v>
      </c>
      <c r="E254" s="2">
        <f>35912233*0</f>
        <v>0</v>
      </c>
      <c r="F254" s="1">
        <v>46024</v>
      </c>
      <c r="G254" t="str">
        <v>Cancelado</v>
      </c>
      <c r="H254">
        <f>IF(OR(G254="Sin pagar",G254="Pagar"),NETWORKDAYS($J$114,F254,'Festivos Colombia'!$A$3:$A$22),0)</f>
        <v>0</v>
      </c>
      <c r="I254">
        <f>NETWORKDAYS($J$114,F254,'Festivos Colombia'!$A$3:$A$22)</f>
        <v>1</v>
      </c>
      <c r="J254" s="7">
        <f>H254</f>
        <v>0</v>
      </c>
    </row>
    <row r="255" outlineLevel="1">
      <c r="D255" t="str">
        <v>Anticipo Nómina Lorena García</v>
      </c>
      <c r="E255" s="2">
        <v>200000</v>
      </c>
      <c r="F255" s="1">
        <v>46042</v>
      </c>
      <c r="G255" t="str">
        <v>Cancelado</v>
      </c>
      <c r="H255">
        <f>IF(OR(G255="Sin pagar",G255="Pagar"),NETWORKDAYS($J$114,F255,'Festivos Colombia'!$A$3:$A$22),0)</f>
        <v>0</v>
      </c>
      <c r="I255">
        <f>NETWORKDAYS($J$114,F255,'Festivos Colombia'!$A$3:$A$22)</f>
        <v>12</v>
      </c>
      <c r="J255" s="7">
        <f>H255</f>
        <v>0</v>
      </c>
    </row>
    <row r="256" outlineLevel="1">
      <c r="D256" t="str">
        <v>Anticipo cesantías Yina Briyith Vesga Escarraga</v>
      </c>
      <c r="E256" s="2">
        <v>3493275</v>
      </c>
      <c r="F256" s="1">
        <v>46048</v>
      </c>
      <c r="G256" t="str">
        <v>Cancelado</v>
      </c>
      <c r="H256">
        <f>IF(OR(G256="Sin pagar",G256="Pagar"),NETWORKDAYS($J$114,F256,'Festivos Colombia'!$A$3:$A$22),0)</f>
        <v>0</v>
      </c>
      <c r="I256">
        <f>NETWORKDAYS($J$114,F256,'Festivos Colombia'!$A$3:$A$22)</f>
        <v>16</v>
      </c>
      <c r="J256" s="7">
        <f>H256</f>
        <v>0</v>
      </c>
    </row>
    <row r="257" outlineLevel="1">
      <c r="A257" t="str">
        <f>G257</f>
        <v>Cancelado</v>
      </c>
      <c r="B257">
        <f>IF(I257&lt;=-1,1,IF(I257&lt;=5,2,IF(I257&lt;=15,3,IF(H257&lt;=60,4))))</f>
        <v>4</v>
      </c>
      <c r="C257" s="2" t="str">
        <v>54 registros</v>
      </c>
      <c r="D257" t="str">
        <v>Nomina S&amp;P</v>
      </c>
      <c r="E257" s="2">
        <v>176851072</v>
      </c>
      <c r="F257" s="1">
        <v>46050</v>
      </c>
      <c r="G257" t="str">
        <v>Cancelado</v>
      </c>
      <c r="H257">
        <f>IF(OR(G257="Sin pagar",G257="Pagar"),NETWORKDAYS($J$114,F257,'Festivos Colombia'!$A$3:$A$22),0)</f>
        <v>0</v>
      </c>
      <c r="I257">
        <f>NETWORKDAYS($J$114,F257,'Festivos Colombia'!$A$3:$A$22)</f>
        <v>18</v>
      </c>
      <c r="J257" s="7">
        <f>H257</f>
        <v>0</v>
      </c>
    </row>
    <row r="258" outlineLevel="1">
      <c r="D258" t="str">
        <v>C1007 - NZD</v>
      </c>
      <c r="E258" s="2">
        <v>26755504</v>
      </c>
      <c r="F258" s="1">
        <v>46050</v>
      </c>
      <c r="G258" t="str">
        <v>Cancelado</v>
      </c>
      <c r="H258">
        <f>IF(OR(G258="Sin pagar",G258="Pagar"),NETWORKDAYS($J$114,F258,'Festivos Colombia'!$A$3:$A$22),0)</f>
        <v>0</v>
      </c>
      <c r="I258">
        <f>NETWORKDAYS($J$114,F258,'Festivos Colombia'!$A$3:$A$22)</f>
        <v>18</v>
      </c>
      <c r="J258" s="7">
        <f>H258</f>
        <v>0</v>
      </c>
    </row>
    <row r="259" outlineLevel="1">
      <c r="D259" t="str">
        <v>C1022 - Root Capital</v>
      </c>
      <c r="E259" s="2">
        <v>15263805</v>
      </c>
      <c r="F259" s="1">
        <v>46050</v>
      </c>
      <c r="G259" t="str">
        <v>Cancelado</v>
      </c>
      <c r="H259">
        <f>IF(OR(G259="Sin pagar",G259="Pagar"),NETWORKDAYS($J$114,F259,'Festivos Colombia'!$A$3:$A$22),0)</f>
        <v>0</v>
      </c>
      <c r="I259">
        <f>NETWORKDAYS($J$114,F259,'Festivos Colombia'!$A$3:$A$22)</f>
        <v>18</v>
      </c>
      <c r="J259" s="7">
        <f>H259</f>
        <v>0</v>
      </c>
    </row>
    <row r="260" outlineLevel="1">
      <c r="D260" t="str">
        <v>C1024 - MKD</v>
      </c>
      <c r="E260" s="2">
        <v>3479204</v>
      </c>
      <c r="F260" s="1">
        <v>46050</v>
      </c>
      <c r="G260" t="str">
        <v>Cancelado</v>
      </c>
      <c r="H260">
        <f>IF(OR(G260="Sin pagar",G260="Pagar"),NETWORKDAYS($J$114,F260,'Festivos Colombia'!$A$3:$A$22),0)</f>
        <v>0</v>
      </c>
      <c r="I260">
        <f>NETWORKDAYS($J$114,F260,'Festivos Colombia'!$A$3:$A$22)</f>
        <v>18</v>
      </c>
      <c r="J260" s="7">
        <f>H260</f>
        <v>0</v>
      </c>
    </row>
    <row r="261" outlineLevel="1">
      <c r="D261" t="str">
        <v>C1032 - FLEXCO</v>
      </c>
      <c r="E261" s="2">
        <v>22533050</v>
      </c>
      <c r="F261" s="1">
        <v>46050</v>
      </c>
      <c r="G261" t="str">
        <v>Cancelado</v>
      </c>
      <c r="H261">
        <f>IF(OR(G261="Sin pagar",G261="Pagar"),NETWORKDAYS($J$114,F261,'Festivos Colombia'!$A$3:$A$22),0)</f>
        <v>0</v>
      </c>
      <c r="I261">
        <f>NETWORKDAYS($J$114,F261,'Festivos Colombia'!$A$3:$A$22)</f>
        <v>18</v>
      </c>
      <c r="J261" s="7">
        <f>H261</f>
        <v>0</v>
      </c>
    </row>
    <row r="262" outlineLevel="1">
      <c r="D262" t="str">
        <v>C1037 - REMOFIRST</v>
      </c>
      <c r="E262" s="2">
        <v>719228423</v>
      </c>
      <c r="F262" s="1">
        <v>46050</v>
      </c>
      <c r="G262" t="str">
        <v>Cancelado</v>
      </c>
      <c r="H262">
        <f>IF(OR(G262="Sin pagar",G262="Pagar"),NETWORKDAYS($J$114,F262,'Festivos Colombia'!$A$3:$A$22),0)</f>
        <v>0</v>
      </c>
      <c r="I262">
        <f>NETWORKDAYS($J$114,F262,'Festivos Colombia'!$A$3:$A$22)</f>
        <v>18</v>
      </c>
      <c r="J262" s="7">
        <f>H262</f>
        <v>0</v>
      </c>
    </row>
    <row r="263" outlineLevel="1">
      <c r="D263" t="str">
        <v>C1038 - ONCEHUB</v>
      </c>
      <c r="E263" s="2">
        <v>10463079</v>
      </c>
      <c r="F263" s="1">
        <v>46050</v>
      </c>
      <c r="G263" t="str">
        <v>Cancelado</v>
      </c>
      <c r="H263">
        <f>IF(OR(G263="Sin pagar",G263="Pagar"),NETWORKDAYS($J$114,F263,'Festivos Colombia'!$A$3:$A$22),0)</f>
        <v>0</v>
      </c>
      <c r="I263">
        <f>NETWORKDAYS($J$114,F263,'Festivos Colombia'!$A$3:$A$22)</f>
        <v>18</v>
      </c>
      <c r="J263" s="7">
        <f>H263</f>
        <v>0</v>
      </c>
    </row>
    <row r="264" outlineLevel="1">
      <c r="D264" t="str">
        <v>C1041 - EDRINGTON</v>
      </c>
      <c r="E264" s="2">
        <v>19151707</v>
      </c>
      <c r="F264" s="1">
        <v>46050</v>
      </c>
      <c r="G264" t="str">
        <v>Cancelado</v>
      </c>
      <c r="H264">
        <f>IF(OR(G264="Sin pagar",G264="Pagar"),NETWORKDAYS($J$114,F264,'Festivos Colombia'!$A$3:$A$22),0)</f>
        <v>0</v>
      </c>
      <c r="I264">
        <f>NETWORKDAYS($J$114,F264,'Festivos Colombia'!$A$3:$A$22)</f>
        <v>18</v>
      </c>
      <c r="J264" s="7">
        <f>H264</f>
        <v>0</v>
      </c>
    </row>
    <row r="265" outlineLevel="1">
      <c r="D265" t="str">
        <v>C1042 - EPDM</v>
      </c>
      <c r="E265" s="2">
        <v>7501878</v>
      </c>
      <c r="F265" s="1">
        <v>46050</v>
      </c>
      <c r="G265" t="str">
        <v>Cancelado</v>
      </c>
      <c r="H265">
        <f>IF(OR(G265="Sin pagar",G265="Pagar"),NETWORKDAYS($J$114,F265,'Festivos Colombia'!$A$3:$A$22),0)</f>
        <v>0</v>
      </c>
      <c r="I265">
        <f>NETWORKDAYS($J$114,F265,'Festivos Colombia'!$A$3:$A$22)</f>
        <v>18</v>
      </c>
      <c r="J265" s="7">
        <f>H265</f>
        <v>0</v>
      </c>
    </row>
    <row r="266" outlineLevel="1">
      <c r="D266" t="str">
        <v>C1043 - NEO</v>
      </c>
      <c r="E266" s="2">
        <v>52738421</v>
      </c>
      <c r="F266" s="1">
        <v>46050</v>
      </c>
      <c r="G266" t="str">
        <v>Cancelado</v>
      </c>
      <c r="H266">
        <f>IF(OR(G266="Sin pagar",G266="Pagar"),NETWORKDAYS($J$114,F266,'Festivos Colombia'!$A$3:$A$22),0)</f>
        <v>0</v>
      </c>
      <c r="I266">
        <f>NETWORKDAYS($J$114,F266,'Festivos Colombia'!$A$3:$A$22)</f>
        <v>18</v>
      </c>
      <c r="J266" s="7">
        <f>H266</f>
        <v>0</v>
      </c>
    </row>
    <row r="267" outlineLevel="1">
      <c r="D267" t="str">
        <v>C1050 - HEMMERSBACH</v>
      </c>
      <c r="E267" s="2">
        <v>8685745</v>
      </c>
      <c r="F267" s="1">
        <v>46050</v>
      </c>
      <c r="G267" t="str">
        <v>Cancelado</v>
      </c>
      <c r="H267">
        <f>IF(OR(G267="Sin pagar",G267="Pagar"),NETWORKDAYS($J$114,F267,'Festivos Colombia'!$A$3:$A$22),0)</f>
        <v>0</v>
      </c>
      <c r="I267">
        <f>NETWORKDAYS($J$114,F267,'Festivos Colombia'!$A$3:$A$22)</f>
        <v>18</v>
      </c>
      <c r="J267" s="7">
        <f>H267</f>
        <v>0</v>
      </c>
    </row>
    <row r="268" outlineLevel="1">
      <c r="D268" t="str">
        <v>C1051 - YONYOU</v>
      </c>
      <c r="E268" s="2">
        <v>30910845</v>
      </c>
      <c r="F268" s="1">
        <v>46050</v>
      </c>
      <c r="G268" t="str">
        <v>Cancelado</v>
      </c>
      <c r="H268">
        <f>IF(OR(G268="Sin pagar",G268="Pagar"),NETWORKDAYS($J$114,F268,'Festivos Colombia'!$A$3:$A$22),0)</f>
        <v>0</v>
      </c>
      <c r="I268">
        <f>NETWORKDAYS($J$114,F268,'Festivos Colombia'!$A$3:$A$22)</f>
        <v>18</v>
      </c>
      <c r="J268" s="7">
        <f>H268</f>
        <v>0</v>
      </c>
    </row>
    <row r="269" outlineLevel="1">
      <c r="D269" t="str">
        <v>C1052 - BUBBLE BPM INC</v>
      </c>
      <c r="E269" s="2">
        <v>23575996</v>
      </c>
      <c r="F269" s="1">
        <v>46050</v>
      </c>
      <c r="G269" t="str">
        <v>Cancelado</v>
      </c>
      <c r="H269">
        <f>IF(OR(G269="Sin pagar",G269="Pagar"),NETWORKDAYS($J$114,F269,'Festivos Colombia'!$A$3:$A$22),0)</f>
        <v>0</v>
      </c>
      <c r="I269">
        <f>NETWORKDAYS($J$114,F269,'Festivos Colombia'!$A$3:$A$22)</f>
        <v>18</v>
      </c>
      <c r="J269" s="7">
        <f>H269</f>
        <v>0</v>
      </c>
    </row>
    <row r="270" outlineLevel="1">
      <c r="D270" t="str">
        <v>C1053 - GLOBAL EXPANSION</v>
      </c>
      <c r="E270" s="2">
        <v>3998700</v>
      </c>
      <c r="F270" s="1">
        <v>46050</v>
      </c>
      <c r="G270" t="str">
        <v>Cancelado</v>
      </c>
      <c r="H270">
        <f>IF(OR(G270="Sin pagar",G270="Pagar"),NETWORKDAYS($J$114,F270,'Festivos Colombia'!$A$3:$A$22),0)</f>
        <v>0</v>
      </c>
      <c r="I270">
        <f>NETWORKDAYS($J$114,F270,'Festivos Colombia'!$A$3:$A$22)</f>
        <v>18</v>
      </c>
      <c r="J270" s="7">
        <f>H270</f>
        <v>0</v>
      </c>
    </row>
    <row r="271" outlineLevel="1">
      <c r="D271" t="str">
        <v>C1055 - RIVERMATE</v>
      </c>
      <c r="E271" s="2">
        <v>52759167</v>
      </c>
      <c r="F271" s="1">
        <v>46050</v>
      </c>
      <c r="G271" t="str">
        <v>Cancelado</v>
      </c>
      <c r="H271">
        <f>IF(OR(G271="Sin pagar",G271="Pagar"),NETWORKDAYS($J$114,F271,'Festivos Colombia'!$A$3:$A$22),0)</f>
        <v>0</v>
      </c>
      <c r="I271">
        <f>NETWORKDAYS($J$114,F271,'Festivos Colombia'!$A$3:$A$22)</f>
        <v>18</v>
      </c>
      <c r="J271" s="7">
        <f>H271</f>
        <v>0</v>
      </c>
    </row>
    <row r="272" outlineLevel="1">
      <c r="D272" t="str">
        <v>C1056 - EUROPORTAGE</v>
      </c>
      <c r="E272" s="2">
        <v>31840815</v>
      </c>
      <c r="F272" s="1">
        <v>46050</v>
      </c>
      <c r="G272" t="str">
        <v>Cancelado</v>
      </c>
      <c r="H272">
        <f>IF(OR(G272="Sin pagar",G272="Pagar"),NETWORKDAYS($J$114,F272,'Festivos Colombia'!$A$3:$A$22),0)</f>
        <v>0</v>
      </c>
      <c r="I272">
        <f>NETWORKDAYS($J$114,F272,'Festivos Colombia'!$A$3:$A$22)</f>
        <v>18</v>
      </c>
      <c r="J272" s="7">
        <f>H272</f>
        <v>0</v>
      </c>
    </row>
    <row r="273" outlineLevel="1">
      <c r="D273" t="str">
        <v>C1058 - POC PHARMA</v>
      </c>
      <c r="E273" s="2">
        <v>3382000</v>
      </c>
      <c r="F273" s="1">
        <v>46050</v>
      </c>
      <c r="G273" t="str">
        <v>Cancelado</v>
      </c>
      <c r="H273">
        <f>IF(OR(G273="Sin pagar",G273="Pagar"),NETWORKDAYS($J$114,F273,'Festivos Colombia'!$A$3:$A$22),0)</f>
        <v>0</v>
      </c>
      <c r="I273">
        <f>NETWORKDAYS($J$114,F273,'Festivos Colombia'!$A$3:$A$22)</f>
        <v>18</v>
      </c>
      <c r="J273" s="7">
        <f>H273</f>
        <v>0</v>
      </c>
    </row>
    <row r="274" ht="14.25" customHeight="1" outlineLevel="1">
      <c r="A274" t="str">
        <f>G274</f>
        <v>Cancelado</v>
      </c>
      <c r="B274">
        <f>IF(I274&lt;=-1,1,IF(I274&lt;=5,2,IF(I274&lt;=15,3,IF(H274&lt;=60,4))))</f>
        <v>4</v>
      </c>
      <c r="C274" s="2" t="str">
        <v>1 registro</v>
      </c>
      <c r="D274" t="str">
        <v xml:space="preserve">Embargo Fabian Morales- Banco Agrario </v>
      </c>
      <c r="E274" s="2">
        <v>1027020</v>
      </c>
      <c r="F274" s="1">
        <v>46050</v>
      </c>
      <c r="G274" t="str">
        <v>Cancelado</v>
      </c>
      <c r="H274">
        <f>IF(OR(G274="Sin pagar",G274="Pagar"),NETWORKDAYS($J$114,F274,'Festivos Colombia'!$A$3:$A$22),0)</f>
        <v>0</v>
      </c>
      <c r="I274">
        <f>NETWORKDAYS($J$114,F274,'Festivos Colombia'!$A$3:$A$22)</f>
        <v>18</v>
      </c>
      <c r="J274" s="7">
        <f>H274</f>
        <v>0</v>
      </c>
    </row>
    <row r="275" outlineLevel="1">
      <c r="A275" t="str">
        <f>G275</f>
        <v>Cancelado</v>
      </c>
      <c r="B275">
        <f>IF(I275&lt;=-1,1,IF(I275&lt;=5,2,IF(I275&lt;=15,3,IF(H275&lt;=60,4))))</f>
        <v>4</v>
      </c>
      <c r="C275" t="str">
        <v>FPP443548</v>
      </c>
      <c r="D275" t="str">
        <v>People Pass bienestar, medios de transporte y alimentación</v>
      </c>
      <c r="E275" s="2">
        <v>13660409.89</v>
      </c>
      <c r="F275" s="1">
        <v>46050</v>
      </c>
      <c r="G275" t="str">
        <v>Cancelado</v>
      </c>
      <c r="H275">
        <f>IF(OR(G275="Sin pagar",G275="Pagar"),NETWORKDAYS($J$114,F275,'Festivos Colombia'!$A$3:$A$22),0)</f>
        <v>0</v>
      </c>
      <c r="I275">
        <f>NETWORKDAYS($J$114,F275,'Festivos Colombia'!$A$3:$A$22)</f>
        <v>18</v>
      </c>
      <c r="J275" s="7">
        <f>H275</f>
        <v>0</v>
      </c>
    </row>
    <row r="276" outlineLevel="1">
      <c r="A276" t="str">
        <f>G276</f>
        <v>Cancelado</v>
      </c>
      <c r="B276">
        <f>IF(I276&lt;=-1,1,IF(I276&lt;=5,2,IF(I276&lt;=15,3,IF(H276&lt;=60,4))))</f>
        <v>4</v>
      </c>
      <c r="C276" t="str">
        <v>FPP444211/444270</v>
      </c>
      <c r="D276" t="str">
        <v>People Pass Reembolso Gastos viajes - Carga Inicial personal Root capital</v>
      </c>
      <c r="E276" s="2">
        <v>4652414</v>
      </c>
      <c r="F276" s="1">
        <v>46051</v>
      </c>
      <c r="G276" t="str">
        <v>Cancelado</v>
      </c>
      <c r="H276">
        <f>IF(OR(G276="Sin pagar",G276="Pagar"),NETWORKDAYS($J$114,F276,'Festivos Colombia'!$A$3:$A$22),0)</f>
        <v>0</v>
      </c>
      <c r="I276">
        <f>NETWORKDAYS($J$114,F276,'Festivos Colombia'!$A$3:$A$22)</f>
        <v>19</v>
      </c>
      <c r="J276" s="7">
        <f>H276</f>
        <v>0</v>
      </c>
    </row>
    <row r="277" ht="14.25" customHeight="1" outlineLevel="1">
      <c r="A277" t="str">
        <f>G277</f>
        <v>Cancelado</v>
      </c>
      <c r="B277">
        <f>IF(I277&lt;=-1,1,IF(I277&lt;=5,2,IF(I277&lt;=15,3,IF(H277&lt;=60,4))))</f>
        <v>4</v>
      </c>
      <c r="C277" s="2" t="str">
        <v>18 registros</v>
      </c>
      <c r="D277" t="str">
        <v>Intereses censatías Insider</v>
      </c>
      <c r="E277" s="2">
        <v>25243289</v>
      </c>
      <c r="F277" s="1">
        <v>46052</v>
      </c>
      <c r="G277" t="str">
        <v>Cancelado</v>
      </c>
      <c r="H277">
        <f>IF(OR(G277="Sin pagar",G277="Pagar"),NETWORKDAYS($J$114,F277,'Festivos Colombia'!$A$3:$A$22),0)</f>
        <v>0</v>
      </c>
      <c r="I277">
        <f>NETWORKDAYS($J$114,F277,'Festivos Colombia'!$A$3:$A$22)</f>
        <v>20</v>
      </c>
      <c r="J277" s="7">
        <f>H277</f>
        <v>0</v>
      </c>
    </row>
    <row r="278" outlineLevel="1">
      <c r="D278" t="str">
        <v>C1029 - INSIDER-Nómina liquidado</v>
      </c>
      <c r="E278" s="2">
        <v>14779560</v>
      </c>
      <c r="F278" s="1">
        <v>46052</v>
      </c>
      <c r="G278" t="str">
        <v>Cancelado</v>
      </c>
      <c r="H278">
        <f>IF(OR(G278="Sin pagar",G278="Pagar"),NETWORKDAYS($J$114,F278,'Festivos Colombia'!$A$3:$A$22),0)</f>
        <v>0</v>
      </c>
      <c r="I278">
        <f>NETWORKDAYS($J$114,F278,'Festivos Colombia'!$A$3:$A$22)</f>
        <v>20</v>
      </c>
      <c r="J278" s="7">
        <f>H278</f>
        <v>0</v>
      </c>
    </row>
    <row r="279" outlineLevel="1">
      <c r="D279" t="str">
        <v xml:space="preserve">Ajuste nomina Viviana Guzman </v>
      </c>
      <c r="E279" s="2">
        <v>200000</v>
      </c>
      <c r="F279" s="1">
        <v>46055</v>
      </c>
      <c r="G279" t="str">
        <v>Cancelado</v>
      </c>
      <c r="H279">
        <f>IF(OR(G279="Sin pagar",G279="Pagar"),NETWORKDAYS($J$114,F279,'Festivos Colombia'!$A$3:$A$22),0)</f>
        <v>0</v>
      </c>
      <c r="I279">
        <f>NETWORKDAYS($J$114,F279,'Festivos Colombia'!$A$3:$A$22)</f>
        <v>21</v>
      </c>
      <c r="J279" s="7">
        <f>H279</f>
        <v>0</v>
      </c>
    </row>
    <row r="280" ht="15.75" customHeight="1" outlineLevel="1">
      <c r="C280" s="2" t="str">
        <v>24 registros</v>
      </c>
      <c r="D280" t="str">
        <v>C1029 - INSIDER</v>
      </c>
      <c r="E280" s="2">
        <v>404631264</v>
      </c>
      <c r="F280" s="1">
        <v>46056</v>
      </c>
      <c r="G280" t="str">
        <v>Cancelado</v>
      </c>
      <c r="H280">
        <f>IF(OR(G280="Sin pagar",G280="Pagar"),NETWORKDAYS($J$114,F280,'Festivos Colombia'!$A$3:$A$22),0)</f>
        <v>0</v>
      </c>
      <c r="I280">
        <f>NETWORKDAYS($J$114,F280,'Festivos Colombia'!$A$3:$A$22)</f>
        <v>22</v>
      </c>
      <c r="J280" s="7">
        <f>H280</f>
        <v>0</v>
      </c>
    </row>
    <row r="281" ht="16.5" customHeight="1">
      <c r="D281" t="str">
        <v xml:space="preserve">LIQUIDACIONES </v>
      </c>
      <c r="E281" s="2">
        <f>SUBTOTAL(9,E282:E294)</f>
        <v>109074796</v>
      </c>
    </row>
    <row r="282" outlineLevel="1">
      <c r="A282" t="e">
        <f>#REF!</f>
        <v>#REF!</v>
      </c>
      <c r="B282">
        <f>IF(I282&lt;=-1,1,IF(I282&lt;=5,2,IF(I282&lt;=15,3,IF(H282&lt;=60,4))))</f>
        <v>2</v>
      </c>
      <c r="D282" t="str">
        <v>Liquidación Isabel Aguirre Guarin-remofirst</v>
      </c>
      <c r="E282" s="2">
        <f>11757931*0</f>
        <v>0</v>
      </c>
      <c r="F282" s="1">
        <v>46027</v>
      </c>
      <c r="G282" t="str">
        <v>Cancelado</v>
      </c>
      <c r="H282">
        <f>IF(OR(G282="Sin pagar",G282="Pagar"),NETWORKDAYS($J$114,F282,'Festivos Colombia'!$A$3:$A$22),0)</f>
        <v>0</v>
      </c>
      <c r="I282">
        <f>NETWORKDAYS($J$114,F282,'Festivos Colombia'!$A$3:$A$22)</f>
        <v>2</v>
      </c>
      <c r="J282" s="7">
        <f>H282</f>
        <v>0</v>
      </c>
    </row>
    <row r="283" outlineLevel="1">
      <c r="A283" t="e">
        <f>#REF!</f>
        <v>#REF!</v>
      </c>
      <c r="B283">
        <f>IF(I283&lt;=-1,1,IF(I283&lt;=5,2,IF(I283&lt;=15,3,IF(H283&lt;=60,4))))</f>
        <v>2</v>
      </c>
      <c r="D283" t="str">
        <v>Liquidación Jonathan Novoa Cain -remofirst</v>
      </c>
      <c r="E283" s="2">
        <f>7988061*0</f>
        <v>0</v>
      </c>
      <c r="F283" s="1">
        <v>46027</v>
      </c>
      <c r="G283" t="str">
        <v>Cancelado</v>
      </c>
      <c r="H283">
        <f>IF(OR(G283="Sin pagar",G283="Pagar"),NETWORKDAYS($J$114,F283,'Festivos Colombia'!$A$3:$A$22),0)</f>
        <v>0</v>
      </c>
      <c r="I283">
        <f>NETWORKDAYS($J$114,F283,'Festivos Colombia'!$A$3:$A$22)</f>
        <v>2</v>
      </c>
      <c r="J283" s="7">
        <f>H283</f>
        <v>0</v>
      </c>
    </row>
    <row r="284" outlineLevel="1">
      <c r="A284" t="e">
        <f>#REF!</f>
        <v>#REF!</v>
      </c>
      <c r="B284">
        <f>IF(I284&lt;=-1,1,IF(I284&lt;=5,2,IF(I284&lt;=15,3,IF(H284&lt;=60,4))))</f>
        <v>3</v>
      </c>
      <c r="D284" t="str">
        <v>Liquidación Juan Felipe Rodriguez Alarcón</v>
      </c>
      <c r="E284" s="2">
        <v>7714654</v>
      </c>
      <c r="F284" s="1">
        <v>46035</v>
      </c>
      <c r="G284" t="str">
        <v>Cancelado</v>
      </c>
      <c r="H284">
        <f>IF(OR(G284="Sin pagar",G284="Pagar"),NETWORKDAYS($J$114,F284,'Festivos Colombia'!$A$3:$A$22),0)</f>
        <v>0</v>
      </c>
      <c r="I284">
        <f>NETWORKDAYS($J$114,F284,'Festivos Colombia'!$A$3:$A$22)</f>
        <v>7</v>
      </c>
      <c r="J284" s="7">
        <f>H284</f>
        <v>0</v>
      </c>
    </row>
    <row r="285" outlineLevel="1">
      <c r="A285" t="e">
        <f>#REF!</f>
        <v>#REF!</v>
      </c>
      <c r="B285">
        <f>IF(I285&lt;=-1,1,IF(I285&lt;=5,2,IF(I285&lt;=15,3,IF(H285&lt;=60,4))))</f>
        <v>3</v>
      </c>
      <c r="D285" t="str">
        <v>Liquidación Diana Marcela Hernandez Nieto -S&amp;P</v>
      </c>
      <c r="E285" s="2">
        <v>5791128</v>
      </c>
      <c r="F285" s="1">
        <v>46042</v>
      </c>
      <c r="G285" t="str">
        <v>Cancelado</v>
      </c>
      <c r="H285">
        <f>IF(OR(G285="Sin pagar",G285="Pagar"),NETWORKDAYS($J$114,F285,'Festivos Colombia'!$A$3:$A$22),0)</f>
        <v>0</v>
      </c>
      <c r="I285">
        <f>NETWORKDAYS($J$114,F285,'Festivos Colombia'!$A$3:$A$22)</f>
        <v>12</v>
      </c>
      <c r="J285" s="7">
        <f>H285</f>
        <v>0</v>
      </c>
    </row>
    <row r="286" outlineLevel="1">
      <c r="A286" t="e">
        <f>#REF!</f>
        <v>#REF!</v>
      </c>
      <c r="B286">
        <f>IF(I286&lt;=-1,1,IF(I286&lt;=5,2,IF(I286&lt;=15,3,IF(H286&lt;=60,4))))</f>
        <v>3</v>
      </c>
      <c r="D286" t="str">
        <v>Liquidación Lina Marcela Chinome Guio  -S&amp;P</v>
      </c>
      <c r="E286" s="2">
        <v>1952947</v>
      </c>
      <c r="F286" s="1">
        <v>46042</v>
      </c>
      <c r="G286" t="str">
        <v>Cancelado</v>
      </c>
      <c r="H286">
        <f>IF(OR(G286="Sin pagar",G286="Pagar"),NETWORKDAYS($J$114,F286,'Festivos Colombia'!$A$3:$A$22),0)</f>
        <v>0</v>
      </c>
      <c r="I286">
        <f>NETWORKDAYS($J$114,F286,'Festivos Colombia'!$A$3:$A$22)</f>
        <v>12</v>
      </c>
      <c r="J286" s="7">
        <f>H286</f>
        <v>0</v>
      </c>
    </row>
    <row r="287" outlineLevel="1">
      <c r="A287" t="e">
        <f>#REF!</f>
        <v>#REF!</v>
      </c>
      <c r="B287">
        <f>IF(I287&lt;=-1,1,IF(I287&lt;=5,2,IF(I287&lt;=15,3,IF(H287&lt;=60,4))))</f>
        <v>4</v>
      </c>
      <c r="D287" t="str">
        <v>Liquidación Susana Cano Alvarez -remofirst</v>
      </c>
      <c r="E287" s="2">
        <v>25811773</v>
      </c>
      <c r="F287" s="1">
        <v>46050</v>
      </c>
      <c r="G287" t="str">
        <v>Cancelado</v>
      </c>
      <c r="H287">
        <f>IF(OR(G287="Sin pagar",G287="Pagar"),NETWORKDAYS($J$114,F287,'Festivos Colombia'!$A$3:$A$22),0)</f>
        <v>0</v>
      </c>
      <c r="I287">
        <f>NETWORKDAYS($J$114,F287,'Festivos Colombia'!$A$3:$A$22)</f>
        <v>18</v>
      </c>
      <c r="J287" s="7">
        <f>H287</f>
        <v>0</v>
      </c>
    </row>
    <row r="288" outlineLevel="1">
      <c r="A288" t="e">
        <f>#REF!</f>
        <v>#REF!</v>
      </c>
      <c r="B288">
        <f>IF(I288&lt;=-1,1,IF(I288&lt;=5,2,IF(I288&lt;=15,3,IF(H288&lt;=60,4))))</f>
        <v>4</v>
      </c>
      <c r="D288" t="str">
        <v>Liquidación Lady Tatiana Ballesteros Zuleta-remofirst</v>
      </c>
      <c r="E288" s="2">
        <v>122093</v>
      </c>
      <c r="F288" s="1">
        <v>46050</v>
      </c>
      <c r="G288" t="str">
        <v>Cancelado</v>
      </c>
      <c r="H288">
        <f>IF(OR(G288="Sin pagar",G288="Pagar"),NETWORKDAYS($J$114,F288,'Festivos Colombia'!$A$3:$A$22),0)</f>
        <v>0</v>
      </c>
      <c r="I288">
        <f>NETWORKDAYS($J$114,F288,'Festivos Colombia'!$A$3:$A$22)</f>
        <v>18</v>
      </c>
      <c r="J288" s="7">
        <f>H288</f>
        <v>0</v>
      </c>
    </row>
    <row r="289" outlineLevel="1">
      <c r="A289" t="e">
        <f>#REF!</f>
        <v>#REF!</v>
      </c>
      <c r="B289">
        <f>IF(I289&lt;=-1,1,IF(I289&lt;=5,2,IF(I289&lt;=15,3,IF(H289&lt;=60,4))))</f>
        <v>4</v>
      </c>
      <c r="D289" t="str">
        <v>Liquidación Jesus Dair Yanes Espitia-remofirst</v>
      </c>
      <c r="E289" s="2">
        <v>661046</v>
      </c>
      <c r="F289" s="1">
        <v>46052</v>
      </c>
      <c r="G289" t="str">
        <v>Cancelado</v>
      </c>
      <c r="H289">
        <f>IF(OR(G289="Sin pagar",G289="Pagar"),NETWORKDAYS($J$114,F289,'Festivos Colombia'!$A$3:$A$22),0)</f>
        <v>0</v>
      </c>
      <c r="I289">
        <f>NETWORKDAYS($J$114,F289,'Festivos Colombia'!$A$3:$A$22)</f>
        <v>20</v>
      </c>
      <c r="J289" s="7">
        <f>H289</f>
        <v>0</v>
      </c>
    </row>
    <row r="290" outlineLevel="1">
      <c r="A290" t="e">
        <f>#REF!</f>
        <v>#REF!</v>
      </c>
      <c r="B290">
        <f>IF(I290&lt;=-1,1,IF(I290&lt;=5,2,IF(I290&lt;=15,3,IF(H290&lt;=60,4))))</f>
        <v>4</v>
      </c>
      <c r="D290" t="str">
        <v>Liquidación Juan José Cano Solorzano  -remofirst</v>
      </c>
      <c r="E290" s="2">
        <v>5999131</v>
      </c>
      <c r="F290" s="1">
        <v>46052</v>
      </c>
      <c r="G290" t="str">
        <v>Cancelado</v>
      </c>
      <c r="H290">
        <f>IF(OR(G290="Sin pagar",G290="Pagar"),NETWORKDAYS($J$114,F290,'Festivos Colombia'!$A$3:$A$22),0)</f>
        <v>0</v>
      </c>
      <c r="I290">
        <f>NETWORKDAYS($J$114,F290,'Festivos Colombia'!$A$3:$A$22)</f>
        <v>20</v>
      </c>
      <c r="J290" s="7">
        <f>H290</f>
        <v>0</v>
      </c>
    </row>
    <row r="291" outlineLevel="1">
      <c r="A291" t="e">
        <f>#REF!</f>
        <v>#REF!</v>
      </c>
      <c r="B291">
        <f>IF(I291&lt;=-1,1,IF(I291&lt;=5,2,IF(I291&lt;=15,3,IF(H291&lt;=60,4))))</f>
        <v>4</v>
      </c>
      <c r="D291" t="str">
        <v>Liquidación Kelvin Jetse Marquez Castillo -Insider</v>
      </c>
      <c r="E291" s="2">
        <v>9285137</v>
      </c>
      <c r="F291" s="1">
        <v>46052</v>
      </c>
      <c r="G291" t="str">
        <v>Cancelado</v>
      </c>
      <c r="H291">
        <f>IF(OR(G291="Sin pagar",G291="Pagar"),NETWORKDAYS($J$114,F291,'Festivos Colombia'!$A$3:$A$22),0)</f>
        <v>0</v>
      </c>
      <c r="I291">
        <f>NETWORKDAYS($J$114,F291,'Festivos Colombia'!$A$3:$A$22)</f>
        <v>20</v>
      </c>
      <c r="J291" s="7">
        <f>H291</f>
        <v>0</v>
      </c>
    </row>
    <row r="292" outlineLevel="1">
      <c r="A292" t="e">
        <f>#REF!</f>
        <v>#REF!</v>
      </c>
      <c r="B292">
        <f>IF(I292&lt;=-1,1,IF(I292&lt;=5,2,IF(I292&lt;=15,3,IF(H292&lt;=60,4))))</f>
        <v>4</v>
      </c>
      <c r="D292" t="str">
        <v>Liquidación Nelson Daynel Marquez castillo  -Insider</v>
      </c>
      <c r="E292" s="2">
        <v>13535015</v>
      </c>
      <c r="F292" s="1">
        <v>46052</v>
      </c>
      <c r="G292" t="str">
        <v>Cancelado</v>
      </c>
      <c r="H292">
        <f>IF(OR(G292="Sin pagar",G292="Pagar"),NETWORKDAYS($J$114,F292,'Festivos Colombia'!$A$3:$A$22),0)</f>
        <v>0</v>
      </c>
      <c r="I292">
        <f>NETWORKDAYS($J$114,F292,'Festivos Colombia'!$A$3:$A$22)</f>
        <v>20</v>
      </c>
      <c r="J292" s="7">
        <f>H292</f>
        <v>0</v>
      </c>
    </row>
    <row r="293" outlineLevel="1">
      <c r="A293" t="e">
        <f>#REF!</f>
        <v>#REF!</v>
      </c>
      <c r="B293">
        <f>IF(I293&lt;=-1,1,IF(I293&lt;=5,2,IF(I293&lt;=15,3,IF(H293&lt;=60,4))))</f>
        <v>4</v>
      </c>
      <c r="D293" t="str">
        <v>Liquidación Daniel Ricardo Cifuentes bohorquez  -Insider</v>
      </c>
      <c r="E293" s="2">
        <v>19626721</v>
      </c>
      <c r="F293" s="1">
        <v>46052</v>
      </c>
      <c r="G293" t="str">
        <v>Cancelado</v>
      </c>
      <c r="H293">
        <f>IF(OR(G293="Sin pagar",G293="Pagar"),NETWORKDAYS($J$114,F293,'Festivos Colombia'!$A$3:$A$22),0)</f>
        <v>0</v>
      </c>
      <c r="I293">
        <f>NETWORKDAYS($J$114,F293,'Festivos Colombia'!$A$3:$A$22)</f>
        <v>20</v>
      </c>
      <c r="J293" s="7">
        <f>H293</f>
        <v>0</v>
      </c>
    </row>
    <row r="294" ht="15.75" customHeight="1" outlineLevel="1">
      <c r="A294" t="e">
        <f>#REF!</f>
        <v>#REF!</v>
      </c>
      <c r="B294">
        <f>IF(I294&lt;=-1,1,IF(I294&lt;=5,2,IF(I294&lt;=15,3,IF(H294&lt;=60,4))))</f>
        <v>4</v>
      </c>
      <c r="D294" t="str">
        <v>Liquidación Jonathan Arley Acero Florez -Insider</v>
      </c>
      <c r="E294" s="2">
        <v>18575151</v>
      </c>
      <c r="F294" s="1">
        <v>46052</v>
      </c>
      <c r="G294" t="str">
        <v>Cancelado</v>
      </c>
      <c r="H294">
        <f>IF(OR(G294="Sin pagar",G294="Pagar"),NETWORKDAYS($J$114,F294,'Festivos Colombia'!$A$3:$A$22),0)</f>
        <v>0</v>
      </c>
      <c r="I294">
        <f>NETWORKDAYS($J$114,F294,'Festivos Colombia'!$A$3:$A$22)</f>
        <v>20</v>
      </c>
      <c r="J294" s="7">
        <f>H294</f>
        <v>0</v>
      </c>
    </row>
    <row r="295" ht="16.5" customHeight="1">
      <c r="D295" t="str">
        <v>IMPREVISTO</v>
      </c>
      <c r="E295" s="2">
        <f>SUBTOTAL(9,E296:E312)</f>
        <v>18377275.7</v>
      </c>
    </row>
    <row r="296" ht="15" customHeight="1" outlineLevel="1">
      <c r="A296" t="str">
        <f>G296</f>
        <v>Cancelado</v>
      </c>
      <c r="B296">
        <f>IF(I296&lt;=-1,1,IF(I296&lt;=5,2,IF(I296&lt;=15,3,IF(H296&lt;=60,4))))</f>
        <v>2</v>
      </c>
      <c r="D296" t="str">
        <v>Reembolso gastos Sandra Bello</v>
      </c>
      <c r="E296" s="2">
        <v>197300</v>
      </c>
      <c r="F296" s="1">
        <v>46029</v>
      </c>
      <c r="G296" t="str">
        <v>Cancelado</v>
      </c>
      <c r="H296">
        <f>IF(OR(G296="Sin pagar",G296="Pagar"),NETWORKDAYS($J$114,F296,'Festivos Colombia'!$A$3:$A$22),0)</f>
        <v>0</v>
      </c>
      <c r="I296">
        <f>NETWORKDAYS($J$114,F296,'Festivos Colombia'!$A$3:$A$22)</f>
        <v>4</v>
      </c>
      <c r="J296" s="7">
        <f>H296</f>
        <v>0</v>
      </c>
    </row>
    <row r="297" ht="15" customHeight="1" outlineLevel="1">
      <c r="A297" t="str">
        <f>G297</f>
        <v>Cancelado</v>
      </c>
      <c r="B297">
        <f>IF(I297&lt;=-1,1,IF(I297&lt;=5,2,IF(I297&lt;=15,3,IF(H297&lt;=60,4))))</f>
        <v>2</v>
      </c>
      <c r="D297" t="str">
        <v>Pago Anexo póliza de contrato Petrobras Seguros Mundial</v>
      </c>
      <c r="E297" s="2">
        <v>30934.05</v>
      </c>
      <c r="F297" s="1">
        <v>46030</v>
      </c>
      <c r="G297" t="str">
        <v>Cancelado</v>
      </c>
      <c r="H297">
        <f>IF(OR(G297="Sin pagar",G297="Pagar"),NETWORKDAYS($J$114,F297,'Festivos Colombia'!$A$3:$A$22),0)</f>
        <v>0</v>
      </c>
      <c r="I297">
        <f>NETWORKDAYS($J$114,F297,'Festivos Colombia'!$A$3:$A$22)</f>
        <v>5</v>
      </c>
      <c r="J297" s="7">
        <f>H297</f>
        <v>0</v>
      </c>
    </row>
    <row r="298" ht="15" customHeight="1" outlineLevel="1">
      <c r="A298" t="str">
        <f>G298</f>
        <v>Cancelado</v>
      </c>
      <c r="B298">
        <f>IF(I298&lt;=-1,1,IF(I298&lt;=5,2,IF(I298&lt;=15,3,IF(H298&lt;=60,4))))</f>
        <v>3</v>
      </c>
      <c r="D298" t="str">
        <v>Reembolso gastos Luisa Diaz pago Linkedln del 20 diciembre</v>
      </c>
      <c r="E298" s="2">
        <v>417960.65</v>
      </c>
      <c r="F298" s="1">
        <v>46031</v>
      </c>
      <c r="G298" t="str">
        <v>Cancelado</v>
      </c>
      <c r="H298">
        <f>IF(OR(G298="Sin pagar",G298="Pagar"),NETWORKDAYS($J$114,F298,'Festivos Colombia'!$A$3:$A$22),0)</f>
        <v>0</v>
      </c>
      <c r="I298">
        <f>NETWORKDAYS($J$114,F298,'Festivos Colombia'!$A$3:$A$22)</f>
        <v>6</v>
      </c>
      <c r="J298" s="7">
        <f>H298</f>
        <v>0</v>
      </c>
    </row>
    <row r="299" ht="15" customHeight="1" outlineLevel="1">
      <c r="A299" t="str">
        <f>G299</f>
        <v>Cancelado</v>
      </c>
      <c r="B299">
        <f>IF(I299&lt;=-1,1,IF(I299&lt;=5,2,IF(I299&lt;=15,3,IF(H299&lt;=60,4))))</f>
        <v>3</v>
      </c>
      <c r="D299" t="str">
        <v>Préstamo Viviana Guzman</v>
      </c>
      <c r="E299" s="2">
        <v>2000000</v>
      </c>
      <c r="F299" s="1">
        <v>46031</v>
      </c>
      <c r="G299" t="str">
        <v>Cancelado</v>
      </c>
      <c r="H299">
        <f>IF(OR(G299="Sin pagar",G299="Pagar"),NETWORKDAYS($J$114,F299,'Festivos Colombia'!$A$3:$A$22),0)</f>
        <v>0</v>
      </c>
      <c r="I299">
        <f>NETWORKDAYS($J$114,F299,'Festivos Colombia'!$A$3:$A$22)</f>
        <v>6</v>
      </c>
      <c r="J299" s="7">
        <f>H299</f>
        <v>0</v>
      </c>
    </row>
    <row r="300" ht="15" customHeight="1" outlineLevel="1">
      <c r="A300" t="str">
        <f>G300</f>
        <v>Cancelado</v>
      </c>
      <c r="B300">
        <f>IF(I300&lt;=-1,1,IF(I300&lt;=5,2,IF(I300&lt;=15,3,IF(H300&lt;=60,4))))</f>
        <v>3</v>
      </c>
      <c r="D300" t="str">
        <v>Pago excedente registro acta nombramiento revisor fiscal</v>
      </c>
      <c r="E300" s="2">
        <v>8000</v>
      </c>
      <c r="F300" s="1">
        <v>46031</v>
      </c>
      <c r="G300" t="str">
        <v>Cancelado</v>
      </c>
      <c r="H300">
        <f>IF(OR(G300="Sin pagar",G300="Pagar"),NETWORKDAYS($J$114,F300,'Festivos Colombia'!$A$3:$A$22),0)</f>
        <v>0</v>
      </c>
      <c r="I300">
        <f>NETWORKDAYS($J$114,F300,'Festivos Colombia'!$A$3:$A$22)</f>
        <v>6</v>
      </c>
      <c r="J300" s="7">
        <f>H300</f>
        <v>0</v>
      </c>
    </row>
    <row r="301" ht="15" customHeight="1" outlineLevel="1">
      <c r="A301" t="str">
        <f>G301</f>
        <v>Cancelado</v>
      </c>
      <c r="B301">
        <f>IF(I301&lt;=-1,1,IF(I301&lt;=5,2,IF(I301&lt;=15,3,IF(H301&lt;=60,4))))</f>
        <v>3</v>
      </c>
      <c r="C301" s="4" t="str">
        <v>9753257</v>
      </c>
      <c r="D301" t="str">
        <v>Solicitud camara y comercio de S&amp;P</v>
      </c>
      <c r="E301" s="2">
        <v>12100</v>
      </c>
      <c r="F301" s="1">
        <v>46036</v>
      </c>
      <c r="G301" t="str">
        <v>Cancelado</v>
      </c>
      <c r="H301">
        <f>IF(OR(G301="Sin pagar",G301="Pagar"),NETWORKDAYS($J$114,F301,'Festivos Colombia'!$A$3:$A$22),0)</f>
        <v>0</v>
      </c>
      <c r="I301">
        <f>NETWORKDAYS($J$114,F301,'Festivos Colombia'!$A$3:$A$22)</f>
        <v>8</v>
      </c>
      <c r="J301" s="7">
        <f>H301</f>
        <v>0</v>
      </c>
    </row>
    <row r="302" ht="15" customHeight="1" outlineLevel="1">
      <c r="A302" t="str">
        <f>G302</f>
        <v>Cancelado</v>
      </c>
      <c r="B302">
        <f>IF(I302&lt;=-1,1,IF(I302&lt;=5,2,IF(I302&lt;=15,3,IF(H302&lt;=60,4))))</f>
        <v>3</v>
      </c>
      <c r="C302" s="4" t="str">
        <v>9778387</v>
      </c>
      <c r="D302" t="str">
        <v>Solicitud camara y comercio de S&amp;P</v>
      </c>
      <c r="E302" s="2">
        <v>12100</v>
      </c>
      <c r="F302" s="1">
        <v>46041</v>
      </c>
      <c r="G302" t="str">
        <v>Cancelado</v>
      </c>
      <c r="H302">
        <f>IF(OR(G302="Sin pagar",G302="Pagar"),NETWORKDAYS($J$114,F302,'Festivos Colombia'!$A$3:$A$22),0)</f>
        <v>0</v>
      </c>
      <c r="I302">
        <f>NETWORKDAYS($J$114,F302,'Festivos Colombia'!$A$3:$A$22)</f>
        <v>11</v>
      </c>
      <c r="J302" s="7">
        <f>H302</f>
        <v>0</v>
      </c>
    </row>
    <row r="303" ht="15.75" customHeight="1" outlineLevel="1">
      <c r="A303" t="str">
        <f>G303</f>
        <v>Cancelado</v>
      </c>
      <c r="B303">
        <f>IF(I303&lt;=-1,1,IF(I303&lt;=5,2,IF(I303&lt;=15,3,IF(H303&lt;=60,4))))</f>
        <v>3</v>
      </c>
      <c r="D303" t="str">
        <v>Recarga Mensajeros Urbanos</v>
      </c>
      <c r="E303" s="2">
        <v>300000</v>
      </c>
      <c r="F303" s="1">
        <v>46036</v>
      </c>
      <c r="G303" t="str">
        <v>Cancelado</v>
      </c>
      <c r="H303">
        <f>IF(OR(G303="Sin pagar",G303="Pagar"),NETWORKDAYS($J$114,F303,'Festivos Colombia'!$A$3:$A$22),0)</f>
        <v>0</v>
      </c>
      <c r="I303">
        <f>NETWORKDAYS($J$114,F303,'Festivos Colombia'!$A$3:$A$22)</f>
        <v>8</v>
      </c>
      <c r="J303" s="7">
        <f>H303</f>
        <v>0</v>
      </c>
    </row>
    <row r="304" ht="15.75" customHeight="1" outlineLevel="1">
      <c r="A304" t="str">
        <f>G304</f>
        <v>Cancelado</v>
      </c>
      <c r="B304">
        <f>IF(I304&lt;=-1,1,IF(I304&lt;=5,2,IF(I304&lt;=15,3,IF(H304&lt;=60,4))))</f>
        <v>3</v>
      </c>
      <c r="C304" s="4" t="str">
        <v>CRA2960458</v>
      </c>
      <c r="D304" t="str">
        <v>Pago envio DHL casa Yadira Pineda a Panamá</v>
      </c>
      <c r="E304" s="2">
        <v>195543</v>
      </c>
      <c r="F304" s="1">
        <v>46041</v>
      </c>
      <c r="G304" t="str">
        <v>Cancelado</v>
      </c>
      <c r="H304">
        <f>IF(OR(G304="Sin pagar",G304="Pagar"),NETWORKDAYS($J$114,F304,'Festivos Colombia'!$A$3:$A$22),0)</f>
        <v>0</v>
      </c>
      <c r="I304">
        <f>NETWORKDAYS($J$114,F304,'Festivos Colombia'!$A$3:$A$22)</f>
        <v>11</v>
      </c>
      <c r="J304" s="7">
        <f>H304</f>
        <v>0</v>
      </c>
    </row>
    <row r="305" ht="15.75" customHeight="1" outlineLevel="1">
      <c r="A305" t="str">
        <f>G305</f>
        <v>Cancelado</v>
      </c>
      <c r="B305">
        <f>IF(I305&lt;=-1,1,IF(I305&lt;=5,2,IF(I305&lt;=15,3,IF(H305&lt;=60,4))))</f>
        <v>3</v>
      </c>
      <c r="D305" t="str">
        <v>Par servicios</v>
      </c>
      <c r="E305" s="2">
        <v>586432</v>
      </c>
      <c r="F305" s="1">
        <v>46042</v>
      </c>
      <c r="G305" t="str">
        <v>Cancelado</v>
      </c>
      <c r="H305">
        <f>IF(OR(G305="Sin pagar",G305="Pagar"),NETWORKDAYS($J$114,F305,'Festivos Colombia'!$A$3:$A$22),0)</f>
        <v>0</v>
      </c>
      <c r="I305">
        <f>NETWORKDAYS($J$114,F305,'Festivos Colombia'!$A$3:$A$22)</f>
        <v>12</v>
      </c>
      <c r="J305" s="7">
        <f>H305</f>
        <v>0</v>
      </c>
    </row>
    <row r="306" ht="15.75" customHeight="1" outlineLevel="1">
      <c r="A306" t="str">
        <f>G306</f>
        <v>Cancelado</v>
      </c>
      <c r="B306">
        <f>IF(I306&lt;=-1,1,IF(I306&lt;=5,2,IF(I306&lt;=15,3,IF(H306&lt;=60,4))))</f>
        <v>3</v>
      </c>
      <c r="C306" t="str">
        <v>CALL 21071</v>
      </c>
      <c r="D306" t="str">
        <v xml:space="preserve">Compra Monitor Colaborador Victor Bustamante </v>
      </c>
      <c r="E306" s="2">
        <v>415000</v>
      </c>
      <c r="F306" s="1">
        <v>46042</v>
      </c>
      <c r="G306" t="str">
        <v>Cancelado</v>
      </c>
      <c r="H306">
        <f>IF(OR(G306="Sin pagar",G306="Pagar"),NETWORKDAYS($J$114,F306,'Festivos Colombia'!$A$3:$A$22),0)</f>
        <v>0</v>
      </c>
      <c r="I306">
        <f>NETWORKDAYS($J$114,F306,'Festivos Colombia'!$A$3:$A$22)</f>
        <v>12</v>
      </c>
      <c r="J306" s="7">
        <f>H306</f>
        <v>0</v>
      </c>
    </row>
    <row r="307" ht="15.75" customHeight="1" outlineLevel="1">
      <c r="A307" t="str">
        <f>G307</f>
        <v>Cancelado</v>
      </c>
      <c r="B307">
        <f>IF(I307&lt;=-1,1,IF(I307&lt;=5,2,IF(I307&lt;=15,3,IF(H307&lt;=60,4))))</f>
        <v>3</v>
      </c>
      <c r="D307" t="str">
        <v>Pago Tajeta de presentación  William Romero</v>
      </c>
      <c r="E307" s="2">
        <v>141491</v>
      </c>
      <c r="F307" s="1">
        <v>46042</v>
      </c>
      <c r="G307" t="str">
        <v>Cancelado</v>
      </c>
      <c r="H307">
        <f>IF(OR(G307="Sin pagar",G307="Pagar"),NETWORKDAYS($J$114,F307,'Festivos Colombia'!$A$3:$A$22),0)</f>
        <v>0</v>
      </c>
      <c r="I307">
        <f>NETWORKDAYS($J$114,F307,'Festivos Colombia'!$A$3:$A$22)</f>
        <v>12</v>
      </c>
      <c r="J307" s="7">
        <f>H307</f>
        <v>0</v>
      </c>
    </row>
    <row r="308" ht="15.75" customHeight="1" outlineLevel="1">
      <c r="A308" t="str">
        <f>G308</f>
        <v>Cancelado</v>
      </c>
      <c r="B308">
        <f>IF(I308&lt;=-1,1,IF(I308&lt;=5,2,IF(I308&lt;=15,3,IF(H308&lt;=60,4))))</f>
        <v>3</v>
      </c>
      <c r="D308" t="str">
        <v>Pago visa para Halja Pilvisto</v>
      </c>
      <c r="E308" s="2">
        <v>1039500</v>
      </c>
      <c r="F308" s="1">
        <v>46044</v>
      </c>
      <c r="G308" t="str">
        <v>Cancelado</v>
      </c>
      <c r="H308">
        <f>IF(OR(G308="Sin pagar",G308="Pagar"),NETWORKDAYS($J$114,F308,'Festivos Colombia'!$A$3:$A$22),0)</f>
        <v>0</v>
      </c>
      <c r="I308">
        <f>NETWORKDAYS($J$114,F308,'Festivos Colombia'!$A$3:$A$22)</f>
        <v>14</v>
      </c>
      <c r="J308" s="7">
        <f>H308</f>
        <v>0</v>
      </c>
    </row>
    <row r="309" ht="15" customHeight="1" outlineLevel="1">
      <c r="A309" t="str">
        <f>G309</f>
        <v>Cancelado</v>
      </c>
      <c r="B309">
        <f>IF(I309&lt;=-1,1,IF(I309&lt;=5,2,IF(I309&lt;=15,3,IF(H309&lt;=60,4))))</f>
        <v>4</v>
      </c>
      <c r="D309" t="str">
        <v>Envio de dinero a cuenta BAC panama para fondeo USD 750 y prestamo Nomina global PA USD 2000</v>
      </c>
      <c r="E309" s="2">
        <v>10760100</v>
      </c>
      <c r="F309" s="1">
        <v>46048</v>
      </c>
      <c r="G309" t="str">
        <v>Cancelado</v>
      </c>
      <c r="H309">
        <f>IF(OR(G309="Sin pagar",G309="Pagar"),NETWORKDAYS($J$114,F309,'Festivos Colombia'!$A$3:$A$22),0)</f>
        <v>0</v>
      </c>
      <c r="I309">
        <f>NETWORKDAYS($J$114,F309,'Festivos Colombia'!$A$3:$A$22)</f>
        <v>16</v>
      </c>
      <c r="J309" s="7">
        <f>H309</f>
        <v>0</v>
      </c>
    </row>
    <row r="310" ht="15" customHeight="1" outlineLevel="1">
      <c r="D310" t="str">
        <v>Pago estudio de visa Bernhard Laugallies - Europortage</v>
      </c>
      <c r="E310" s="2">
        <v>207900</v>
      </c>
      <c r="F310" s="1">
        <v>46049</v>
      </c>
      <c r="G310" t="str">
        <v>Cancelado</v>
      </c>
    </row>
    <row r="311" ht="15" customHeight="1" outlineLevel="1">
      <c r="A311" t="str">
        <f>G311</f>
        <v>Cancelado</v>
      </c>
      <c r="B311">
        <f>IF(I311&lt;=-1,1,IF(I311&lt;=5,2,IF(I311&lt;=15,3,IF(H311&lt;=60,4))))</f>
        <v>4</v>
      </c>
      <c r="C311" s="4" t="str">
        <v>9830901</v>
      </c>
      <c r="D311" t="str">
        <v>Solicitud camara y comercio de S&amp;P</v>
      </c>
      <c r="E311" s="2">
        <v>12100</v>
      </c>
      <c r="F311" s="1">
        <v>46050</v>
      </c>
      <c r="G311" t="str">
        <v>Cancelado</v>
      </c>
      <c r="H311">
        <f>IF(OR(G311="Sin pagar",G311="Pagar"),NETWORKDAYS($J$114,F311,'Festivos Colombia'!$A$3:$A$22),0)</f>
        <v>0</v>
      </c>
      <c r="I311">
        <f>NETWORKDAYS($J$114,F311,'Festivos Colombia'!$A$3:$A$22)</f>
        <v>18</v>
      </c>
      <c r="J311" s="7">
        <f>H311</f>
        <v>0</v>
      </c>
    </row>
    <row r="312" ht="15.75" customHeight="1" outlineLevel="1">
      <c r="A312" t="str">
        <f>G312</f>
        <v>Cancelado</v>
      </c>
      <c r="B312">
        <f>IF(I312&lt;=-1,1,IF(I312&lt;=5,2,IF(I312&lt;=15,3,IF(H312&lt;=60,4))))</f>
        <v>4</v>
      </c>
      <c r="C312" s="4" t="str">
        <v>FO-GC-PP-001</v>
      </c>
      <c r="D312" t="str">
        <v>Donación de cuadernos</v>
      </c>
      <c r="E312" s="2">
        <v>2040815</v>
      </c>
      <c r="F312" s="1">
        <v>46050</v>
      </c>
      <c r="G312" t="str">
        <v>Cancelado</v>
      </c>
      <c r="H312">
        <f>IF(OR(G312="Sin pagar",G312="Pagar"),NETWORKDAYS($J$114,F312,'Festivos Colombia'!$A$3:$A$22),0)</f>
        <v>0</v>
      </c>
      <c r="I312">
        <f>NETWORKDAYS($J$114,F312,'Festivos Colombia'!$A$3:$A$22)</f>
        <v>18</v>
      </c>
      <c r="J312" s="7">
        <f>H312</f>
        <v>0</v>
      </c>
    </row>
    <row r="313" ht="14.25" customHeight="1">
      <c r="D313" t="str">
        <v>TOTAL EGRESOS</v>
      </c>
      <c r="E313" s="2">
        <f>SUBTOTAL(9,E116:E312)</f>
        <v>2644604723.7284007</v>
      </c>
    </row>
    <row r="314" ht="15.75" customHeight="1"/>
    <row r="315" ht="15.75" customHeight="1">
      <c r="D315" t="str">
        <v>SALDO</v>
      </c>
      <c r="E315" s="2">
        <f>E111-E313</f>
        <v>62149996.55606985</v>
      </c>
    </row>
    <row r="316" ht="15.75" customHeight="1">
      <c r="D316" t="str">
        <v xml:space="preserve">% </v>
      </c>
      <c r="E316" s="8">
        <f>IF($E$111=0,0,E315/$E$111)</f>
        <v>0.02296107441517202</v>
      </c>
    </row>
    <row r="317" ht="15.75" customHeight="1"/>
    <row r="318" ht="15.75" customHeight="1">
      <c r="D318" t="str">
        <v>Nombre</v>
      </c>
    </row>
    <row r="319">
      <c r="D319" t="str">
        <v>Jerson Porras -Tarjeta 7</v>
      </c>
      <c r="E319" s="2" t="str">
        <v>Carestream</v>
      </c>
    </row>
    <row r="320">
      <c r="D320" t="str">
        <v>Monica Fabiana Hernandez Pinto - Tarjeta 8</v>
      </c>
      <c r="E320" s="2" t="str">
        <v>Root capital</v>
      </c>
    </row>
    <row r="322"/>
    <row r="323" ht="5.25" customHeight="1"/>
    <row r="324">
      <c r="D324" s="9" t="str">
        <v>Pagos del 01 al 31 enero</v>
      </c>
      <c r="E324" s="2">
        <v>0</v>
      </c>
    </row>
    <row r="325" ht="15.75" customHeight="1">
      <c r="D325" t="str">
        <v xml:space="preserve">4 x mil </v>
      </c>
      <c r="E325" s="2">
        <f>(E324*4)/1000</f>
        <v>0</v>
      </c>
    </row>
    <row r="326" ht="15.75" customHeight="1">
      <c r="D326" t="str">
        <v>Gran total</v>
      </c>
      <c r="E326" s="2">
        <f>E324+E325</f>
        <v>0</v>
      </c>
    </row>
    <row r="327"/>
    <row r="328"/>
    <row r="329">
      <c r="D329" t="str">
        <v>BBVA 05/02/2026</v>
      </c>
      <c r="E329" s="2">
        <v>234217.08</v>
      </c>
    </row>
    <row r="330" ht="15.75" customHeight="1">
      <c r="D330" s="1" t="str">
        <v>Bancolombia  05/02/2026</v>
      </c>
      <c r="E330" s="2">
        <f>63792408-1876629</f>
        <v>61915779</v>
      </c>
      <c r="K330" s="2">
        <f>63792408+768453995+68008797</f>
        <v>900255200</v>
      </c>
    </row>
    <row r="331" ht="15.75" customHeight="1">
      <c r="D331" t="str">
        <v xml:space="preserve">Total Caja </v>
      </c>
      <c r="E331" s="2">
        <f>SUM(E329:E330)</f>
        <v>62149996.08</v>
      </c>
    </row>
    <row r="332" ht="9" customHeight="1"/>
    <row r="333">
      <c r="D333" s="9" t="str">
        <v>Superavit o Deficit</v>
      </c>
      <c r="E333" s="2">
        <f>E331-E326</f>
        <v>62149996.08</v>
      </c>
    </row>
    <row r="334"/>
    <row r="335"/>
    <row r="336">
      <c r="D336" t="str">
        <v>Banco Panamá S&amp;P USD 05/02/2026</v>
      </c>
      <c r="E336" s="5">
        <v>2616.55</v>
      </c>
    </row>
    <row r="337">
      <c r="D337" t="str">
        <v>BAC Costa Rica  ₡ 05/02/2026</v>
      </c>
      <c r="E337" s="10">
        <v>30835916.76</v>
      </c>
      <c r="F337" s="5">
        <f>E337/505</f>
        <v>61061.221306930696</v>
      </c>
      <c r="G337" s="5">
        <f>F337+E338</f>
        <v>88518.15834805119</v>
      </c>
    </row>
    <row r="338">
      <c r="D338" t="str">
        <v>BAC Costa Rica  USD 05/02/2026</v>
      </c>
      <c r="E338" s="5">
        <v>27456.937041120487</v>
      </c>
    </row>
    <row r="339">
      <c r="D339" t="str">
        <v>Banco Bibankg Guatemala QTZ 05/02/2026</v>
      </c>
      <c r="E339" s="10">
        <v>648684.92</v>
      </c>
      <c r="F339" s="5">
        <f>E339/7.46</f>
        <v>86955.08310991958</v>
      </c>
      <c r="G339" s="5">
        <f>F339+E340</f>
        <v>88421.43310991957</v>
      </c>
    </row>
    <row r="340">
      <c r="D340" t="str">
        <v>Banco Bibankg Guatemala USD 05/02/2026</v>
      </c>
      <c r="E340" s="5">
        <v>1466.3499999999985</v>
      </c>
    </row>
    <row r="341">
      <c r="D341" t="str">
        <v>BCP Perú Soles 05/02/2026</v>
      </c>
      <c r="E341" s="11">
        <v>189294.65537186328</v>
      </c>
      <c r="F341" s="5">
        <f>E341/3.31</f>
        <v>57188.71763500401</v>
      </c>
      <c r="G341" s="5">
        <f>F341+E342+F343+E344</f>
        <v>57804.23814859918</v>
      </c>
      <c r="K341" s="11">
        <f>+J341-E341</f>
        <v>-189294.65537186328</v>
      </c>
    </row>
    <row r="342">
      <c r="D342" t="str">
        <v>BCP Perú USD 05/02/2026</v>
      </c>
      <c r="E342" s="5">
        <v>131.65</v>
      </c>
    </row>
    <row r="343">
      <c r="D343" t="str">
        <v>BBVA Perú Soles 05/02/2026</v>
      </c>
      <c r="E343" s="11">
        <v>1532.299999999993</v>
      </c>
      <c r="F343" s="5">
        <f>E343/3.31</f>
        <v>462.93051359516403</v>
      </c>
    </row>
    <row r="344">
      <c r="D344" t="str">
        <v>BBVA Perú USD 05/02/2026</v>
      </c>
      <c r="E344" s="5">
        <v>20.94000000000006</v>
      </c>
    </row>
    <row r="345">
      <c r="D345" t="str">
        <v>Bancolombia ACT&amp;J COPS 05/02/2026</v>
      </c>
      <c r="E345" s="2">
        <v>1986751.54</v>
      </c>
    </row>
    <row r="346"/>
    <row r="347" ht="16.5" customHeight="1">
      <c r="D347" t="str">
        <v>Banco Aliado Panamá USD 05/02/2026</v>
      </c>
      <c r="E347" s="10">
        <v>51472.96</v>
      </c>
      <c r="F347" s="10" t="str">
        <v>Dato Informativo no es CTA de S&amp;P</v>
      </c>
    </row>
    <row r="348"/>
    <row r="350">
      <c r="D350" t="str">
        <v>Bancos</v>
      </c>
      <c r="E350" s="2">
        <v>13</v>
      </c>
    </row>
    <row r="351">
      <c r="D351" t="str">
        <v>Cuentas</v>
      </c>
      <c r="E351" s="2">
        <v>17</v>
      </c>
    </row>
    <row r="352"/>
  </sheetData>
  <autoFilter ref="C115:K312"/>
  <mergeCells count="2">
    <mergeCell ref="D322:E322"/>
    <mergeCell ref="D335:E335"/>
  </mergeCells>
  <pageMargins left="0.7" right="0.7" top="0.75" bottom="0.75" header="0.3" footer="0.3"/>
  <ignoredErrors>
    <ignoredError numberStoredAsText="1" sqref="A1:X352"/>
  </ignoredErrors>
  <legacyDrawing r:id="rId1"/>
</worksheet>
</file>

<file path=xl/worksheets/sheet4.xml><?xml version="1.0" encoding="utf-8"?>
<worksheet xmlns="http://schemas.openxmlformats.org/spreadsheetml/2006/main" xmlns:r="http://schemas.openxmlformats.org/officeDocument/2006/relationships">
  <dimension ref="A1:X381"/>
  <sheetViews>
    <sheetView workbookViewId="0" rightToLeft="0"/>
  </sheetViews>
  <cols>
    <col min="1" max="1" customWidth="1" width="10.140625" hidden="true"/>
    <col min="2" max="2" customWidth="1" width="6.5703125" hidden="true"/>
    <col min="3" max="3" customWidth="1" width="18.140625"/>
    <col min="4" max="4" customWidth="1" width="81.42578125"/>
    <col min="5" max="5" customWidth="1" width="24.42578125"/>
    <col min="6" max="6" customWidth="1" width="24.7109375"/>
    <col min="7" max="7" customWidth="1" width="14.7109375"/>
    <col min="8" max="8" customWidth="1" width="9.42578125" hidden="true"/>
    <col min="9" max="9" customWidth="1" width="9.42578125" hidden="true"/>
    <col min="10" max="10" customWidth="1" width="15.85546875"/>
    <col min="11" max="11" customWidth="1" width="19.5703125"/>
    <col min="12" max="12" customWidth="1" width="21.5703125"/>
    <col min="13" max="13" customWidth="1" width="15.7109375"/>
    <col min="14" max="14" customWidth="1" width="13.85546875"/>
    <col min="15" max="15" customWidth="1" width="15.85546875"/>
    <col min="16" max="16" customWidth="1" width="15.85546875"/>
    <col min="17" max="17" customWidth="1" width="15.85546875"/>
    <col min="18" max="18" customWidth="1" width="14.5703125"/>
    <col min="19" max="19" customWidth="1" width="13.140625"/>
    <col min="20" max="20" customWidth="1" width="26.140625"/>
    <col min="21" max="21" customWidth="1" width="19.28515625"/>
    <col min="22" max="22" customWidth="1" width="15.28515625"/>
    <col min="23" max="23" customWidth="1" width="14"/>
    <col min="24" max="24" customWidth="1" width="13"/>
    <col min="25" max="25" customWidth="1" width="11.42578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idden="1" ht="15" customHeight="1">
      <c r="E1" s="2">
        <v>42400</v>
      </c>
    </row>
    <row r="2">
      <c r="I2">
        <v>1</v>
      </c>
    </row>
    <row r="3">
      <c r="I3">
        <v>2</v>
      </c>
    </row>
    <row r="4" ht="15.75" customHeight="1">
      <c r="D4" t="str">
        <v>BANCOS</v>
      </c>
      <c r="E4" s="2">
        <f>SUBTOTAL(9,E5:E12)</f>
        <v>922776679.82</v>
      </c>
      <c r="I4">
        <v>3</v>
      </c>
    </row>
    <row r="5" outlineLevel="1">
      <c r="D5" t="str">
        <v>Bancos</v>
      </c>
      <c r="E5" s="2">
        <f>ENERO!E329+900255200.74</f>
        <v>900489417.82</v>
      </c>
      <c r="I5">
        <v>4</v>
      </c>
    </row>
    <row r="6" outlineLevel="1">
      <c r="C6" s="2" t="str">
        <v>Pagado</v>
      </c>
      <c r="D6" t="str">
        <v>Punto medical</v>
      </c>
      <c r="E6" s="2">
        <v>2670000</v>
      </c>
    </row>
    <row r="7" outlineLevel="1">
      <c r="C7" s="2" t="str">
        <v>Pagado</v>
      </c>
      <c r="D7" t="str">
        <v>Devolución de dinero a cuenta BAC panamá para prestamo Nomina global PA USD 2000</v>
      </c>
      <c r="E7" s="2">
        <v>7200000</v>
      </c>
      <c r="I7">
        <v>4</v>
      </c>
    </row>
    <row r="8" outlineLevel="1">
      <c r="C8" s="2" t="str">
        <v>Pagado</v>
      </c>
      <c r="D8" t="str">
        <v>Pago incapacidad Suramericana Lina Guio</v>
      </c>
      <c r="E8" s="2">
        <v>539025</v>
      </c>
    </row>
    <row r="9" outlineLevel="1">
      <c r="C9" s="2" t="str">
        <v>Pagado</v>
      </c>
      <c r="D9" t="str">
        <v>Pago incapacidad Suramericana Ricardo Arambulo</v>
      </c>
      <c r="E9" s="2">
        <v>10920122</v>
      </c>
    </row>
    <row r="10" outlineLevel="1">
      <c r="C10" s="2" t="str">
        <v>Pagado</v>
      </c>
      <c r="D10" t="str">
        <v>Pago Devolución saldo a favor suramericana</v>
      </c>
      <c r="E10" s="2">
        <v>432545</v>
      </c>
    </row>
    <row r="11" outlineLevel="1">
      <c r="C11" s="2" t="str">
        <v>Pagado</v>
      </c>
      <c r="D11" t="str">
        <v>Pago Devolución pago tiquete Aereo Ana Guitierrez</v>
      </c>
      <c r="E11" s="2">
        <v>525570</v>
      </c>
    </row>
    <row r="12" outlineLevel="1">
      <c r="C12" s="2" t="str">
        <v>Pagado</v>
      </c>
      <c r="D12" t="str">
        <v>Devolucion de dinero de Global Peo Services Panamá para el envio del pago SIPE Enero</v>
      </c>
    </row>
    <row r="13" ht="15.75" customHeight="1">
      <c r="D13" t="str">
        <v>CLIENTES</v>
      </c>
      <c r="E13" s="2">
        <f>SUBTOTAL(9,E14:E52)</f>
        <v>632068836.964</v>
      </c>
    </row>
    <row r="14" ht="14.25" customHeight="1" outlineLevel="1">
      <c r="C14" s="2" t="str">
        <v>Sin Pagar</v>
      </c>
      <c r="D14" t="str">
        <v>ACT&amp;J Consultores Factura 1682</v>
      </c>
      <c r="E14" s="3">
        <f>1572392.28307*0</f>
        <v>0</v>
      </c>
    </row>
    <row r="15" ht="14.25" customHeight="1" outlineLevel="1">
      <c r="C15" s="2" t="str">
        <v>Pagado</v>
      </c>
      <c r="D15" t="str">
        <v>AECID Factura # 6640</v>
      </c>
      <c r="E15" s="2">
        <f>34362712.65</f>
        <v>34362712.65</v>
      </c>
    </row>
    <row r="16" ht="14.25" customHeight="1" outlineLevel="1">
      <c r="C16" s="2" t="str">
        <v>Pagado</v>
      </c>
      <c r="D16" t="str">
        <v>AECID Factura # 5-200</v>
      </c>
      <c r="E16" s="2">
        <f>2104000</f>
        <v>2104000</v>
      </c>
    </row>
    <row r="17" outlineLevel="1">
      <c r="C17" s="2" t="str">
        <v>Pagado</v>
      </c>
      <c r="D17" t="str">
        <v>Clarke Modet factura # 6618</v>
      </c>
      <c r="E17" s="2">
        <v>2629357.62</v>
      </c>
    </row>
    <row r="18" outlineLevel="1">
      <c r="C18" s="2" t="str">
        <v>Pagado</v>
      </c>
      <c r="D18" t="str">
        <v>Compassion international factura # 6717</v>
      </c>
      <c r="E18" s="2">
        <v>6766084.2</v>
      </c>
    </row>
    <row r="19" outlineLevel="1">
      <c r="C19" s="2" t="str">
        <v>Pagado</v>
      </c>
      <c r="D19" t="str">
        <v>Consorcio HL-AB Factura #  6454</v>
      </c>
      <c r="E19" s="2">
        <v>318616.52</v>
      </c>
    </row>
    <row r="20" outlineLevel="1">
      <c r="C20" s="2" t="str">
        <v>Pagado</v>
      </c>
      <c r="D20" t="str">
        <v>Monica Londoño Factura 6719</v>
      </c>
      <c r="E20" s="2">
        <f>190536</f>
        <v>190536</v>
      </c>
    </row>
    <row r="21" outlineLevel="1">
      <c r="C21" s="2" t="str">
        <v>Pagado</v>
      </c>
      <c r="D21" t="str">
        <v>Corporación punto azul factura # 6503-6528</v>
      </c>
      <c r="E21" s="2">
        <v>3808077</v>
      </c>
    </row>
    <row r="22" outlineLevel="1">
      <c r="C22" s="2" t="str">
        <v>Pagado</v>
      </c>
      <c r="D22" t="str">
        <v>Deel Facturas # 6407-6408-6409-6410-6411-6412-6413-6491-6492-6493-6494-6495</v>
      </c>
      <c r="E22" s="2">
        <v>39020833.800000004</v>
      </c>
      <c r="F22" s="2">
        <v>41322268.2006</v>
      </c>
      <c r="G22" s="2">
        <f>(E22-F22)</f>
        <v>-2301434.4005999938</v>
      </c>
    </row>
    <row r="23" outlineLevel="1">
      <c r="C23" s="2" t="str">
        <v>Pagado</v>
      </c>
      <c r="D23" t="str">
        <v>Deel Facturas # 6415-6416-6417-6496-6497-6498-6499-126</v>
      </c>
      <c r="E23" s="2">
        <v>14229201.600000001</v>
      </c>
      <c r="F23" s="2">
        <v>14859057.597600002</v>
      </c>
      <c r="G23" s="2">
        <f>(E23-F23)</f>
        <v>-629855.9976000004</v>
      </c>
    </row>
    <row r="24" ht="45" customHeight="1" outlineLevel="1">
      <c r="C24" s="2" t="str">
        <v>Pagado</v>
      </c>
      <c r="D24" t="str">
        <v>Deel Facturas #6165-6166-6167-6168-6169-6170-6171-6172-6173-6174-6249-6250-6251-6252-6253-6254-6255-6256-6257-6486-6487-6488-6489-6490-6581-6582-6583-6586-6587-6588-6589</v>
      </c>
      <c r="E24" s="2">
        <v>137942032.8</v>
      </c>
      <c r="F24" s="2">
        <v>146188672.03712</v>
      </c>
      <c r="G24" s="2">
        <f>(E24-F24)</f>
        <v>-8246639.2371200025</v>
      </c>
    </row>
    <row r="25" ht="30" customHeight="1" outlineLevel="1">
      <c r="C25" s="2" t="str">
        <v>Pagado</v>
      </c>
      <c r="D25" t="str">
        <v>Deel Facturas # 6175-6176-6177-6178-6179-6258-6259-6260-6261-6262-6500-6592-164-6593-6594</v>
      </c>
      <c r="E25" s="2">
        <v>105848993.4</v>
      </c>
      <c r="F25" s="2">
        <v>112132374.73936</v>
      </c>
      <c r="G25" s="2">
        <f>(E25-F25)</f>
        <v>-6283381.339359999</v>
      </c>
      <c r="K25" s="2">
        <f>E19+E33+E39+E40</f>
        <v>35007674.52</v>
      </c>
    </row>
    <row r="26" outlineLevel="1">
      <c r="C26" s="2" t="str">
        <v>Pagado</v>
      </c>
      <c r="D26" t="str">
        <v>Deel Facturas # 6584-6585</v>
      </c>
      <c r="E26" s="2">
        <v>7843526.399999999</v>
      </c>
      <c r="F26" s="2">
        <v>7981254.6888</v>
      </c>
      <c r="G26" s="2">
        <f>(E26-F26)</f>
        <v>-137728.2888000002</v>
      </c>
    </row>
    <row r="27" outlineLevel="1">
      <c r="C27" s="2" t="str">
        <v>Pagado</v>
      </c>
      <c r="D27" t="str">
        <v>Deel Facturas # 6590-6591</v>
      </c>
      <c r="E27" s="2">
        <v>2747269.2</v>
      </c>
      <c r="F27" s="2">
        <v>2782525.8214</v>
      </c>
      <c r="G27" s="2">
        <f>(E27-F27)</f>
        <v>-35256.621399999596</v>
      </c>
    </row>
    <row r="28" outlineLevel="1">
      <c r="C28" s="2" t="str">
        <v>Pagado</v>
      </c>
      <c r="D28" t="str">
        <v>Deel Facturas #6654-6655-6656-201-6657-6658</v>
      </c>
      <c r="E28" s="2">
        <v>13980796.399999999</v>
      </c>
      <c r="F28" s="2">
        <v>14014539.410400001</v>
      </c>
      <c r="G28" s="2">
        <f>(E28-F28)</f>
        <v>-33743.01040000282</v>
      </c>
    </row>
    <row r="29" outlineLevel="1">
      <c r="C29" s="2" t="str">
        <v>Pagado</v>
      </c>
      <c r="D29" t="str">
        <v>Deel Facturas # 6645-6647-6648-6650-6651-6652-6653</v>
      </c>
      <c r="E29" s="2">
        <v>31640803.584000003</v>
      </c>
      <c r="F29" s="2">
        <v>31747484.944800004</v>
      </c>
      <c r="G29" s="2">
        <f>(E29-F29)</f>
        <v>-106681.36080000177</v>
      </c>
    </row>
    <row r="30" outlineLevel="1">
      <c r="C30" s="2" t="str">
        <v>Sin Pagar</v>
      </c>
      <c r="D30" t="str">
        <v>Dinterweb factura # 5646-5725-5805-5892-5974-6061</v>
      </c>
      <c r="E30" s="2">
        <f>7528323*0</f>
        <v>0</v>
      </c>
    </row>
    <row r="31" outlineLevel="1">
      <c r="C31" s="2" t="str">
        <v>Sin Pagar</v>
      </c>
      <c r="D31" t="str">
        <v>Distritech facturas # 6631 Llega por Panamá</v>
      </c>
      <c r="E31" s="2">
        <f>5391183.76*0</f>
        <v>0</v>
      </c>
    </row>
    <row r="32" outlineLevel="1">
      <c r="C32" s="2" t="str">
        <v>Sin Pagar</v>
      </c>
      <c r="D32" t="str">
        <v xml:space="preserve">Dream Tyme resort </v>
      </c>
      <c r="E32" s="2">
        <f>23310882*0</f>
        <v>0</v>
      </c>
    </row>
    <row r="33" outlineLevel="1">
      <c r="C33" s="2" t="str">
        <v>Pagado</v>
      </c>
      <c r="D33" t="str">
        <v>Ecohl facturas 6428-6429-6430</v>
      </c>
      <c r="E33" s="2">
        <v>1276724</v>
      </c>
    </row>
    <row r="34" outlineLevel="1">
      <c r="C34" s="2" t="str">
        <v>Pagado</v>
      </c>
      <c r="D34" t="str">
        <v>Gilead Scense Colombia Factura # 6715</v>
      </c>
      <c r="E34" s="2">
        <v>1359917.21</v>
      </c>
    </row>
    <row r="35" outlineLevel="1">
      <c r="C35" s="2" t="str">
        <v>Pagado</v>
      </c>
      <c r="D35" t="str">
        <v>Global CS Colombia SAS -factura # 6605-5-197</v>
      </c>
      <c r="E35" s="2">
        <v>20139313.66</v>
      </c>
    </row>
    <row r="36" ht="14.25" customHeight="1" outlineLevel="1">
      <c r="C36" s="2" t="str">
        <v>Pagado</v>
      </c>
      <c r="D36" t="str">
        <v>Global Projects service AG facturas # 6315-27-45</v>
      </c>
      <c r="E36" s="3">
        <v>14472628.2</v>
      </c>
      <c r="F36" s="3">
        <v>15456075.3468</v>
      </c>
      <c r="G36" s="2">
        <f>(E36-F36)</f>
        <v>-983447.1468000002</v>
      </c>
    </row>
    <row r="37" ht="14.25" customHeight="1" outlineLevel="1">
      <c r="C37" s="2" t="str">
        <v>Pagado</v>
      </c>
      <c r="D37" t="str">
        <v xml:space="preserve">Global Projects service AG facturas # 6534 </v>
      </c>
      <c r="E37" s="3">
        <v>2543700</v>
      </c>
      <c r="F37" s="3">
        <v>2739268</v>
      </c>
      <c r="G37" s="2">
        <f>(E37-F37)</f>
        <v>-195568</v>
      </c>
    </row>
    <row r="38" outlineLevel="1">
      <c r="C38" s="2" t="str">
        <v>Pagado</v>
      </c>
      <c r="D38" t="str">
        <v>HL Gestiones factura # 6718</v>
      </c>
      <c r="E38" s="2">
        <v>1200756</v>
      </c>
      <c r="I38">
        <v>4</v>
      </c>
    </row>
    <row r="39" outlineLevel="1">
      <c r="C39" s="2" t="str">
        <v>Pagado</v>
      </c>
      <c r="D39" t="str">
        <v>HL Ingenieros factura # 6441-6531-6548</v>
      </c>
      <c r="E39" s="2">
        <v>1088426</v>
      </c>
    </row>
    <row r="40" outlineLevel="1">
      <c r="C40" s="2" t="str">
        <v>Pagado</v>
      </c>
      <c r="D40" t="str">
        <v>Hl Infraestructura factura # 6427-6431-6438-6444-6471-6476-6477</v>
      </c>
      <c r="E40" s="2">
        <v>32323908</v>
      </c>
    </row>
    <row r="41" outlineLevel="1">
      <c r="C41" s="2" t="str">
        <v>Pagado</v>
      </c>
      <c r="D41" t="str">
        <v>Inversiones el Bosque factura # 6714</v>
      </c>
      <c r="E41" s="2">
        <v>2271097.44</v>
      </c>
    </row>
    <row r="42" outlineLevel="1">
      <c r="C42" s="2" t="str">
        <v>Pagado</v>
      </c>
      <c r="D42" t="str">
        <v>Live Systems technology factura # 6466-6567</v>
      </c>
      <c r="E42" s="2">
        <v>2591024</v>
      </c>
    </row>
    <row r="43" outlineLevel="1">
      <c r="C43" s="2" t="str">
        <v>Pagado</v>
      </c>
      <c r="D43" t="str">
        <v>Ortho Clinical Diagnostics # 6635</v>
      </c>
      <c r="E43" s="2">
        <v>1451213.81</v>
      </c>
    </row>
    <row r="44" outlineLevel="1">
      <c r="C44" s="2" t="str">
        <v>Pagado</v>
      </c>
      <c r="D44" t="str">
        <v>Punto medical FV-4-6316-FV-4-6397-FV-4-6473-FV-4-6579 e intereses</v>
      </c>
      <c r="E44" s="2">
        <v>8046831.86</v>
      </c>
    </row>
    <row r="45" outlineLevel="1">
      <c r="C45" s="2" t="str">
        <v>Pagado</v>
      </c>
      <c r="D45" t="str">
        <v xml:space="preserve">Safeguard 6400-6401-6384-6385 </v>
      </c>
      <c r="E45" s="2">
        <v>32219016.6</v>
      </c>
      <c r="F45" s="3">
        <v>34120335</v>
      </c>
      <c r="G45" s="2">
        <f>(E45-F45)</f>
        <v>-1901318.3999999985</v>
      </c>
    </row>
    <row r="46" outlineLevel="1">
      <c r="C46" s="2" t="str">
        <v>Pagado</v>
      </c>
      <c r="D46" t="str">
        <v>Safeguard 6482-6483-6484</v>
      </c>
      <c r="E46" s="2">
        <v>26044852.8</v>
      </c>
      <c r="F46" s="2">
        <v>26853239.49</v>
      </c>
      <c r="G46" s="2">
        <f>(E46-F46)</f>
        <v>-808386.6899999976</v>
      </c>
    </row>
    <row r="47" outlineLevel="1">
      <c r="C47" s="2" t="str">
        <v>Pagado</v>
      </c>
      <c r="D47" t="str">
        <v>S&amp;P Costa Rica factura Nro. 6481-6595-6642-6667</v>
      </c>
      <c r="E47" s="2">
        <f>4485*3650</f>
        <v>16370250</v>
      </c>
    </row>
    <row r="48" outlineLevel="1">
      <c r="C48" s="2" t="str">
        <v>Pagado</v>
      </c>
      <c r="D48" t="str">
        <v>S&amp;P Guatemala factura Nro. 6302-6377-6480-6641-6666</v>
      </c>
      <c r="E48" s="2">
        <f>14122.03*3650</f>
        <v>51545409.5</v>
      </c>
    </row>
    <row r="49" outlineLevel="1">
      <c r="C49" s="2" t="str">
        <v>Pagado</v>
      </c>
      <c r="D49" t="str">
        <v>S&amp;P Panamá Pendiente por aclarar las facturas</v>
      </c>
      <c r="E49" s="2">
        <f>3082*3650</f>
        <v>11249300</v>
      </c>
    </row>
    <row r="50" ht="30" customHeight="1" outlineLevel="1">
      <c r="C50" s="2" t="str">
        <v>Sin Pagar</v>
      </c>
      <c r="D50" t="str">
        <v>Rejimetal  Factura # 4441-4524-4609-4688-4788-4865-4970-5060-5150-5272-5372-5485-5565-5642-5721-5802-588</v>
      </c>
      <c r="E50" s="2">
        <f>7370606*0</f>
        <v>0</v>
      </c>
    </row>
    <row r="51" outlineLevel="1">
      <c r="C51" s="2" t="str">
        <v>Sin Pagar</v>
      </c>
      <c r="D51" t="str">
        <v>Soluciones ambientales punto azul Factura #  6529</v>
      </c>
      <c r="E51" s="2">
        <f>659409.77*0</f>
        <v>0</v>
      </c>
    </row>
    <row r="52" outlineLevel="1">
      <c r="C52" s="2" t="str">
        <v>Pagado</v>
      </c>
      <c r="D52" t="str">
        <v>TPL Logistics factura # 6713</v>
      </c>
      <c r="E52" s="2">
        <v>2441626.71</v>
      </c>
    </row>
    <row r="53" ht="15" customHeight="1">
      <c r="D53" t="str">
        <v>PE</v>
      </c>
      <c r="E53" s="2">
        <f>SUBTOTAL(9,E54:E119)</f>
        <v>2632108004.6745005</v>
      </c>
      <c r="F53" s="6">
        <v>1</v>
      </c>
    </row>
    <row r="54" outlineLevel="1">
      <c r="C54" s="2" t="str">
        <v>Pagado</v>
      </c>
      <c r="D54" t="str">
        <v>Action Factura # 6664</v>
      </c>
      <c r="E54" s="2">
        <v>1244283.46</v>
      </c>
      <c r="F54" s="2">
        <v>1208258.2638</v>
      </c>
      <c r="G54" s="2">
        <f>(E54-F54)</f>
        <v>36025.19619999989</v>
      </c>
    </row>
    <row r="55" outlineLevel="1">
      <c r="C55" s="2" t="str">
        <v>Pagado</v>
      </c>
      <c r="D55" t="str">
        <v>Action Factura # 5-203</v>
      </c>
      <c r="E55" s="2">
        <v>11311972.84</v>
      </c>
      <c r="F55" s="2">
        <v>10984462.2252</v>
      </c>
      <c r="G55" s="2">
        <f>(E55-F55)</f>
        <v>327510.61480000056</v>
      </c>
    </row>
    <row r="56" outlineLevel="1">
      <c r="C56" s="2" t="str">
        <v>Pagado</v>
      </c>
      <c r="D56" t="str">
        <v>Bubble BPM Factura # 6609 Enero</v>
      </c>
      <c r="E56" s="2">
        <v>439591.9897070901</v>
      </c>
      <c r="F56" s="2">
        <v>447027.7908</v>
      </c>
      <c r="G56" s="2">
        <f>(E56-F56)</f>
        <v>-7435.80109290994</v>
      </c>
    </row>
    <row r="57" outlineLevel="1">
      <c r="C57" s="2" t="str">
        <v>Pagado</v>
      </c>
      <c r="D57" t="str">
        <v>Bubble BPM Factura # 5-175 Enero</v>
      </c>
      <c r="E57" s="2">
        <v>3996401.21029291</v>
      </c>
      <c r="F57" s="2">
        <v>4064001.2694000006</v>
      </c>
      <c r="G57" s="2">
        <f>(E57-F57)</f>
        <v>-67600.05910709035</v>
      </c>
    </row>
    <row r="58" outlineLevel="1">
      <c r="C58" s="2" t="str">
        <v>Pagado</v>
      </c>
      <c r="D58" t="str">
        <v>Bubble BPM Factura # 6686</v>
      </c>
      <c r="E58" s="2">
        <v>460095.81992514024</v>
      </c>
      <c r="F58" s="2">
        <v>447484.6199</v>
      </c>
      <c r="G58" s="2">
        <f>(E58-F58)</f>
        <v>12611.20002514025</v>
      </c>
    </row>
    <row r="59" outlineLevel="1">
      <c r="C59" s="2" t="str">
        <v>Pagado</v>
      </c>
      <c r="D59" t="str">
        <v>Bubble BPM Factura # 5-215</v>
      </c>
      <c r="E59" s="2">
        <v>4182685.9600748606</v>
      </c>
      <c r="F59" s="2">
        <v>4068038.7778999996</v>
      </c>
      <c r="G59" s="2">
        <f>(E59-F59)</f>
        <v>114647.18217486097</v>
      </c>
    </row>
    <row r="60" outlineLevel="1">
      <c r="C60" s="2" t="str">
        <v>Pagado</v>
      </c>
      <c r="D60" t="str">
        <v>Edrington  Factura # 6671</v>
      </c>
      <c r="E60" s="2">
        <v>2232759.0912</v>
      </c>
      <c r="F60" s="2">
        <v>2169042.7968</v>
      </c>
      <c r="G60" s="2">
        <f>(E60-F60)</f>
        <v>63716.29440000001</v>
      </c>
    </row>
    <row r="61" outlineLevel="1">
      <c r="C61" s="2" t="str">
        <v>Pagado</v>
      </c>
      <c r="D61" t="str">
        <v>Edrington  Factura # 5-205</v>
      </c>
      <c r="E61" s="2">
        <v>40595911.4752</v>
      </c>
      <c r="F61" s="2">
        <v>39437425.072799996</v>
      </c>
      <c r="G61" s="2">
        <f>(E61-F61)</f>
        <v>1158486.4024000019</v>
      </c>
    </row>
    <row r="62" outlineLevel="1">
      <c r="C62" s="2" t="str">
        <v>Pagado</v>
      </c>
      <c r="D62" t="str">
        <v>EPDM Factura # 6683</v>
      </c>
      <c r="E62" s="2">
        <v>993693.3</v>
      </c>
      <c r="G62" s="2">
        <f>(E62-F62)*0</f>
        <v>0</v>
      </c>
    </row>
    <row r="63" outlineLevel="1">
      <c r="C63" s="2" t="str">
        <v>Pagado</v>
      </c>
      <c r="D63" t="str">
        <v>EPDM Factura # 5-212</v>
      </c>
      <c r="E63" s="2">
        <v>9936933</v>
      </c>
      <c r="G63" s="2">
        <f>(E63-F63)*0</f>
        <v>0</v>
      </c>
    </row>
    <row r="64" outlineLevel="1">
      <c r="C64" s="2" t="str">
        <v>Pagado</v>
      </c>
      <c r="D64" t="str">
        <v>Equus Global Expansion, LLC Factura # 6687</v>
      </c>
      <c r="E64" s="2">
        <v>657373.9589952454</v>
      </c>
      <c r="F64" s="2">
        <v>632480.835</v>
      </c>
      <c r="G64" s="2">
        <f>(E64-F64)</f>
        <v>24893.123995245434</v>
      </c>
    </row>
    <row r="65" outlineLevel="1">
      <c r="C65" s="2" t="str">
        <v>Pagado</v>
      </c>
      <c r="D65" t="str">
        <v>Equus Global Expansion, LLC Factura # 5-216</v>
      </c>
      <c r="E65" s="2">
        <v>5337655.581004755</v>
      </c>
      <c r="F65" s="2">
        <v>5135531.781599999</v>
      </c>
      <c r="G65" s="2">
        <f>(E65-F65)</f>
        <v>202123.79940475523</v>
      </c>
    </row>
    <row r="66" outlineLevel="1">
      <c r="C66" s="2" t="str">
        <v>Pagado</v>
      </c>
      <c r="D66" t="str">
        <v>Europortage Factura # 6673</v>
      </c>
      <c r="E66" s="2">
        <v>3008086.516245424</v>
      </c>
      <c r="F66" s="2">
        <v>2931678.9432</v>
      </c>
      <c r="G66" s="2">
        <f>(E66-F66)</f>
        <v>76407.57304542372</v>
      </c>
    </row>
    <row r="67" outlineLevel="1">
      <c r="C67" s="2" t="str">
        <v>Pagado</v>
      </c>
      <c r="D67" t="str">
        <v>Europortage Factura # 5-207</v>
      </c>
      <c r="E67" s="2">
        <v>49910068.338154584</v>
      </c>
      <c r="F67" s="2">
        <v>48642316.506</v>
      </c>
      <c r="G67" s="2">
        <f>(E67-F67)</f>
        <v>1267751.832154587</v>
      </c>
    </row>
    <row r="68" outlineLevel="1">
      <c r="C68" s="2" t="str">
        <v>Pagado</v>
      </c>
      <c r="D68" t="str">
        <v>Hemmebarsch GMBH &amp; Co KG , factura # 6623 Febrero</v>
      </c>
      <c r="E68" s="2">
        <v>689544.9600000001</v>
      </c>
      <c r="F68" s="2">
        <v>714384.0782</v>
      </c>
      <c r="G68" s="2">
        <f>(E68-F68)</f>
        <v>-24839.11819999991</v>
      </c>
    </row>
    <row r="69" outlineLevel="1">
      <c r="C69" s="2" t="str">
        <v>Pagado</v>
      </c>
      <c r="D69" t="str">
        <v>Hemmebarsch GMBH &amp; Co KG , factura # 6624 Febrero</v>
      </c>
      <c r="E69" s="2">
        <v>460560</v>
      </c>
      <c r="F69" s="2">
        <v>477150.51249999995</v>
      </c>
      <c r="G69" s="2">
        <f>(E69-F69)</f>
        <v>-16590.512499999953</v>
      </c>
    </row>
    <row r="70" outlineLevel="1">
      <c r="C70" s="2" t="str">
        <v>Pagado</v>
      </c>
      <c r="D70" t="str">
        <v>Hemmebarsch GMBH &amp; Co KG , factura # 5-189 Febrero</v>
      </c>
      <c r="E70" s="2">
        <v>6895632</v>
      </c>
      <c r="F70" s="2">
        <v>7144029.7524999995</v>
      </c>
      <c r="G70" s="2">
        <f>(E70-F70)</f>
        <v>-248397.75249999948</v>
      </c>
    </row>
    <row r="71" outlineLevel="1">
      <c r="C71" s="2" t="str">
        <v>Pagado</v>
      </c>
      <c r="D71" t="str">
        <v>Hemmebarsch GMBH &amp; Co KG , factura # 5-190 Febrero</v>
      </c>
      <c r="E71" s="2">
        <v>4605527.04</v>
      </c>
      <c r="F71" s="2">
        <v>4771429.5368</v>
      </c>
      <c r="G71" s="2">
        <f>(E71-F71)</f>
        <v>-165902.49679999985</v>
      </c>
    </row>
    <row r="72" outlineLevel="1">
      <c r="C72" s="2" t="str">
        <v>Sin Pagar</v>
      </c>
      <c r="D72" t="str">
        <v>Hemmebarsch GMBH &amp; Co KG , factura # 6700 Marzo</v>
      </c>
      <c r="E72" s="2">
        <f>337854.6085*0</f>
        <v>0</v>
      </c>
      <c r="G72" s="2">
        <f>(E72-F72)</f>
        <v>0</v>
      </c>
    </row>
    <row r="73" outlineLevel="1">
      <c r="C73" s="2" t="str">
        <v>Sin Pagar</v>
      </c>
      <c r="D73" t="str">
        <v>Hemmebarsch GMBH &amp; Co KG , factura # 6703 Marzo</v>
      </c>
      <c r="E73" s="2">
        <f>2480352.4331*0</f>
        <v>0</v>
      </c>
      <c r="G73" s="2">
        <f>(E73-F73)</f>
        <v>0</v>
      </c>
    </row>
    <row r="74" outlineLevel="1">
      <c r="C74" s="2" t="str">
        <v>Sin Pagar</v>
      </c>
      <c r="D74" t="str">
        <v>Hemmebarsch GMBH &amp; Co KG , factura # 5-224 Marzo</v>
      </c>
      <c r="E74" s="2">
        <f>3378616.9512*0</f>
        <v>0</v>
      </c>
      <c r="G74" s="2">
        <f>(E74-F74)</f>
        <v>0</v>
      </c>
    </row>
    <row r="75" outlineLevel="1">
      <c r="C75" s="2" t="str">
        <v>Pagado</v>
      </c>
      <c r="D75" t="str">
        <v>Hong kong yonyou xinfushe cloud technology co., limited Factura 6559-Diciembre</v>
      </c>
      <c r="E75" s="2">
        <v>2743902</v>
      </c>
      <c r="F75" s="2">
        <v>2855434.869</v>
      </c>
      <c r="G75" s="2">
        <f>(E75-F75)</f>
        <v>-111532.86899999995</v>
      </c>
    </row>
    <row r="76" outlineLevel="1">
      <c r="C76" s="2" t="str">
        <v>Pagado</v>
      </c>
      <c r="D76" t="str">
        <v>Hong kong yonyou xinfushe cloud technology co., limited Factura 5-152 - Diciembre</v>
      </c>
      <c r="E76" s="2">
        <v>51195457.8</v>
      </c>
      <c r="F76" s="2">
        <v>53276427.2691</v>
      </c>
      <c r="G76" s="2">
        <f>(E76-F76)</f>
        <v>-2080969.469100006</v>
      </c>
    </row>
    <row r="77" outlineLevel="1">
      <c r="C77" s="2" t="str">
        <v>Pagado</v>
      </c>
      <c r="D77" t="str">
        <v>Hong kong yonyou xinfushe cloud technology co., limited Factura 6608- Enero</v>
      </c>
      <c r="E77" s="2">
        <f>2730497.364*0</f>
        <v>0</v>
      </c>
      <c r="F77" s="2">
        <f>707376.616*0</f>
        <v>0</v>
      </c>
      <c r="G77" s="2">
        <f>(E77-F77)*0</f>
        <v>0</v>
      </c>
    </row>
    <row r="78" outlineLevel="1">
      <c r="C78" s="2" t="str">
        <v>Pagado</v>
      </c>
      <c r="D78" t="str">
        <v>Hong kong yonyou xinfushe cloud technology co., limited Factura 5-174 Enero</v>
      </c>
      <c r="E78" s="2">
        <f>3879460.4936*0</f>
        <v>0</v>
      </c>
      <c r="F78" s="2">
        <f>43507906.9584*0</f>
        <v>0</v>
      </c>
      <c r="G78" s="2">
        <f>(E78-F78)*0</f>
        <v>0</v>
      </c>
    </row>
    <row r="79" outlineLevel="1">
      <c r="C79" s="2" t="str">
        <v>Pagado</v>
      </c>
      <c r="D79" t="str">
        <v>Hong kong yonyou xinfushe cloud technology co., limited Factura 5-186 Enero</v>
      </c>
      <c r="E79" s="2">
        <f>1398839.0056*0</f>
        <v>0</v>
      </c>
      <c r="F79" s="2">
        <f>21217642.2864*0</f>
        <v>0</v>
      </c>
      <c r="G79" s="2">
        <f>(E79-F79)*0</f>
        <v>0</v>
      </c>
    </row>
    <row r="80" outlineLevel="1">
      <c r="C80" s="2" t="str">
        <v>Pagado</v>
      </c>
      <c r="D80" t="str">
        <v>Hong kong yonyou xinfushe cloud technology co., limited Factura 6702- Febrero</v>
      </c>
      <c r="E80" s="2">
        <v>2756946.7800000003</v>
      </c>
      <c r="F80" s="2">
        <v>2687562.045</v>
      </c>
      <c r="G80" s="2">
        <f>(E80-F80)</f>
        <v>69384.73500000034</v>
      </c>
    </row>
    <row r="81" outlineLevel="1">
      <c r="C81" s="2" t="str">
        <v>Pagado</v>
      </c>
      <c r="D81" t="str">
        <v>Hong kong yonyou xinfushe cloud technology co., limited Factura 5-226 Febrero</v>
      </c>
      <c r="E81" s="2">
        <v>50970823.344</v>
      </c>
      <c r="F81" s="2">
        <v>49688028.515999995</v>
      </c>
      <c r="G81" s="2">
        <f>(E81-F81)</f>
        <v>1282794.8280000016</v>
      </c>
    </row>
    <row r="82" outlineLevel="1">
      <c r="C82" s="2" t="str">
        <v>Pagado</v>
      </c>
      <c r="D82" t="str">
        <v>Flexco Factura # 6680</v>
      </c>
      <c r="E82" s="2">
        <v>1299786.762703057</v>
      </c>
      <c r="F82" s="2">
        <v>1249690.0039</v>
      </c>
      <c r="G82" s="2">
        <f>(E82-F82)</f>
        <v>50096.75880305702</v>
      </c>
    </row>
    <row r="83" outlineLevel="1">
      <c r="C83" s="2" t="str">
        <v>Pagado</v>
      </c>
      <c r="D83" t="str">
        <v>Flexco Factura # 5-209</v>
      </c>
      <c r="E83" s="2">
        <v>14442046.477296943</v>
      </c>
      <c r="F83" s="2">
        <v>13885416.9287</v>
      </c>
      <c r="G83" s="2">
        <f>(E83-F83)</f>
        <v>556629.5485969428</v>
      </c>
    </row>
    <row r="84" outlineLevel="1">
      <c r="C84" s="2" t="str">
        <v>Pagado</v>
      </c>
      <c r="D84" t="str">
        <v>Insider factura  # 160 Diciembre</v>
      </c>
      <c r="E84" s="2">
        <v>3791577</v>
      </c>
      <c r="F84" s="2">
        <v>3973041.075</v>
      </c>
      <c r="G84" s="2">
        <f>(E84-F84)</f>
        <v>-181464.0750000002</v>
      </c>
    </row>
    <row r="85" outlineLevel="1">
      <c r="C85" s="2" t="str">
        <v>Pagado</v>
      </c>
      <c r="D85" t="str">
        <v>Insider factura  # 188  expenses</v>
      </c>
      <c r="E85" s="2">
        <v>5675860.88</v>
      </c>
      <c r="F85" s="2">
        <v>5737325.271600001</v>
      </c>
      <c r="G85" s="2">
        <f>(E85-F85)</f>
        <v>-61464.39160000067</v>
      </c>
    </row>
    <row r="86" outlineLevel="1">
      <c r="C86" s="2" t="str">
        <v>Pagado</v>
      </c>
      <c r="D86" t="str">
        <v>Insider factura  # 6639</v>
      </c>
      <c r="E86" s="2">
        <f>23056440.5522066*0</f>
        <v>0</v>
      </c>
      <c r="F86" s="2">
        <f>22996377.768*0</f>
        <v>0</v>
      </c>
      <c r="G86" s="2">
        <f>(E86-F86)*0</f>
        <v>0</v>
      </c>
    </row>
    <row r="87" outlineLevel="1">
      <c r="C87" s="2" t="str">
        <v>Pagado</v>
      </c>
      <c r="D87" t="str">
        <v>Insider factura  # 199</v>
      </c>
      <c r="E87" s="2">
        <f>745415764.649794*0</f>
        <v>0</v>
      </c>
      <c r="F87" s="2">
        <f>743473932.123*0</f>
        <v>0</v>
      </c>
      <c r="G87" s="2">
        <f>(E87-F87)*0</f>
        <v>0</v>
      </c>
    </row>
    <row r="88" outlineLevel="1">
      <c r="C88" s="2" t="str">
        <v>Pagado</v>
      </c>
      <c r="D88" t="str">
        <v>Insider factura  # 6722</v>
      </c>
      <c r="E88" s="2">
        <v>19962473.75792909</v>
      </c>
      <c r="F88" s="2">
        <v>19662072.023999996</v>
      </c>
      <c r="G88" s="2">
        <f>(E88-F88)</f>
        <v>300401.7339290939</v>
      </c>
    </row>
    <row r="89" outlineLevel="1">
      <c r="C89" s="2" t="str">
        <v>Pagado</v>
      </c>
      <c r="D89" t="str">
        <v>Insider factura  # 216</v>
      </c>
      <c r="E89" s="2">
        <v>703298764.9685711</v>
      </c>
      <c r="F89" s="2">
        <v>692715298.6593</v>
      </c>
      <c r="G89" s="2">
        <f>(E89-F89)</f>
        <v>10583466.309271097</v>
      </c>
    </row>
    <row r="90" outlineLevel="1">
      <c r="C90" s="2" t="str">
        <v>Pagado</v>
      </c>
      <c r="D90" t="str">
        <v>Minudoc OÜ ( SIFFI) Factura # 6689</v>
      </c>
      <c r="E90" s="2">
        <v>2138606.85015122</v>
      </c>
      <c r="F90" s="2">
        <v>2094641.5039999997</v>
      </c>
      <c r="G90" s="2">
        <f>(E90-F90)</f>
        <v>43965.34615122015</v>
      </c>
    </row>
    <row r="91" outlineLevel="1">
      <c r="C91" s="2" t="str">
        <v>Pagado</v>
      </c>
      <c r="D91" t="str">
        <v>Minudoc OÜ ( SIFFI) Factura # 5-218</v>
      </c>
      <c r="E91" s="2">
        <v>6054893.412477233</v>
      </c>
      <c r="F91" s="2">
        <v>5930417.2916</v>
      </c>
      <c r="G91" s="2">
        <f>(E91-F91)</f>
        <v>124476.12087723333</v>
      </c>
    </row>
    <row r="92" outlineLevel="1">
      <c r="C92" s="2" t="str">
        <v>Pagado</v>
      </c>
      <c r="D92" t="str">
        <v>Minudoc OÜ ( SIFFI) Factura # 5-219</v>
      </c>
      <c r="E92" s="2">
        <v>9422938.57737155</v>
      </c>
      <c r="F92" s="2">
        <v>9229222.394199999</v>
      </c>
      <c r="G92" s="2">
        <f>(E92-F92)</f>
        <v>193716.18317155167</v>
      </c>
    </row>
    <row r="93" ht="14.25" customHeight="1" outlineLevel="1">
      <c r="C93" s="2" t="str">
        <v>Pagado</v>
      </c>
      <c r="D93" t="str">
        <v>MKD Factura # 6679</v>
      </c>
      <c r="E93" s="2">
        <v>520041.32</v>
      </c>
      <c r="F93" s="2">
        <v>498827.1818</v>
      </c>
      <c r="G93" s="2">
        <f>(E93-F93)</f>
        <v>21214.138199999987</v>
      </c>
    </row>
    <row r="94" ht="14.25" customHeight="1" outlineLevel="1">
      <c r="C94" s="2" t="str">
        <v>Pagado</v>
      </c>
      <c r="D94" t="str">
        <v>MKD Factura # 5-208</v>
      </c>
      <c r="E94" s="2">
        <v>4727618.14</v>
      </c>
      <c r="F94" s="2">
        <v>4534763.571099999</v>
      </c>
      <c r="G94" s="2">
        <f>(E94-F94)</f>
        <v>192854.5689000003</v>
      </c>
    </row>
    <row r="95" outlineLevel="1">
      <c r="C95" s="2" t="str">
        <v>Pagado</v>
      </c>
      <c r="D95" t="str">
        <v>Nazdar Factura # 6701</v>
      </c>
      <c r="E95" s="2">
        <v>3680038.0513348626</v>
      </c>
      <c r="F95" s="2">
        <v>3538928.0715</v>
      </c>
      <c r="G95" s="2">
        <f>(E95-F95)</f>
        <v>141109.97983486252</v>
      </c>
    </row>
    <row r="96" outlineLevel="1">
      <c r="C96" s="2" t="str">
        <v>Pagado</v>
      </c>
      <c r="D96" t="str">
        <v>Nazdar Factura # 5-225</v>
      </c>
      <c r="E96" s="2">
        <v>61333793.55866514</v>
      </c>
      <c r="F96" s="2">
        <v>58981967.23199999</v>
      </c>
      <c r="G96" s="2">
        <f>(E96-F96)</f>
        <v>2351826.326665148</v>
      </c>
    </row>
    <row r="97" outlineLevel="1">
      <c r="C97" s="2" t="str">
        <v>Pagado</v>
      </c>
      <c r="D97" t="str">
        <v>Neo Factura # 6613</v>
      </c>
      <c r="E97" s="2">
        <v>5499958.239778785</v>
      </c>
      <c r="F97" s="2">
        <f>'MONETIZACIONES PEND'!Q442</f>
        <v>5494632.9165</v>
      </c>
      <c r="G97" s="2">
        <f>(E97-F97)</f>
        <v>5325.323278784752</v>
      </c>
    </row>
    <row r="98" outlineLevel="1">
      <c r="C98" s="2" t="str">
        <v>Pagado</v>
      </c>
      <c r="D98" t="str">
        <v>Neo Factura # FV-5-181</v>
      </c>
      <c r="E98" s="2">
        <v>59718741.59399501</v>
      </c>
      <c r="F98" s="2">
        <f>'MONETIZACIONES PEND'!Q443</f>
        <v>59660919.044999994</v>
      </c>
      <c r="G98" s="2">
        <f>(E98-F98)</f>
        <v>57822.548995018005</v>
      </c>
    </row>
    <row r="99" outlineLevel="1">
      <c r="C99" s="2" t="str">
        <v>Pagado</v>
      </c>
      <c r="D99" t="str">
        <v>Neo Factura # 6638</v>
      </c>
      <c r="E99" s="2">
        <v>232127.47344980136</v>
      </c>
      <c r="F99" s="2">
        <f>'MONETIZACIONES PEND'!Q444</f>
        <v>231902.7165</v>
      </c>
      <c r="G99" s="2">
        <f>(E99-F99)</f>
        <v>224.75694980134722</v>
      </c>
    </row>
    <row r="100" outlineLevel="1">
      <c r="C100" s="2" t="str">
        <v>Pagado</v>
      </c>
      <c r="D100" t="str">
        <v>Neo Factura # FV-5-196</v>
      </c>
      <c r="E100" s="2">
        <v>2901356.292776387</v>
      </c>
      <c r="F100" s="2">
        <f>'MONETIZACIONES PEND'!Q445</f>
        <v>2898547.0605</v>
      </c>
      <c r="G100" s="2">
        <f>(E100-F100)</f>
        <v>2809.232276387047</v>
      </c>
    </row>
    <row r="101" outlineLevel="1">
      <c r="C101" s="2" t="str">
        <v>Pagado</v>
      </c>
      <c r="D101" t="str">
        <v>Neo Factura # 6682</v>
      </c>
      <c r="E101" s="2">
        <v>5953181.984942068</v>
      </c>
      <c r="F101" s="2">
        <v>5726343.290999999</v>
      </c>
      <c r="G101" s="2">
        <f>(E101-F101)</f>
        <v>226838.69394206908</v>
      </c>
    </row>
    <row r="102" outlineLevel="1">
      <c r="C102" s="2" t="str">
        <v>Pagado</v>
      </c>
      <c r="D102" t="str">
        <v>Neo Factura # FV-5-211</v>
      </c>
      <c r="E102" s="2">
        <v>74414737.97505794</v>
      </c>
      <c r="F102" s="2">
        <v>71579255.7044</v>
      </c>
      <c r="G102" s="2">
        <f>(E102-F102)</f>
        <v>2835482.2706579417</v>
      </c>
    </row>
    <row r="103" outlineLevel="1">
      <c r="C103" s="2" t="str">
        <v>Pagado</v>
      </c>
      <c r="D103" t="str">
        <v>Oncehub Factura # 6681</v>
      </c>
      <c r="E103" s="2">
        <v>881517.5415626297</v>
      </c>
      <c r="F103" s="2">
        <v>859504.8</v>
      </c>
      <c r="G103" s="2">
        <f>(E103-F103)</f>
        <v>22012.7415626297</v>
      </c>
    </row>
    <row r="104" outlineLevel="1">
      <c r="C104" s="2" t="str">
        <v>Pagado</v>
      </c>
      <c r="D104" t="str">
        <v>Oncehub Factura # 5-210</v>
      </c>
      <c r="E104" s="2">
        <v>12034110.178437369</v>
      </c>
      <c r="F104" s="2">
        <v>11733601.4026</v>
      </c>
      <c r="G104" s="2">
        <f>(E104-F104)</f>
        <v>300508.77583736926</v>
      </c>
    </row>
    <row r="105" outlineLevel="1">
      <c r="C105" s="2" t="str">
        <v>Pagado</v>
      </c>
      <c r="D105" t="str">
        <v>Poc Pharma Limited Factura # 6706</v>
      </c>
      <c r="E105" s="2">
        <v>1749609.6</v>
      </c>
      <c r="F105" s="2">
        <v>1718793.6</v>
      </c>
      <c r="G105" s="2">
        <f>(E105-F105)</f>
        <v>30816</v>
      </c>
    </row>
    <row r="106" outlineLevel="1">
      <c r="C106" s="2" t="str">
        <v>Pagado</v>
      </c>
      <c r="D106" t="str">
        <v>Poc Pharma Limited Factura # 5-230</v>
      </c>
      <c r="E106" s="2">
        <v>8018861.748999999</v>
      </c>
      <c r="F106" s="2">
        <v>7877624.959</v>
      </c>
      <c r="G106" s="2">
        <f>(E106-F106)</f>
        <v>141236.7899999991</v>
      </c>
    </row>
    <row r="107" outlineLevel="1">
      <c r="C107" s="2" t="str">
        <v>Pagado</v>
      </c>
      <c r="D107" t="str">
        <v>Poc Pharma Limited Factura # 5-231</v>
      </c>
      <c r="E107" s="2">
        <v>1199211.58</v>
      </c>
      <c r="F107" s="2">
        <v>1178089.78</v>
      </c>
      <c r="G107" s="2">
        <f>(E107-F107)</f>
        <v>21121.800000000047</v>
      </c>
      <c r="J107" s="8" t="str">
        <v>Ingreso</v>
      </c>
      <c r="K107" s="2">
        <f>G54+G55+G58+G59+G60+G61+G64+G65+G66+G67+G80+G81+G82+G83+G88+G89+G90+G91+G92+G93+G94+G95+G96+G97+G98+G99+G100+G101+G102+G103+G104+G105+G106+G107+G110+G111+G115+G116+G117+G118+G119-72938</f>
        <v>58405344.1851002</v>
      </c>
    </row>
    <row r="108" outlineLevel="1">
      <c r="C108" s="2" t="str">
        <v>Pagado</v>
      </c>
      <c r="D108" t="str">
        <v>Remofirst Factura # 5-162 Diciembre</v>
      </c>
      <c r="E108" s="2">
        <v>23016847.887000002</v>
      </c>
      <c r="F108" s="2">
        <v>23615660.702700004</v>
      </c>
      <c r="G108" s="2">
        <f>(E108-F108)</f>
        <v>-598812.815700002</v>
      </c>
      <c r="J108" s="8" t="str">
        <v>Gastos</v>
      </c>
      <c r="K108" s="2">
        <f>G22+G23+G24+G25+G26+G27+G28+G28+G36+G37+G45+G46+G56+G57+G68+G69+G70+G71+G75+G76+G84+G85+G108+G109</f>
        <v>-25223277.243080005</v>
      </c>
      <c r="L108" s="12">
        <f>+K109-G120</f>
        <v>0.35039999336004257</v>
      </c>
    </row>
    <row r="109" outlineLevel="1">
      <c r="C109" s="2" t="str">
        <v>Pagado</v>
      </c>
      <c r="D109" t="str">
        <v>Remofirst Factura # 6580- Diciembre</v>
      </c>
      <c r="E109" s="2">
        <v>2604743.4</v>
      </c>
      <c r="F109" s="2">
        <v>2672509.14</v>
      </c>
      <c r="G109" s="2">
        <f>(E109-F109)</f>
        <v>-67765.74000000022</v>
      </c>
      <c r="J109" s="5" t="str">
        <v>Balanza</v>
      </c>
      <c r="K109" s="2">
        <f>SUM(K107:K108)</f>
        <v>33182066.942020193</v>
      </c>
    </row>
    <row r="110" outlineLevel="1">
      <c r="C110" s="2" t="str">
        <v>Pagado</v>
      </c>
      <c r="D110" t="str">
        <v>Remofirst Factura # 6670</v>
      </c>
      <c r="E110" s="2">
        <v>46851194.88</v>
      </c>
      <c r="F110" s="2">
        <v>45514201.32</v>
      </c>
      <c r="G110" s="2">
        <f>(E110-F110)</f>
        <v>1336993.5600000024</v>
      </c>
    </row>
    <row r="111" outlineLevel="1">
      <c r="C111" s="2" t="str">
        <v>Pagado</v>
      </c>
      <c r="D111" t="str">
        <v>Remofirst Factura # 5-204</v>
      </c>
      <c r="E111" s="2">
        <v>1166161236.7872</v>
      </c>
      <c r="F111" s="2">
        <v>1132882468.3908</v>
      </c>
      <c r="G111" s="2">
        <f>(E111-F111)</f>
        <v>33278768.396399975</v>
      </c>
    </row>
    <row r="112" outlineLevel="1">
      <c r="C112" s="2" t="str">
        <v>Pagado</v>
      </c>
      <c r="D112" t="str">
        <v>Rivermate Factura # 6674</v>
      </c>
      <c r="E112" s="2">
        <f>1095096-74977</f>
        <v>1020119</v>
      </c>
      <c r="F112" s="2">
        <v>1095096</v>
      </c>
      <c r="K112" s="2">
        <f>SUM(F112:F114)</f>
        <v>72876718.06</v>
      </c>
      <c r="L112" s="12">
        <v>72801741</v>
      </c>
      <c r="M112" s="12">
        <f>L112-K112</f>
        <v>-74977.06000000238</v>
      </c>
    </row>
    <row r="113" outlineLevel="1">
      <c r="C113" s="2" t="str">
        <v>Pagado</v>
      </c>
      <c r="D113" t="str">
        <v>Rivermate Factura # 5-206</v>
      </c>
      <c r="E113" s="2">
        <v>71609812.06</v>
      </c>
      <c r="F113" s="2">
        <v>71609812.06</v>
      </c>
      <c r="G113" s="2">
        <f>(E113-F113)*0</f>
        <v>0</v>
      </c>
    </row>
    <row r="114" outlineLevel="1">
      <c r="C114" s="2" t="str">
        <v>Pagado</v>
      </c>
      <c r="D114" t="str">
        <v>Rivermate Factura # 6674</v>
      </c>
      <c r="E114" s="2">
        <v>171810</v>
      </c>
      <c r="F114" s="2">
        <v>171810</v>
      </c>
      <c r="G114" s="2">
        <f>(E114-F114)*0</f>
        <v>0</v>
      </c>
    </row>
    <row r="115" outlineLevel="1">
      <c r="C115" s="2" t="str">
        <v>Pagado</v>
      </c>
      <c r="D115" t="str">
        <v>Root capital factura # 6611</v>
      </c>
      <c r="E115" s="2">
        <f>'MONETIZACIONES PEND'!$R$419</f>
        <v>2118334.68</v>
      </c>
      <c r="F115" s="2">
        <f>'MONETIZACIONES PEND'!Q419</f>
        <v>2114318.052</v>
      </c>
      <c r="G115" s="2">
        <f>(E115-F115)</f>
        <v>4016.628000000026</v>
      </c>
    </row>
    <row r="116" outlineLevel="1">
      <c r="C116" s="2" t="str">
        <v>Pagado</v>
      </c>
      <c r="D116" t="str">
        <v>Root capital  # FV-5-177</v>
      </c>
      <c r="E116" s="2">
        <f>'MONETIZACIONES PEND'!$R$420</f>
        <v>23536942.830000002</v>
      </c>
      <c r="F116" s="2">
        <f>'MONETIZACIONES PEND'!Q420</f>
        <v>23492313.837</v>
      </c>
      <c r="G116" s="2">
        <f>(E116-F116)</f>
        <v>44628.993000000715</v>
      </c>
    </row>
    <row r="117" outlineLevel="1">
      <c r="C117" s="2" t="str">
        <v>Pagado</v>
      </c>
      <c r="D117" t="str">
        <v>Root capital  # FV-5-180</v>
      </c>
      <c r="E117" s="2">
        <f>'MONETIZACIONES PEND'!$R$421</f>
        <v>7942481.399999999</v>
      </c>
      <c r="F117" s="2">
        <f>'MONETIZACIONES PEND'!Q421</f>
        <v>7927421.459999999</v>
      </c>
      <c r="G117" s="2">
        <f>(E117-F117)</f>
        <v>15059.94000000041</v>
      </c>
    </row>
    <row r="118" outlineLevel="1">
      <c r="C118" s="2" t="str">
        <v>Pagado</v>
      </c>
      <c r="D118" t="str">
        <v>Root capital factura # 6688</v>
      </c>
      <c r="E118" s="2">
        <v>1937281.36</v>
      </c>
      <c r="F118" s="2">
        <v>1858253.4964</v>
      </c>
      <c r="G118" s="2">
        <f>(E118-F118)</f>
        <v>79027.86360000004</v>
      </c>
    </row>
    <row r="119" outlineLevel="1">
      <c r="C119" s="2" t="str">
        <v>Pagado</v>
      </c>
      <c r="D119" t="str">
        <v>Root capital  # FV-5-217</v>
      </c>
      <c r="E119" s="2">
        <v>21559439.96</v>
      </c>
      <c r="F119" s="2">
        <v>20679961.8854</v>
      </c>
      <c r="G119" s="2">
        <f>(E119-F119)</f>
        <v>879478.0745999999</v>
      </c>
    </row>
    <row r="120" ht="15.75" customHeight="1">
      <c r="D120" t="str">
        <v>TOTAL INGRESOS</v>
      </c>
      <c r="E120" s="2">
        <f>SUBTOTAL(9,E4:E119)</f>
        <v>4186953521.4585004</v>
      </c>
      <c r="G120" s="2">
        <f>SUM(G14:G119)</f>
        <v>33182066.5916202</v>
      </c>
    </row>
    <row r="121" ht="15.75" customHeight="1"/>
    <row r="122" ht="15.75" customHeight="1"/>
    <row r="123" ht="15.75" customHeight="1">
      <c r="C123" t="str">
        <v xml:space="preserve">CUENTAS X PAGAR MES </v>
      </c>
      <c r="E123" t="str">
        <v>FEBRERO</v>
      </c>
      <c r="F123" t="str">
        <v>Fecha de Elaboración:</v>
      </c>
      <c r="J123" s="1">
        <v>46055</v>
      </c>
    </row>
    <row r="124" ht="16.5" customHeight="1">
      <c r="C124" t="str">
        <v>Factura</v>
      </c>
      <c r="D124" t="str">
        <v>PROVEEDOR</v>
      </c>
      <c r="E124" s="2" t="str">
        <v>VALOR</v>
      </c>
      <c r="F124" t="str">
        <v>Fecha vencimiento</v>
      </c>
      <c r="G124" t="str">
        <v>Estado</v>
      </c>
      <c r="J124" t="str">
        <v>KPI</v>
      </c>
      <c r="K124" t="str">
        <v>Objeto</v>
      </c>
    </row>
    <row r="125" ht="16.5" customHeight="1">
      <c r="D125" t="str">
        <v>PAGOS ANTICIPADOS</v>
      </c>
      <c r="E125" s="2">
        <f>SUBTOTAL(9,E126:E128)</f>
        <v>13860000</v>
      </c>
    </row>
    <row r="126" outlineLevel="1">
      <c r="A126" t="str">
        <f>G126</f>
        <v>Cancelado</v>
      </c>
      <c r="B126">
        <f>IF(I126&lt;=-1,1,IF(I126&lt;=5,2,IF(I126&lt;=15,3,IF(H126&lt;=60,4))))</f>
        <v>2</v>
      </c>
      <c r="D126" t="str">
        <v>Anticipo nómina Action</v>
      </c>
      <c r="E126" s="2">
        <f>4747292*0</f>
        <v>0</v>
      </c>
      <c r="F126" s="1">
        <v>46055</v>
      </c>
      <c r="G126" t="str">
        <v>Cancelado</v>
      </c>
      <c r="H126">
        <f>IF(OR(G126="Sin pagar",G126="Pagar"),NETWORKDAYS($J$123,F126,'Festivos Colombia'!$A$3:$A$22),0)</f>
        <v>0</v>
      </c>
      <c r="I126">
        <f>NETWORKDAYS($J$123,F126,'Festivos Colombia'!$A$3:$A$22)</f>
        <v>1</v>
      </c>
      <c r="J126" s="7">
        <f>H126</f>
        <v>0</v>
      </c>
    </row>
    <row r="127" outlineLevel="1">
      <c r="A127" t="str">
        <f>G127</f>
        <v>Cancelado</v>
      </c>
      <c r="B127">
        <f>IF(I127&lt;=-1,1,IF(I127&lt;=5,2,IF(I127&lt;=15,3,IF(H127&lt;=60,4))))</f>
        <v>3</v>
      </c>
      <c r="D127" t="str">
        <v>Anticipo nómina Nazdar</v>
      </c>
      <c r="E127" s="2">
        <v>9500000</v>
      </c>
      <c r="F127" s="1">
        <v>46066</v>
      </c>
      <c r="G127" t="str">
        <v>Cancelado</v>
      </c>
      <c r="H127">
        <f>IF(OR(G127="Sin pagar",G127="Pagar"),NETWORKDAYS($J$123,F127,'Festivos Colombia'!$A$3:$A$22),0)</f>
        <v>0</v>
      </c>
      <c r="I127">
        <f>NETWORKDAYS($J$123,F127,'Festivos Colombia'!$A$3:$A$22)</f>
        <v>10</v>
      </c>
      <c r="J127" s="7">
        <f>H127</f>
        <v>0</v>
      </c>
    </row>
    <row r="128" ht="15.75" customHeight="1" outlineLevel="1">
      <c r="A128" t="str">
        <f>G128</f>
        <v>Cancelado</v>
      </c>
      <c r="B128">
        <f>IF(I128&lt;=-1,1,IF(I128&lt;=5,2,IF(I128&lt;=15,3,IF(H128&lt;=60,4))))</f>
        <v>3</v>
      </c>
      <c r="D128" t="str">
        <v>Anticipo nómina Action</v>
      </c>
      <c r="E128" s="2">
        <v>4360000</v>
      </c>
      <c r="F128" s="1">
        <v>46066</v>
      </c>
      <c r="G128" t="str">
        <v>Cancelado</v>
      </c>
      <c r="H128">
        <f>IF(OR(G128="Sin pagar",G128="Pagar"),NETWORKDAYS($J$123,F128,'Festivos Colombia'!$A$3:$A$22),0)</f>
        <v>0</v>
      </c>
      <c r="I128">
        <f>NETWORKDAYS($J$123,F128,'Festivos Colombia'!$A$3:$A$22)</f>
        <v>10</v>
      </c>
      <c r="J128" s="7">
        <f>H128</f>
        <v>0</v>
      </c>
    </row>
    <row r="129" ht="16.5" customHeight="1">
      <c r="D129" t="str">
        <v xml:space="preserve">SEGURIDAD SOCIAL   </v>
      </c>
      <c r="E129" s="2">
        <f>SUBTOTAL(9,E130:E131)</f>
        <v>553825400</v>
      </c>
    </row>
    <row r="130" outlineLevel="1">
      <c r="A130" t="str">
        <f>G130</f>
        <v>Cancelado</v>
      </c>
      <c r="B130">
        <f>IF(I130&lt;=-1,1,IF(I130&lt;=5,2,IF(I130&lt;=15,3,IF(H130&lt;=60,4))))</f>
        <v>3</v>
      </c>
      <c r="C130" s="6">
        <v>176206200</v>
      </c>
      <c r="D130" t="str">
        <v xml:space="preserve">Seguridad social </v>
      </c>
      <c r="E130" s="2">
        <v>553473400</v>
      </c>
      <c r="F130" s="1">
        <v>46065</v>
      </c>
      <c r="G130" t="str">
        <v>Cancelado</v>
      </c>
      <c r="H130">
        <f>IF(OR(G130="Sin pagar",G130="Pagar"),NETWORKDAYS($J$123,F130,'Festivos Colombia'!$A$3:$A$22),0)</f>
        <v>0</v>
      </c>
      <c r="I130">
        <f>NETWORKDAYS($J$123,F130,'Festivos Colombia'!$A$3:$A$22)</f>
        <v>9</v>
      </c>
      <c r="J130" s="7">
        <f>H130</f>
        <v>0</v>
      </c>
    </row>
    <row r="131" ht="15.75" customHeight="1" outlineLevel="1">
      <c r="A131" t="str">
        <f>G131</f>
        <v>Cancelado</v>
      </c>
      <c r="B131">
        <f>IF(I131&lt;=-1,1,IF(I131&lt;=5,2,IF(I131&lt;=15,3,IF(H131&lt;=60,4))))</f>
        <v>4</v>
      </c>
      <c r="C131" s="6">
        <v>176206200</v>
      </c>
      <c r="D131" t="str">
        <v>Seguridad social -Planilla tipo N - Enero</v>
      </c>
      <c r="E131" s="2">
        <v>352000</v>
      </c>
      <c r="F131" s="1">
        <v>46085</v>
      </c>
      <c r="G131" t="str">
        <v>Cancelado</v>
      </c>
      <c r="H131">
        <f>IF(OR(G131="Sin pagar",G131="Pagar"),NETWORKDAYS($J$123,F131,'Festivos Colombia'!$A$3:$A$22),0)</f>
        <v>0</v>
      </c>
      <c r="I131">
        <f>NETWORKDAYS($J$123,F131,'Festivos Colombia'!$A$3:$A$22)</f>
        <v>23</v>
      </c>
      <c r="J131" s="7">
        <f>H131</f>
        <v>0</v>
      </c>
    </row>
    <row r="132" ht="16.5" customHeight="1">
      <c r="D132" t="str">
        <v>AFC´S</v>
      </c>
      <c r="E132" s="2">
        <f>SUBTOTAL(9,E133:E135)</f>
        <v>14755460</v>
      </c>
    </row>
    <row r="133" outlineLevel="1">
      <c r="A133" t="str">
        <f>G133</f>
        <v>Cancelado</v>
      </c>
      <c r="B133">
        <f>IF(I133&lt;=-1,1,IF(I133&lt;=5,2,IF(I133&lt;=15,3,IF(H133&lt;=60,4))))</f>
        <v>4</v>
      </c>
      <c r="D133" t="str">
        <v xml:space="preserve">AFC Dafuturo cheque </v>
      </c>
      <c r="E133" s="2">
        <v>1000000</v>
      </c>
      <c r="F133" s="1">
        <v>46080</v>
      </c>
      <c r="G133" t="str">
        <v>Cancelado</v>
      </c>
      <c r="H133">
        <f>IF(OR(G133="Sin pagar",G133="Pagar"),NETWORKDAYS($J$123,F133,'Festivos Colombia'!$A$3:$A$22),0)</f>
        <v>0</v>
      </c>
      <c r="I133">
        <f>NETWORKDAYS($J$123,F133,'Festivos Colombia'!$A$3:$A$22)</f>
        <v>20</v>
      </c>
      <c r="J133" s="7">
        <f>H133</f>
        <v>0</v>
      </c>
    </row>
    <row r="134" outlineLevel="1">
      <c r="A134" t="str">
        <f>G134</f>
        <v>Cancelado</v>
      </c>
      <c r="B134">
        <f>IF(I134&lt;=-1,1,IF(I134&lt;=5,2,IF(I134&lt;=15,3,IF(H134&lt;=60,4))))</f>
        <v>4</v>
      </c>
      <c r="D134" t="str">
        <v xml:space="preserve">AFC OER electronico </v>
      </c>
      <c r="E134" s="2">
        <f>7600000+4000000</f>
        <v>11600000</v>
      </c>
      <c r="F134" s="1">
        <v>46080</v>
      </c>
      <c r="G134" t="str">
        <v>Cancelado</v>
      </c>
      <c r="H134">
        <f>IF(OR(G134="Sin pagar",G134="Pagar"),NETWORKDAYS($J$123,F134,'Festivos Colombia'!$A$3:$A$22),0)</f>
        <v>0</v>
      </c>
      <c r="I134">
        <f>NETWORKDAYS($J$123,F134,'Festivos Colombia'!$A$3:$A$22)</f>
        <v>20</v>
      </c>
      <c r="J134" s="7">
        <f>H134</f>
        <v>0</v>
      </c>
    </row>
    <row r="135" ht="15.75" customHeight="1" outlineLevel="1">
      <c r="A135" t="str">
        <f>G135</f>
        <v>Cancelado</v>
      </c>
      <c r="B135">
        <f>IF(I135&lt;=-1,1,IF(I135&lt;=5,2,IF(I135&lt;=15,3,IF(H135&lt;=60,4))))</f>
        <v>4</v>
      </c>
      <c r="D135" t="str">
        <v xml:space="preserve">AFC Edward Forero electronico </v>
      </c>
      <c r="E135" s="2">
        <v>2155460</v>
      </c>
      <c r="F135" s="1">
        <v>46080</v>
      </c>
      <c r="G135" t="str">
        <v>Cancelado</v>
      </c>
      <c r="H135">
        <f>IF(OR(G135="Sin pagar",G135="Pagar"),NETWORKDAYS($J$123,F135,'Festivos Colombia'!$A$3:$A$22),0)</f>
        <v>0</v>
      </c>
      <c r="I135">
        <f>NETWORKDAYS($J$123,F135,'Festivos Colombia'!$A$3:$A$22)</f>
        <v>20</v>
      </c>
      <c r="J135" s="7">
        <f>H135</f>
        <v>0</v>
      </c>
    </row>
    <row r="136" ht="16.5" customHeight="1">
      <c r="D136" t="str">
        <v xml:space="preserve">IMPUESTOS </v>
      </c>
      <c r="E136" s="2">
        <f>SUBTOTAL(9,E137:E138)</f>
        <v>202328000</v>
      </c>
      <c r="J136" s="7">
        <f>H136</f>
        <v>0</v>
      </c>
    </row>
    <row r="137" outlineLevel="1">
      <c r="A137" t="str">
        <f>G137</f>
        <v>Cancelado</v>
      </c>
      <c r="B137">
        <f>IF(I137&lt;=-1,1,IF(I137&lt;=5,2,IF(I137&lt;=15,3,IF(H137&lt;=60,4))))</f>
        <v>3</v>
      </c>
      <c r="D137" t="str">
        <v xml:space="preserve">RETENCIÓN EN LA FUENTE </v>
      </c>
      <c r="E137" s="2">
        <f>189690000+138000</f>
        <v>189828000</v>
      </c>
      <c r="F137" s="1">
        <v>46071</v>
      </c>
      <c r="G137" t="str">
        <v>Cancelado</v>
      </c>
      <c r="H137">
        <f>IF(OR(G137="Sin pagar",G137="Pagar"),NETWORKDAYS($J$123,F137,'Festivos Colombia'!$A$3:$A$22),0)</f>
        <v>0</v>
      </c>
      <c r="I137">
        <f>NETWORKDAYS($J$123,F137,'Festivos Colombia'!$A$3:$A$22)</f>
        <v>13</v>
      </c>
      <c r="J137" s="7">
        <f>H137</f>
        <v>0</v>
      </c>
    </row>
    <row r="138" ht="15.75" customHeight="1" outlineLevel="1">
      <c r="D138" t="str">
        <v xml:space="preserve">ICA ANUAL </v>
      </c>
      <c r="E138" s="2">
        <v>12500000</v>
      </c>
      <c r="F138" s="1">
        <v>46079</v>
      </c>
      <c r="G138" t="str">
        <v>Cancelado</v>
      </c>
      <c r="H138">
        <f>IF(OR(G138="Sin pagar",G138="Pagar"),NETWORKDAYS($J$123,F138,'Festivos Colombia'!$A$3:$A$22),0)</f>
        <v>0</v>
      </c>
      <c r="I138">
        <f>NETWORKDAYS($J$123,F138,'Festivos Colombia'!$A$3:$A$22)</f>
        <v>19</v>
      </c>
      <c r="J138" s="7">
        <f>H138</f>
        <v>0</v>
      </c>
    </row>
    <row r="139" ht="16.5" customHeight="1">
      <c r="D139" t="str">
        <v>ARRIENDO, INTERNET, TELEFONIA Y GASTOS DE OFICINA</v>
      </c>
      <c r="E139" s="2">
        <f>SUBTOTAL(9,E140:E165)</f>
        <v>15504181.913</v>
      </c>
      <c r="J139" s="7">
        <f>H139</f>
        <v>0</v>
      </c>
    </row>
    <row r="140" outlineLevel="1">
      <c r="A140" t="str">
        <f>G140</f>
        <v>Cancelado</v>
      </c>
      <c r="B140">
        <f>IF(I140&lt;=-1,1,IF(I140&lt;=5,2,IF(I140&lt;=15,3,IF(H140&lt;=60,4))))</f>
        <v>2</v>
      </c>
      <c r="C140">
        <v>3</v>
      </c>
      <c r="D140" t="str">
        <v xml:space="preserve">Giovanna Guio-Reembolso de gastos </v>
      </c>
      <c r="E140" s="2">
        <v>292000</v>
      </c>
      <c r="F140" s="1">
        <v>46058</v>
      </c>
      <c r="G140" t="str">
        <v>Cancelado</v>
      </c>
      <c r="H140">
        <f>IF(OR(G140="Sin pagar",G140="Pagar"),NETWORKDAYS($J$123,F140,'Festivos Colombia'!$A$3:$A$22),0)</f>
        <v>0</v>
      </c>
      <c r="I140">
        <f>NETWORKDAYS($J$123,F140,'Festivos Colombia'!$A$3:$A$22)</f>
        <v>4</v>
      </c>
      <c r="J140" s="7">
        <f>H140</f>
        <v>0</v>
      </c>
    </row>
    <row r="141" outlineLevel="1">
      <c r="A141" t="str">
        <f>G141</f>
        <v>Cancelado</v>
      </c>
      <c r="B141">
        <f>IF(I141&lt;=-1,1,IF(I141&lt;=5,2,IF(I141&lt;=15,3,IF(H141&lt;=60,4))))</f>
        <v>2</v>
      </c>
      <c r="C141" t="str">
        <v>FEWP-6576</v>
      </c>
      <c r="D141" t="str">
        <v>WORKPLACE SOLUTIONS GROUP SAS (SPACIO)-Sala de juntas 9 horas</v>
      </c>
      <c r="E141" s="2">
        <v>401399.68</v>
      </c>
      <c r="F141" s="1">
        <v>46058</v>
      </c>
      <c r="G141" t="str">
        <v>Cancelado</v>
      </c>
      <c r="H141">
        <f>IF(OR(G141="Sin pagar",G141="Pagar"),NETWORKDAYS($J$123,F141,'Festivos Colombia'!$A$3:$A$22),0)</f>
        <v>0</v>
      </c>
      <c r="I141">
        <f>NETWORKDAYS($J$123,F141,'Festivos Colombia'!$A$3:$A$22)</f>
        <v>4</v>
      </c>
      <c r="J141" s="7">
        <f>H141</f>
        <v>0</v>
      </c>
    </row>
    <row r="142" outlineLevel="1">
      <c r="A142" t="str">
        <f>G142</f>
        <v>Cancelado</v>
      </c>
      <c r="B142">
        <f>IF(I142&lt;=-1,1,IF(I142&lt;=5,2,IF(I142&lt;=15,3,IF(H142&lt;=60,4))))</f>
        <v>2</v>
      </c>
      <c r="C142" t="str">
        <v>FEWP-6563</v>
      </c>
      <c r="D142" t="str">
        <v>WORKPLACE SOLUTIONS GROUP SAS (SPACIO)</v>
      </c>
      <c r="E142" s="2">
        <v>358066.76</v>
      </c>
      <c r="F142" s="1">
        <v>46058</v>
      </c>
      <c r="G142" t="str">
        <v>Cancelado</v>
      </c>
      <c r="H142">
        <f>IF(OR(G142="Sin pagar",G142="Pagar"),NETWORKDAYS($J$123,F142,'Festivos Colombia'!$A$3:$A$22),0)</f>
        <v>0</v>
      </c>
      <c r="I142">
        <f>NETWORKDAYS($J$123,F142,'Festivos Colombia'!$A$3:$A$22)</f>
        <v>4</v>
      </c>
      <c r="J142" s="7">
        <f>H142</f>
        <v>0</v>
      </c>
    </row>
    <row r="143" outlineLevel="1">
      <c r="A143" t="str">
        <f>G143</f>
        <v>Cancelado</v>
      </c>
      <c r="B143">
        <f>IF(I143&lt;=-1,1,IF(I143&lt;=5,2,IF(I143&lt;=15,3,IF(H143&lt;=60,4))))</f>
        <v>2</v>
      </c>
      <c r="C143" s="4" t="str">
        <v>580831420908</v>
      </c>
      <c r="D143" t="str">
        <v>Movistar Office 365</v>
      </c>
      <c r="E143" s="2">
        <v>362747</v>
      </c>
      <c r="F143" s="1">
        <v>46058</v>
      </c>
      <c r="G143" t="str">
        <v>Cancelado</v>
      </c>
      <c r="H143">
        <f>IF(OR(G143="Sin pagar",G143="Pagar"),NETWORKDAYS($J$123,F143,'Festivos Colombia'!$A$3:$A$22),0)</f>
        <v>0</v>
      </c>
      <c r="I143">
        <f>NETWORKDAYS($J$123,F143,'Festivos Colombia'!$A$3:$A$22)</f>
        <v>4</v>
      </c>
      <c r="J143" s="7">
        <f>H143</f>
        <v>0</v>
      </c>
    </row>
    <row r="144" ht="14.25" customHeight="1" outlineLevel="1">
      <c r="A144" t="str">
        <f>G144</f>
        <v>Cancelado</v>
      </c>
      <c r="B144">
        <f>IF(I144&lt;=-1,1,IF(I144&lt;=5,2,IF(I144&lt;=15,3,IF(H144&lt;=60,4))))</f>
        <v>2</v>
      </c>
      <c r="C144" s="4" t="str">
        <v>13</v>
      </c>
      <c r="D144" t="str">
        <v>Yoana Herrera</v>
      </c>
      <c r="E144" s="2">
        <v>660557</v>
      </c>
      <c r="F144" s="1">
        <v>46058</v>
      </c>
      <c r="G144" t="str">
        <v>Cancelado</v>
      </c>
      <c r="H144">
        <f>IF(OR(G144="Sin pagar",G144="Pagar"),NETWORKDAYS($J$123,F144,'Festivos Colombia'!$A$3:$A$22),0)</f>
        <v>0</v>
      </c>
      <c r="I144">
        <f>NETWORKDAYS($J$123,F144,'Festivos Colombia'!$A$3:$A$22)</f>
        <v>4</v>
      </c>
      <c r="J144" s="7">
        <f>H144</f>
        <v>0</v>
      </c>
    </row>
    <row r="145" ht="14.25" customHeight="1" outlineLevel="1">
      <c r="A145" t="str">
        <f>G145</f>
        <v>Cancelado</v>
      </c>
      <c r="B145">
        <f>IF(I145&lt;=-1,1,IF(I145&lt;=5,2,IF(I145&lt;=15,3,IF(H145&lt;=60,4))))</f>
        <v>2</v>
      </c>
      <c r="C145" s="4" t="str">
        <v>3</v>
      </c>
      <c r="D145" t="str">
        <v>Diana Carolina Cortes</v>
      </c>
      <c r="E145" s="2">
        <v>450000</v>
      </c>
      <c r="F145" s="1">
        <v>46058</v>
      </c>
      <c r="G145" t="str">
        <v>Cancelado</v>
      </c>
      <c r="H145">
        <f>IF(OR(G145="Sin pagar",G145="Pagar"),NETWORKDAYS($J$123,F145,'Festivos Colombia'!$A$3:$A$22),0)</f>
        <v>0</v>
      </c>
      <c r="I145">
        <f>NETWORKDAYS($J$123,F145,'Festivos Colombia'!$A$3:$A$22)</f>
        <v>4</v>
      </c>
      <c r="J145" s="7">
        <f>H145</f>
        <v>0</v>
      </c>
    </row>
    <row r="146" outlineLevel="1">
      <c r="A146" t="str">
        <f>G146</f>
        <v>Cancelado</v>
      </c>
      <c r="B146">
        <f>IF(I146&lt;=-1,1,IF(I146&lt;=5,2,IF(I146&lt;=15,3,IF(H146&lt;=60,4))))</f>
        <v>2</v>
      </c>
      <c r="C146">
        <v>33</v>
      </c>
      <c r="D146" t="str">
        <v>Dario Mendez</v>
      </c>
      <c r="E146" s="2">
        <v>500000</v>
      </c>
      <c r="F146" s="1">
        <v>46059</v>
      </c>
      <c r="G146" t="str">
        <v>Cancelado</v>
      </c>
      <c r="H146">
        <f>IF(OR(G146="Sin pagar",G146="Pagar"),NETWORKDAYS($J$123,F146,'Festivos Colombia'!$A$3:$A$22),0)</f>
        <v>0</v>
      </c>
      <c r="I146">
        <f>NETWORKDAYS($J$123,F146,'Festivos Colombia'!$A$3:$A$22)</f>
        <v>5</v>
      </c>
      <c r="J146" s="7">
        <f>H146</f>
        <v>0</v>
      </c>
    </row>
    <row r="147" outlineLevel="1">
      <c r="A147" t="str">
        <f>G147</f>
        <v>Cancelado</v>
      </c>
      <c r="B147">
        <f>IF(I147&lt;=-1,1,IF(I147&lt;=5,2,IF(I147&lt;=15,3,IF(H147&lt;=60,4))))</f>
        <v>3</v>
      </c>
      <c r="C147" t="str">
        <v>S/N</v>
      </c>
      <c r="D147" t="str">
        <v>Renovación SIIGO</v>
      </c>
      <c r="E147" s="2">
        <v>3828226</v>
      </c>
      <c r="F147" s="1">
        <v>46065</v>
      </c>
      <c r="G147" t="str">
        <v>Cancelado</v>
      </c>
      <c r="H147">
        <f>IF(OR(G147="Sin pagar",G147="Pagar"),NETWORKDAYS($J$123,F147,'Festivos Colombia'!$A$3:$A$22),0)</f>
        <v>0</v>
      </c>
      <c r="I147">
        <f>NETWORKDAYS($J$123,F147,'Festivos Colombia'!$A$3:$A$22)</f>
        <v>9</v>
      </c>
      <c r="J147" s="7">
        <f>H147</f>
        <v>0</v>
      </c>
    </row>
    <row r="148" outlineLevel="1">
      <c r="A148" t="str">
        <f>G148</f>
        <v>Cancelado</v>
      </c>
      <c r="B148">
        <f>IF(I148&lt;=-1,1,IF(I148&lt;=5,2,IF(I148&lt;=15,3,IF(H148&lt;=60,4))))</f>
        <v>3</v>
      </c>
      <c r="C148">
        <v>27377</v>
      </c>
      <c r="D148" t="str">
        <v>Parking remofirst</v>
      </c>
      <c r="E148" s="2">
        <v>667200.5129999999</v>
      </c>
      <c r="F148" s="1">
        <v>46066</v>
      </c>
      <c r="G148" t="str">
        <v>Cancelado</v>
      </c>
      <c r="H148">
        <f>IF(OR(G148="Sin pagar",G148="Pagar"),NETWORKDAYS($J$123,F148,'Festivos Colombia'!$A$3:$A$22),0)</f>
        <v>0</v>
      </c>
      <c r="I148">
        <f>NETWORKDAYS($J$123,F148,'Festivos Colombia'!$A$3:$A$22)</f>
        <v>10</v>
      </c>
      <c r="J148" s="7">
        <f>H148</f>
        <v>0</v>
      </c>
    </row>
    <row r="149" ht="14.25" customHeight="1" outlineLevel="1">
      <c r="A149" t="str">
        <f>G149</f>
        <v>Cancelado</v>
      </c>
      <c r="B149">
        <f>IF(I149&lt;=-1,1,IF(I149&lt;=5,2,IF(I149&lt;=15,3,IF(H149&lt;=60,4))))</f>
        <v>3</v>
      </c>
      <c r="C149" s="4" t="str">
        <v>FE-56980</v>
      </c>
      <c r="D149" t="str">
        <v>BUK colombia SAS-Sucricpión Diciembre</v>
      </c>
      <c r="E149" s="2">
        <f>1244113.7</f>
        <v>1244113.7</v>
      </c>
      <c r="F149" s="1">
        <v>46066</v>
      </c>
      <c r="G149" t="str">
        <v>Cancelado</v>
      </c>
      <c r="H149">
        <f>IF(OR(G149="Sin pagar",G149="Pagar"),NETWORKDAYS($J$123,F149,'Festivos Colombia'!$A$3:$A$22),0)</f>
        <v>0</v>
      </c>
      <c r="I149">
        <f>NETWORKDAYS($J$123,F149,'Festivos Colombia'!$A$3:$A$22)</f>
        <v>10</v>
      </c>
      <c r="J149" s="7">
        <f>H149</f>
        <v>0</v>
      </c>
    </row>
    <row r="150" outlineLevel="1">
      <c r="A150" t="str">
        <f>G150</f>
        <v>Cancelado</v>
      </c>
      <c r="B150">
        <f>IF(I150&lt;=-1,1,IF(I150&lt;=5,2,IF(I150&lt;=15,3,IF(H150&lt;=60,4))))</f>
        <v>3</v>
      </c>
      <c r="C150">
        <v>34</v>
      </c>
      <c r="D150" t="str">
        <v>Dario Mendez</v>
      </c>
      <c r="E150" s="2">
        <v>690000</v>
      </c>
      <c r="F150" s="1">
        <v>46072</v>
      </c>
      <c r="G150" t="str">
        <v>Cancelado</v>
      </c>
      <c r="H150">
        <f>IF(OR(G150="Sin pagar",G150="Pagar"),NETWORKDAYS($J$123,F150,'Festivos Colombia'!$A$3:$A$22),0)</f>
        <v>0</v>
      </c>
      <c r="I150">
        <f>NETWORKDAYS($J$123,F150,'Festivos Colombia'!$A$3:$A$22)</f>
        <v>14</v>
      </c>
      <c r="J150" s="7">
        <f>H150</f>
        <v>0</v>
      </c>
    </row>
    <row r="151" outlineLevel="1">
      <c r="A151" t="str">
        <f>G151</f>
        <v>Cancelado</v>
      </c>
      <c r="B151">
        <f>IF(I151&lt;=-1,1,IF(I151&lt;=5,2,IF(I151&lt;=15,3,IF(H151&lt;=60,4))))</f>
        <v>3</v>
      </c>
      <c r="C151">
        <v>35</v>
      </c>
      <c r="D151" t="str">
        <v>Dario Mendez</v>
      </c>
      <c r="E151" s="2">
        <v>558000</v>
      </c>
      <c r="F151" s="1">
        <v>46072</v>
      </c>
      <c r="G151" t="str">
        <v>Cancelado</v>
      </c>
      <c r="H151">
        <f>IF(OR(G151="Sin pagar",G151="Pagar"),NETWORKDAYS($J$123,F151,'Festivos Colombia'!$A$3:$A$22),0)</f>
        <v>0</v>
      </c>
      <c r="I151">
        <f>NETWORKDAYS($J$123,F151,'Festivos Colombia'!$A$3:$A$22)</f>
        <v>14</v>
      </c>
      <c r="J151" s="7">
        <f>H151</f>
        <v>0</v>
      </c>
    </row>
    <row r="152" outlineLevel="1">
      <c r="A152" t="str">
        <f>G152</f>
        <v>Cancelado</v>
      </c>
      <c r="B152">
        <f>IF(I152&lt;=-1,1,IF(I152&lt;=5,2,IF(I152&lt;=15,3,IF(H152&lt;=60,4))))</f>
        <v>3</v>
      </c>
      <c r="C152" t="str">
        <v>FEWP-6595</v>
      </c>
      <c r="D152" t="str">
        <v>WORKPLACE SOLUTIONS GROUP SAS (SPACIO)-Sala de juntas eventual</v>
      </c>
      <c r="E152" s="2">
        <v>150524.88</v>
      </c>
      <c r="F152" s="1">
        <v>46073</v>
      </c>
      <c r="G152" t="str">
        <v>Cancelado</v>
      </c>
      <c r="H152">
        <f>IF(OR(G152="Sin pagar",G152="Pagar"),NETWORKDAYS($J$123,F152,'Festivos Colombia'!$A$3:$A$22),0)</f>
        <v>0</v>
      </c>
      <c r="I152">
        <f>NETWORKDAYS($J$123,F152,'Festivos Colombia'!$A$3:$A$22)</f>
        <v>15</v>
      </c>
      <c r="J152" s="7">
        <f>H152</f>
        <v>0</v>
      </c>
    </row>
    <row r="153" outlineLevel="1">
      <c r="A153" t="str">
        <f>G153</f>
        <v>Cancelado</v>
      </c>
      <c r="B153">
        <f>IF(I153&lt;=-1,1,IF(I153&lt;=5,2,IF(I153&lt;=15,3,IF(H153&lt;=60,4))))</f>
        <v>3</v>
      </c>
      <c r="C153" t="str">
        <v>FEWP-6607</v>
      </c>
      <c r="D153" t="str">
        <v>WORKPLACE SOLUTIONS GROUP SAS (SPACIO)-Sala de juntas eventual</v>
      </c>
      <c r="E153" s="2">
        <v>150524.88</v>
      </c>
      <c r="F153" s="1">
        <v>46073</v>
      </c>
      <c r="G153" t="str">
        <v>Cancelado</v>
      </c>
      <c r="H153">
        <f>IF(OR(G153="Sin pagar",G153="Pagar"),NETWORKDAYS($J$123,F153,'Festivos Colombia'!$A$3:$A$22),0)</f>
        <v>0</v>
      </c>
      <c r="I153">
        <f>NETWORKDAYS($J$123,F153,'Festivos Colombia'!$A$3:$A$22)</f>
        <v>15</v>
      </c>
      <c r="J153" s="7">
        <f>H153</f>
        <v>0</v>
      </c>
    </row>
    <row r="154" ht="14.25" customHeight="1" outlineLevel="1">
      <c r="A154" t="str">
        <f>G154</f>
        <v>Cancelado</v>
      </c>
      <c r="B154">
        <f>IF(I154&lt;=-1,1,IF(I154&lt;=5,2,IF(I154&lt;=15,3,IF(H154&lt;=60,4))))</f>
        <v>3</v>
      </c>
      <c r="C154" s="4" t="str">
        <v>63</v>
      </c>
      <c r="D154" t="str">
        <v>Rafael Mier (arriendo Bodega para S&amp;P)</v>
      </c>
      <c r="E154" s="2">
        <v>180000</v>
      </c>
      <c r="F154" s="1">
        <v>46073</v>
      </c>
      <c r="G154" t="str">
        <v>Cancelado</v>
      </c>
      <c r="H154">
        <f>IF(OR(G154="Sin pagar",G154="Pagar"),NETWORKDAYS($J$123,F154,'Festivos Colombia'!$A$3:$A$22),0)</f>
        <v>0</v>
      </c>
      <c r="I154">
        <f>NETWORKDAYS($J$123,F154,'Festivos Colombia'!$A$3:$A$22)</f>
        <v>15</v>
      </c>
      <c r="J154" s="7">
        <f>H154</f>
        <v>0</v>
      </c>
    </row>
    <row r="155" outlineLevel="1">
      <c r="A155" t="str">
        <f>G155</f>
        <v>Cancelado</v>
      </c>
      <c r="B155">
        <f>IF(I155&lt;=-1,1,IF(I155&lt;=5,2,IF(I155&lt;=15,3,IF(H155&lt;=60,4))))</f>
        <v>3</v>
      </c>
      <c r="C155">
        <v>27567</v>
      </c>
      <c r="D155" t="str">
        <v>Parking remofirst</v>
      </c>
      <c r="E155" s="2">
        <v>23850</v>
      </c>
      <c r="F155" s="1">
        <v>46073</v>
      </c>
      <c r="G155" t="str">
        <v>Cancelado</v>
      </c>
      <c r="H155">
        <f>IF(OR(G155="Sin pagar",G155="Pagar"),NETWORKDAYS($J$123,F155,'Festivos Colombia'!$A$3:$A$22),0)</f>
        <v>0</v>
      </c>
      <c r="I155">
        <f>NETWORKDAYS($J$123,F155,'Festivos Colombia'!$A$3:$A$22)</f>
        <v>15</v>
      </c>
      <c r="J155" s="7">
        <f>H155</f>
        <v>0</v>
      </c>
    </row>
    <row r="156" outlineLevel="1">
      <c r="A156" t="str">
        <f>G156</f>
        <v>Cancelado</v>
      </c>
      <c r="B156">
        <f>IF(I156&lt;=-1,1,IF(I156&lt;=5,2,IF(I156&lt;=15,3,IF(H156&lt;=60,4))))</f>
        <v>3</v>
      </c>
      <c r="C156">
        <v>17</v>
      </c>
      <c r="D156" t="str">
        <v>Edgar Rafael Obrador Borja</v>
      </c>
      <c r="E156" s="2">
        <v>1609302.5</v>
      </c>
      <c r="F156" s="1">
        <v>46072</v>
      </c>
      <c r="G156" t="str">
        <v>Cancelado</v>
      </c>
      <c r="H156">
        <f>IF(OR(G156="Sin pagar",G156="Pagar"),NETWORKDAYS($J$123,F156,'Festivos Colombia'!$A$3:$A$22),0)</f>
        <v>0</v>
      </c>
      <c r="I156">
        <f>NETWORKDAYS($J$123,F156,'Festivos Colombia'!$A$3:$A$22)</f>
        <v>14</v>
      </c>
      <c r="J156" s="7">
        <f>H156</f>
        <v>0</v>
      </c>
    </row>
    <row r="157" outlineLevel="1">
      <c r="A157" t="str">
        <f>G157</f>
        <v>Cancelado</v>
      </c>
      <c r="B157">
        <f>IF(I157&lt;=-1,1,IF(I157&lt;=5,2,IF(I157&lt;=15,3,IF(H157&lt;=60,4))))</f>
        <v>4</v>
      </c>
      <c r="C157" s="4" t="str">
        <v>BEC509497930</v>
      </c>
      <c r="D157" t="str">
        <v>MovistaR Telefonía</v>
      </c>
      <c r="E157" s="2">
        <v>946770</v>
      </c>
      <c r="F157" s="1">
        <v>46078</v>
      </c>
      <c r="G157" t="str">
        <v>Cancelado</v>
      </c>
      <c r="H157">
        <f>IF(OR(G157="Sin pagar",G157="Pagar"),NETWORKDAYS($J$123,F157,'Festivos Colombia'!$A$3:$A$22),0)</f>
        <v>0</v>
      </c>
      <c r="I157">
        <f>NETWORKDAYS($J$123,F157,'Festivos Colombia'!$A$3:$A$22)</f>
        <v>18</v>
      </c>
      <c r="J157" s="7">
        <f>H157</f>
        <v>0</v>
      </c>
    </row>
    <row r="158" ht="14.25" customHeight="1" outlineLevel="1">
      <c r="A158" t="str">
        <f>G158</f>
        <v>Cancelado</v>
      </c>
      <c r="B158">
        <f>IF(I158&lt;=-1,1,IF(I158&lt;=5,2,IF(I158&lt;=15,3,IF(H158&lt;=60,4))))</f>
        <v>4</v>
      </c>
      <c r="C158" s="4" t="str">
        <v>192</v>
      </c>
      <c r="D158" t="str">
        <v>Caja menor</v>
      </c>
      <c r="E158" s="2">
        <v>221750</v>
      </c>
      <c r="F158" s="1">
        <v>46080</v>
      </c>
      <c r="G158" t="str">
        <v>Cancelado</v>
      </c>
      <c r="H158">
        <f>IF(OR(G158="Sin pagar",G158="Pagar"),NETWORKDAYS($J$123,F158,'Festivos Colombia'!$A$3:$A$22),0)</f>
        <v>0</v>
      </c>
      <c r="I158">
        <f>NETWORKDAYS($J$123,F158,'Festivos Colombia'!$A$3:$A$22)</f>
        <v>20</v>
      </c>
      <c r="J158" s="7">
        <f>H158</f>
        <v>0</v>
      </c>
    </row>
    <row r="159" outlineLevel="1">
      <c r="A159" t="str">
        <f>G159</f>
        <v>Cancelado</v>
      </c>
      <c r="B159">
        <f>IF(I159&lt;=-1,1,IF(I159&lt;=5,2,IF(I159&lt;=15,3,IF(H159&lt;=60,4))))</f>
        <v>4</v>
      </c>
      <c r="C159" s="4" t="str">
        <v>003 -292490364</v>
      </c>
      <c r="D159" t="str">
        <v>Claro Office 365-Febrero</v>
      </c>
      <c r="E159" s="2">
        <v>1379355</v>
      </c>
      <c r="F159" s="1">
        <v>46085</v>
      </c>
      <c r="G159" t="str">
        <v>Cancelado</v>
      </c>
      <c r="H159">
        <f>IF(OR(G159="Sin pagar",G159="Pagar"),NETWORKDAYS($J$123,F159,'Festivos Colombia'!$A$3:$A$22),0)</f>
        <v>0</v>
      </c>
      <c r="I159">
        <f>NETWORKDAYS($J$123,F159,'Festivos Colombia'!$A$3:$A$22)</f>
        <v>23</v>
      </c>
      <c r="J159" s="7">
        <f>H159</f>
        <v>0</v>
      </c>
    </row>
    <row r="160" outlineLevel="1">
      <c r="A160" t="str">
        <f>G160</f>
        <v>Cancelado</v>
      </c>
      <c r="B160">
        <f>IF(I160&lt;=-1,1,IF(I160&lt;=5,2,IF(I160&lt;=15,3,IF(H160&lt;=60,4))))</f>
        <v>4</v>
      </c>
      <c r="C160">
        <v>6027748555</v>
      </c>
      <c r="D160" t="str">
        <v>Claro-Telefonia -Febrero</v>
      </c>
      <c r="E160" s="2">
        <v>829794</v>
      </c>
      <c r="F160" s="1">
        <v>46085</v>
      </c>
      <c r="G160" t="str">
        <v>Cancelado</v>
      </c>
      <c r="H160">
        <f>IF(OR(G160="Sin pagar",G160="Pagar"),NETWORKDAYS($J$123,F160,'Festivos Colombia'!$A$3:$A$22),0)</f>
        <v>0</v>
      </c>
      <c r="I160">
        <f>NETWORKDAYS($J$123,F160,'Festivos Colombia'!$A$3:$A$22)</f>
        <v>23</v>
      </c>
      <c r="J160" s="7">
        <f>H160</f>
        <v>0</v>
      </c>
    </row>
    <row r="161" ht="14.25" customHeight="1" outlineLevel="1">
      <c r="A161" t="str">
        <f>G161</f>
        <v>Sin Pagar</v>
      </c>
      <c r="B161">
        <f>IF(I161&lt;=-1,1,IF(I161&lt;=5,2,IF(I161&lt;=15,3,IF(H161&lt;=60,4))))</f>
        <v>4</v>
      </c>
      <c r="C161" s="4" t="str">
        <v>FE-56934</v>
      </c>
      <c r="D161" t="str">
        <v xml:space="preserve">BUK colombia SAS-Sucricpión Febrero 2026 Bukplay E-learning - Enero 2026 | 53 empleados </v>
      </c>
      <c r="E161" s="2">
        <f>1244113.7*0</f>
        <v>0</v>
      </c>
      <c r="F161" s="1">
        <v>46087</v>
      </c>
      <c r="G161" t="str">
        <v>Sin Pagar</v>
      </c>
      <c r="H161">
        <f>IF(OR(G161="Sin pagar",G161="Pagar"),NETWORKDAYS($J$123,F161,'Festivos Colombia'!$A$3:$A$22),0)</f>
        <v>25</v>
      </c>
      <c r="I161">
        <f>NETWORKDAYS($J$123,F161,'Festivos Colombia'!$A$3:$A$22)</f>
        <v>25</v>
      </c>
      <c r="J161" s="7">
        <f>H161</f>
        <v>25</v>
      </c>
    </row>
    <row r="162" outlineLevel="1">
      <c r="A162" t="str">
        <f>G162</f>
        <v>Sin Pagar</v>
      </c>
      <c r="B162">
        <f>IF(I162&lt;=-1,1,IF(I162&lt;=5,2,IF(I162&lt;=15,3,IF(H162&lt;=60,4))))</f>
        <v>4</v>
      </c>
      <c r="C162" s="4" t="str">
        <v>580831430799</v>
      </c>
      <c r="D162" t="str">
        <v>Movistar Office 365</v>
      </c>
      <c r="E162" s="2">
        <f>368688*0</f>
        <v>0</v>
      </c>
      <c r="F162" s="1">
        <v>46087</v>
      </c>
      <c r="G162" t="str">
        <v>Sin Pagar</v>
      </c>
      <c r="H162">
        <f>IF(OR(G162="Sin pagar",G162="Pagar"),NETWORKDAYS($J$123,F162,'Festivos Colombia'!$A$3:$A$22),0)</f>
        <v>25</v>
      </c>
      <c r="I162">
        <f>NETWORKDAYS($J$123,F162,'Festivos Colombia'!$A$3:$A$22)</f>
        <v>25</v>
      </c>
      <c r="J162" s="7">
        <f>H162</f>
        <v>25</v>
      </c>
    </row>
    <row r="163" outlineLevel="1">
      <c r="A163" t="str">
        <f>G163</f>
        <v>Sin Pagar</v>
      </c>
      <c r="B163">
        <f>IF(I163&lt;=-1,1,IF(I163&lt;=5,2,IF(I163&lt;=15,3,IF(H163&lt;=60,4))))</f>
        <v>4</v>
      </c>
      <c r="C163" t="str">
        <v>FEWP-6700</v>
      </c>
      <c r="D163" t="str">
        <v>WORKPLACE SOLUTIONS GROUP SAS (SPACIO)</v>
      </c>
      <c r="E163" s="2">
        <f>358066.76*0</f>
        <v>0</v>
      </c>
      <c r="F163" s="1">
        <v>46087</v>
      </c>
      <c r="G163" t="str">
        <v>Sin Pagar</v>
      </c>
      <c r="H163">
        <f>IF(OR(G163="Sin pagar",G163="Pagar"),NETWORKDAYS($J$123,F163,'Festivos Colombia'!$A$3:$A$22),0)</f>
        <v>25</v>
      </c>
      <c r="I163">
        <f>NETWORKDAYS($J$123,F163,'Festivos Colombia'!$A$3:$A$22)</f>
        <v>25</v>
      </c>
      <c r="J163" s="7">
        <f>H163</f>
        <v>25</v>
      </c>
    </row>
    <row r="164" outlineLevel="1">
      <c r="A164" t="str">
        <f>G164</f>
        <v>Sin Pagar</v>
      </c>
      <c r="B164">
        <f>IF(I164&lt;=-1,1,IF(I164&lt;=5,2,IF(I164&lt;=15,3,IF(H164&lt;=60,4))))</f>
        <v>4</v>
      </c>
      <c r="C164">
        <v>27768</v>
      </c>
      <c r="D164" t="str">
        <v>Parking remofirst</v>
      </c>
      <c r="E164" s="2">
        <f>926800*0</f>
        <v>0</v>
      </c>
      <c r="F164" s="1">
        <v>46087</v>
      </c>
      <c r="G164" t="str">
        <v>Sin Pagar</v>
      </c>
      <c r="H164">
        <f>IF(OR(G164="Sin pagar",G164="Pagar"),NETWORKDAYS($J$123,F164,'Festivos Colombia'!$A$3:$A$22),0)</f>
        <v>25</v>
      </c>
      <c r="I164">
        <f>NETWORKDAYS($J$123,F164,'Festivos Colombia'!$A$3:$A$22)</f>
        <v>25</v>
      </c>
      <c r="J164" s="7">
        <f>H164</f>
        <v>25</v>
      </c>
    </row>
    <row r="165" ht="15.75" customHeight="1" outlineLevel="1">
      <c r="A165" t="str">
        <f>G165</f>
        <v>Sin Pagar</v>
      </c>
      <c r="B165">
        <f>IF(I165&lt;=-1,1,IF(I165&lt;=5,2,IF(I165&lt;=15,3,IF(H165&lt;=60,4))))</f>
        <v>4</v>
      </c>
      <c r="C165">
        <v>36</v>
      </c>
      <c r="D165" t="str">
        <v>Dario Mendez</v>
      </c>
      <c r="E165" s="2">
        <f>1001838*0</f>
        <v>0</v>
      </c>
      <c r="F165" s="1">
        <v>46087</v>
      </c>
      <c r="G165" t="str">
        <v>Sin Pagar</v>
      </c>
      <c r="H165">
        <f>IF(OR(G165="Sin pagar",G165="Pagar"),NETWORKDAYS($J$123,F165,'Festivos Colombia'!$A$3:$A$22),0)</f>
        <v>25</v>
      </c>
      <c r="I165">
        <f>NETWORKDAYS($J$123,F165,'Festivos Colombia'!$A$3:$A$22)</f>
        <v>25</v>
      </c>
      <c r="J165" s="7">
        <f>H165</f>
        <v>25</v>
      </c>
    </row>
    <row r="166" ht="16.5" customHeight="1">
      <c r="D166" t="str">
        <v>PLANES COMPLEMENTARIOS Y PREPAGADAS</v>
      </c>
      <c r="E166" s="2">
        <f>SUBTOTAL(9,E167:E169)</f>
        <v>2933702</v>
      </c>
    </row>
    <row r="167" ht="14.25" customHeight="1" outlineLevel="1">
      <c r="A167" t="str">
        <f>G167</f>
        <v>Cancelado</v>
      </c>
      <c r="B167">
        <f>IF(I167&lt;=-1,1,IF(I167&lt;=5,2,IF(I167&lt;=15,3,IF(H167&lt;=60,4))))</f>
        <v>2</v>
      </c>
      <c r="C167" t="str">
        <v>SD01 17321557</v>
      </c>
      <c r="D167" t="str">
        <v>Plan medicina prepagada Eduard Forero</v>
      </c>
      <c r="E167" s="2">
        <v>1064823</v>
      </c>
      <c r="F167" s="1">
        <v>46058</v>
      </c>
      <c r="G167" t="str">
        <v>Cancelado</v>
      </c>
      <c r="H167">
        <f>IF(OR(G167="Sin pagar",G167="Pagar"),NETWORKDAYS($J$123,F167,'Festivos Colombia'!$A$3:$A$22),0)</f>
        <v>0</v>
      </c>
      <c r="I167">
        <f>NETWORKDAYS($J$123,F167,'Festivos Colombia'!$A$3:$A$22)</f>
        <v>4</v>
      </c>
      <c r="J167" s="7">
        <f>H167</f>
        <v>0</v>
      </c>
    </row>
    <row r="168" outlineLevel="1">
      <c r="A168" t="str">
        <f>G168</f>
        <v>Cancelado</v>
      </c>
      <c r="B168">
        <f>IF(I168&lt;=-1,1,IF(I168&lt;=5,2,IF(I168&lt;=15,3,IF(H168&lt;=60,4))))</f>
        <v>4</v>
      </c>
      <c r="C168" s="4" t="str">
        <v>219912177994</v>
      </c>
      <c r="D168" t="str">
        <v>Plan complementario Ricardo Arambulo</v>
      </c>
      <c r="E168" s="2">
        <f>804056</f>
        <v>804056</v>
      </c>
      <c r="F168" s="1">
        <v>46078</v>
      </c>
      <c r="G168" t="str">
        <v>Cancelado</v>
      </c>
      <c r="H168">
        <f>IF(OR(G168="Sin pagar",G168="Pagar"),NETWORKDAYS($J$123,F168,'Festivos Colombia'!$A$3:$A$22),0)</f>
        <v>0</v>
      </c>
      <c r="I168">
        <f>NETWORKDAYS($J$123,F168,'Festivos Colombia'!$A$3:$A$22)</f>
        <v>18</v>
      </c>
      <c r="J168" s="7">
        <f>H168</f>
        <v>0</v>
      </c>
    </row>
    <row r="169" ht="14.25" customHeight="1" outlineLevel="1">
      <c r="A169" t="str">
        <f>G169</f>
        <v>Cancelado</v>
      </c>
      <c r="B169">
        <f>IF(I169&lt;=-1,1,IF(I169&lt;=5,2,IF(I169&lt;=15,3,IF(H169&lt;=60,4))))</f>
        <v>4</v>
      </c>
      <c r="C169" t="str">
        <v xml:space="preserve"> SD0117523829</v>
      </c>
      <c r="D169" t="str">
        <v>Plan medicina prepagada Eduard Forero</v>
      </c>
      <c r="E169" s="2">
        <v>1064823</v>
      </c>
      <c r="F169" s="1">
        <v>46079</v>
      </c>
      <c r="G169" t="str">
        <v>Cancelado</v>
      </c>
      <c r="H169">
        <f>IF(OR(G169="Sin pagar",G169="Pagar"),NETWORKDAYS($J$123,F169,'Festivos Colombia'!$A$3:$A$22),0)</f>
        <v>0</v>
      </c>
      <c r="I169">
        <f>NETWORKDAYS($J$123,F169,'Festivos Colombia'!$A$3:$A$22)</f>
        <v>19</v>
      </c>
      <c r="J169" s="7">
        <f>H169</f>
        <v>0</v>
      </c>
    </row>
    <row r="170" ht="16.5" customHeight="1">
      <c r="D170" t="str">
        <v>PÓLIZAS Y SEGUROS</v>
      </c>
      <c r="E170" s="2">
        <f>SUBTOTAL(9,E171:E176)</f>
        <v>10138313</v>
      </c>
    </row>
    <row r="171" outlineLevel="1">
      <c r="A171" t="str">
        <f>G171</f>
        <v>Cancelado</v>
      </c>
      <c r="B171">
        <f>IF(I171&lt;=-1,1,IF(I171&lt;=5,2,IF(I171&lt;=15,3,IF(H171&lt;=60,4))))</f>
        <v>2</v>
      </c>
      <c r="C171">
        <v>20833353072</v>
      </c>
      <c r="D171" t="str">
        <v>Poliza Suramericana Póliza #  083004098664</v>
      </c>
      <c r="E171" s="2">
        <f>9337</f>
        <v>9337</v>
      </c>
      <c r="F171" s="1">
        <v>46058</v>
      </c>
      <c r="G171" t="str">
        <v>Cancelado</v>
      </c>
      <c r="H171">
        <f>IF(OR(G171="Sin pagar",G171="Pagar"),NETWORKDAYS($J$123,F171,'Festivos Colombia'!$A$3:$A$22),0)</f>
        <v>0</v>
      </c>
      <c r="I171">
        <f>NETWORKDAYS($J$123,F171,'Festivos Colombia'!$A$3:$A$22)</f>
        <v>4</v>
      </c>
      <c r="J171" s="7">
        <f>H171</f>
        <v>0</v>
      </c>
    </row>
    <row r="172" outlineLevel="1">
      <c r="A172" t="str">
        <f>G172</f>
        <v>Cancelado</v>
      </c>
      <c r="B172">
        <f>IF(I172&lt;=-1,1,IF(I172&lt;=5,2,IF(I172&lt;=15,3,IF(H172&lt;=60,4))))</f>
        <v>2</v>
      </c>
      <c r="C172">
        <v>20833367727</v>
      </c>
      <c r="D172" t="str">
        <v>Poliza Suramericana Póliza #  083004098664</v>
      </c>
      <c r="E172" s="2">
        <v>54787</v>
      </c>
      <c r="F172" s="1">
        <v>46058</v>
      </c>
      <c r="G172" t="str">
        <v>Cancelado</v>
      </c>
      <c r="H172">
        <f>IF(OR(G172="Sin pagar",G172="Pagar"),NETWORKDAYS($J$123,F172,'Festivos Colombia'!$A$3:$A$22),0)</f>
        <v>0</v>
      </c>
      <c r="I172">
        <f>NETWORKDAYS($J$123,F172,'Festivos Colombia'!$A$3:$A$22)</f>
        <v>4</v>
      </c>
      <c r="J172" s="7">
        <f>H172</f>
        <v>0</v>
      </c>
    </row>
    <row r="173" outlineLevel="1">
      <c r="A173" t="str">
        <f>G173</f>
        <v>Cancelado</v>
      </c>
      <c r="B173">
        <f>IF(I173&lt;=-1,1,IF(I173&lt;=5,2,IF(I173&lt;=15,3,IF(H173&lt;=60,4))))</f>
        <v>2</v>
      </c>
      <c r="C173">
        <v>20833367728</v>
      </c>
      <c r="D173" t="str">
        <v>Poliza Suramericana Póliza #  083004098664</v>
      </c>
      <c r="E173" s="2">
        <v>668368</v>
      </c>
      <c r="F173" s="1">
        <v>46058</v>
      </c>
      <c r="G173" t="str">
        <v>Cancelado</v>
      </c>
      <c r="H173">
        <f>IF(OR(G173="Sin pagar",G173="Pagar"),NETWORKDAYS($J$123,F173,'Festivos Colombia'!$A$3:$A$22),0)</f>
        <v>0</v>
      </c>
      <c r="I173">
        <f>NETWORKDAYS($J$123,F173,'Festivos Colombia'!$A$3:$A$22)</f>
        <v>4</v>
      </c>
      <c r="J173" s="7">
        <f>H173</f>
        <v>0</v>
      </c>
    </row>
    <row r="174" outlineLevel="1">
      <c r="A174" t="str">
        <f>G174</f>
        <v>Cancelado</v>
      </c>
      <c r="B174">
        <f>IF(I174&lt;=-1,1,IF(I174&lt;=5,2,IF(I174&lt;=15,3,IF(H174&lt;=60,4))))</f>
        <v>2</v>
      </c>
      <c r="C174">
        <v>20911209135</v>
      </c>
      <c r="D174" t="str">
        <v>Poliza Suramericana Póliza #  091000808492</v>
      </c>
      <c r="E174" s="2">
        <v>418127</v>
      </c>
      <c r="F174" s="1">
        <v>46058</v>
      </c>
      <c r="G174" t="str">
        <v>Cancelado</v>
      </c>
      <c r="H174">
        <f>IF(OR(G174="Sin pagar",G174="Pagar"),NETWORKDAYS($J$123,F174,'Festivos Colombia'!$A$3:$A$22),0)</f>
        <v>0</v>
      </c>
      <c r="I174">
        <f>NETWORKDAYS($J$123,F174,'Festivos Colombia'!$A$3:$A$22)</f>
        <v>4</v>
      </c>
      <c r="J174" s="7">
        <f>H174</f>
        <v>0</v>
      </c>
    </row>
    <row r="175" outlineLevel="1">
      <c r="A175" t="str">
        <f>G175</f>
        <v>Cancelado</v>
      </c>
      <c r="B175">
        <f>IF(I175&lt;=-1,1,IF(I175&lt;=5,2,IF(I175&lt;=15,3,IF(H175&lt;=60,4))))</f>
        <v>4</v>
      </c>
      <c r="C175">
        <v>20911213423</v>
      </c>
      <c r="D175" t="str">
        <v>Poliza Suramericana Póliza #  091000808492</v>
      </c>
      <c r="E175" s="2">
        <v>8987694</v>
      </c>
      <c r="F175" s="1">
        <v>46078</v>
      </c>
      <c r="G175" t="str">
        <v>Cancelado</v>
      </c>
      <c r="H175">
        <f>IF(OR(G175="Sin pagar",G175="Pagar"),NETWORKDAYS($J$123,F175,'Festivos Colombia'!$A$3:$A$22),0)</f>
        <v>0</v>
      </c>
      <c r="I175">
        <f>NETWORKDAYS($J$123,F175,'Festivos Colombia'!$A$3:$A$22)</f>
        <v>18</v>
      </c>
      <c r="J175" s="7">
        <f>H175</f>
        <v>0</v>
      </c>
    </row>
    <row r="176" ht="15.75" customHeight="1" outlineLevel="1">
      <c r="A176" t="str">
        <f>G176</f>
        <v>Sin Pagar</v>
      </c>
      <c r="B176">
        <f>IF(I176&lt;=-1,1,IF(I176&lt;=5,2,IF(I176&lt;=15,3,IF(H176&lt;=60,4))))</f>
        <v>4</v>
      </c>
      <c r="C176">
        <v>208333411030</v>
      </c>
      <c r="D176" t="str">
        <v>Poliza Suramericana Póliza #  083004098664</v>
      </c>
      <c r="E176" s="2">
        <f>668368*0</f>
        <v>0</v>
      </c>
      <c r="F176" s="1">
        <v>46095</v>
      </c>
      <c r="G176" t="str">
        <v>Sin Pagar</v>
      </c>
      <c r="H176">
        <f>IF(OR(G176="Sin pagar",G176="Pagar"),NETWORKDAYS($J$123,F176,'Festivos Colombia'!$A$3:$A$22),0)</f>
        <v>30</v>
      </c>
      <c r="I176">
        <f>NETWORKDAYS($J$123,F176,'Festivos Colombia'!$A$3:$A$22)</f>
        <v>30</v>
      </c>
      <c r="J176" s="7">
        <f>H176</f>
        <v>30</v>
      </c>
    </row>
    <row r="177" ht="16.5" customHeight="1">
      <c r="D177" t="str">
        <v>SERVICIOS DE MENSAJERÍA</v>
      </c>
      <c r="E177" s="2">
        <f>SUBTOTAL(9,E178:E183)</f>
        <v>623728</v>
      </c>
    </row>
    <row r="178" outlineLevel="1">
      <c r="A178" t="str">
        <f>G178</f>
        <v>Cancelado</v>
      </c>
      <c r="B178">
        <f>IF(I178&lt;=-1,1,IF(I178&lt;=5,2,IF(I178&lt;=15,3,IF(H178&lt;=60,4))))</f>
        <v>2</v>
      </c>
      <c r="C178">
        <v>57</v>
      </c>
      <c r="D178" t="str">
        <v>Yecid Martin</v>
      </c>
      <c r="E178" s="2">
        <v>39000</v>
      </c>
      <c r="F178" s="1">
        <v>46059</v>
      </c>
      <c r="G178" t="str">
        <v>Cancelado</v>
      </c>
      <c r="H178">
        <f>IF(OR(G178="Sin pagar",G178="Pagar"),NETWORKDAYS($J$123,F178,'Festivos Colombia'!$A$3:$A$22),0)</f>
        <v>0</v>
      </c>
      <c r="I178">
        <f>NETWORKDAYS($J$123,F178,'Festivos Colombia'!$A$3:$A$22)</f>
        <v>5</v>
      </c>
      <c r="J178" s="7">
        <f>H178</f>
        <v>0</v>
      </c>
    </row>
    <row r="179" outlineLevel="1">
      <c r="A179" t="str">
        <f>G179</f>
        <v>Cancelado</v>
      </c>
      <c r="B179">
        <f>IF(I179&lt;=-1,1,IF(I179&lt;=5,2,IF(I179&lt;=15,3,IF(H179&lt;=60,4))))</f>
        <v>3</v>
      </c>
      <c r="C179">
        <v>58</v>
      </c>
      <c r="D179" t="str">
        <v>Yecid Martin</v>
      </c>
      <c r="E179" s="2">
        <v>106500</v>
      </c>
      <c r="F179" s="1">
        <v>46066</v>
      </c>
      <c r="G179" t="str">
        <v>Cancelado</v>
      </c>
      <c r="H179">
        <f>IF(OR(G179="Sin pagar",G179="Pagar"),NETWORKDAYS($J$123,F179,'Festivos Colombia'!$A$3:$A$22),0)</f>
        <v>0</v>
      </c>
      <c r="I179">
        <f>NETWORKDAYS($J$123,F179,'Festivos Colombia'!$A$3:$A$22)</f>
        <v>10</v>
      </c>
      <c r="J179" s="7">
        <f>H179</f>
        <v>0</v>
      </c>
    </row>
    <row r="180" outlineLevel="1">
      <c r="A180" t="str">
        <f>G180</f>
        <v>Cancelado</v>
      </c>
      <c r="B180">
        <f>IF(I180&lt;=-1,1,IF(I180&lt;=5,2,IF(I180&lt;=15,3,IF(H180&lt;=60,4))))</f>
        <v>3</v>
      </c>
      <c r="C180">
        <v>20</v>
      </c>
      <c r="D180" t="str">
        <v>Mundo express</v>
      </c>
      <c r="E180" s="2">
        <v>116000</v>
      </c>
      <c r="F180" s="1">
        <v>46073</v>
      </c>
      <c r="G180" t="str">
        <v>Cancelado</v>
      </c>
      <c r="H180">
        <f>IF(OR(G180="Sin pagar",G180="Pagar"),NETWORKDAYS($J$123,F180,'Festivos Colombia'!$A$3:$A$22),0)</f>
        <v>0</v>
      </c>
      <c r="I180">
        <f>NETWORKDAYS($J$123,F180,'Festivos Colombia'!$A$3:$A$22)</f>
        <v>15</v>
      </c>
      <c r="J180" s="7">
        <f>H180</f>
        <v>0</v>
      </c>
    </row>
    <row r="181" outlineLevel="1">
      <c r="A181" t="str">
        <f>G181</f>
        <v>Cancelado</v>
      </c>
      <c r="B181">
        <f>IF(I181&lt;=-1,1,IF(I181&lt;=5,2,IF(I181&lt;=15,3,IF(H181&lt;=60,4))))</f>
        <v>3</v>
      </c>
      <c r="C181">
        <v>59</v>
      </c>
      <c r="D181" t="str">
        <v>Yecid Martin</v>
      </c>
      <c r="E181" s="2">
        <v>78000</v>
      </c>
      <c r="F181" s="1">
        <v>46072</v>
      </c>
      <c r="G181" t="str">
        <v>Cancelado</v>
      </c>
      <c r="H181">
        <f>IF(OR(G181="Sin pagar",G181="Pagar"),NETWORKDAYS($J$123,F181,'Festivos Colombia'!$A$3:$A$22),0)</f>
        <v>0</v>
      </c>
      <c r="I181">
        <f>NETWORKDAYS($J$123,F181,'Festivos Colombia'!$A$3:$A$22)</f>
        <v>14</v>
      </c>
      <c r="J181" s="7">
        <f>H181</f>
        <v>0</v>
      </c>
    </row>
    <row r="182" outlineLevel="1">
      <c r="A182" t="str">
        <f>G182</f>
        <v>Cancelado</v>
      </c>
      <c r="B182">
        <f>IF(I182&lt;=-1,1,IF(I182&lt;=5,2,IF(I182&lt;=15,3,IF(H182&lt;=60,4))))</f>
        <v>4</v>
      </c>
      <c r="C182">
        <v>60</v>
      </c>
      <c r="D182" t="str">
        <v>Yecid Martin</v>
      </c>
      <c r="E182" s="2">
        <v>284228</v>
      </c>
      <c r="F182" s="1">
        <v>46080</v>
      </c>
      <c r="G182" t="str">
        <v>Cancelado</v>
      </c>
      <c r="H182">
        <f>IF(OR(G182="Sin pagar",G182="Pagar"),NETWORKDAYS($J$123,F182,'Festivos Colombia'!$A$3:$A$22),0)</f>
        <v>0</v>
      </c>
      <c r="I182">
        <f>NETWORKDAYS($J$123,F182,'Festivos Colombia'!$A$3:$A$22)</f>
        <v>20</v>
      </c>
      <c r="J182" s="7">
        <f>H182</f>
        <v>0</v>
      </c>
    </row>
    <row r="183" ht="15.75" customHeight="1" outlineLevel="1">
      <c r="A183" t="str">
        <f>G183</f>
        <v>Sin Pagar</v>
      </c>
      <c r="B183">
        <f>IF(I183&lt;=-1,1,IF(I183&lt;=5,2,IF(I183&lt;=15,3,IF(H183&lt;=60,4))))</f>
        <v>4</v>
      </c>
      <c r="C183">
        <v>21</v>
      </c>
      <c r="D183" t="str">
        <v>Mundo express</v>
      </c>
      <c r="E183" s="2">
        <f>78000*0</f>
        <v>0</v>
      </c>
      <c r="F183" s="1">
        <v>46087</v>
      </c>
      <c r="G183" t="str">
        <v>Sin Pagar</v>
      </c>
      <c r="H183">
        <f>IF(OR(G183="Sin pagar",G183="Pagar"),NETWORKDAYS($J$123,F183,'Festivos Colombia'!$A$3:$A$22),0)</f>
        <v>25</v>
      </c>
      <c r="I183">
        <f>NETWORKDAYS($J$123,F183,'Festivos Colombia'!$A$3:$A$22)</f>
        <v>25</v>
      </c>
      <c r="J183" s="7">
        <f>H183</f>
        <v>25</v>
      </c>
    </row>
    <row r="184" ht="15.75" customHeight="1">
      <c r="D184" t="str">
        <v>REEMBOLSO SAIPEM</v>
      </c>
      <c r="E184" s="2">
        <f>SUBTOTAL(9,E185:E185)</f>
        <v>0</v>
      </c>
    </row>
    <row r="185" ht="15.75" customHeight="1" outlineLevel="1">
      <c r="D185" t="str">
        <v>Reembolso previsto</v>
      </c>
      <c r="E185" s="2">
        <v>0</v>
      </c>
      <c r="F185" s="1">
        <v>46080</v>
      </c>
      <c r="G185" t="str">
        <v>Cancelado</v>
      </c>
      <c r="H185">
        <f>IF(OR(G185="Sin pagar",G185="Pagar"),NETWORKDAYS($J$123,F185,'Festivos Colombia'!$A$3:$A$22),0)</f>
        <v>0</v>
      </c>
      <c r="I185">
        <f>NETWORKDAYS($J$123,F185,'Festivos Colombia'!$A$3:$A$22)</f>
        <v>20</v>
      </c>
      <c r="J185" s="7">
        <f>H185</f>
        <v>0</v>
      </c>
    </row>
    <row r="186" ht="16.5" customHeight="1">
      <c r="D186" t="str">
        <v>EXAMENES MÉDICOS SAIPEM y OTROS</v>
      </c>
      <c r="E186" s="2">
        <f>SUBTOTAL(9,E187:E188)</f>
        <v>2181200</v>
      </c>
    </row>
    <row r="187" outlineLevel="1">
      <c r="D187" t="str">
        <v>Examenes Medicos Nestor José Padilla - SAIPEM</v>
      </c>
      <c r="E187" s="2">
        <f>2137576*0</f>
        <v>0</v>
      </c>
      <c r="F187" s="1">
        <v>46056</v>
      </c>
      <c r="G187" t="str">
        <v>Cancelado</v>
      </c>
      <c r="H187">
        <f>IF(OR(G187="Sin pagar",G187="Pagar"),NETWORKDAYS($J$123,F187,'Festivos Colombia'!$A$3:$A$22),0)</f>
        <v>0</v>
      </c>
      <c r="I187">
        <f>NETWORKDAYS($J$123,F187,'Festivos Colombia'!$A$3:$A$22)</f>
        <v>2</v>
      </c>
      <c r="J187" s="7">
        <f>H187</f>
        <v>0</v>
      </c>
    </row>
    <row r="188" ht="15.75" customHeight="1" outlineLevel="1">
      <c r="D188" t="str">
        <v>Examenes Medicos Diego Andrés Montes  - SAIPEM</v>
      </c>
      <c r="E188" s="2">
        <v>2181200</v>
      </c>
      <c r="F188" s="1">
        <v>46070</v>
      </c>
      <c r="G188" t="str">
        <v>Cancelado</v>
      </c>
      <c r="H188">
        <f>IF(OR(G188="Sin pagar",G188="Pagar"),NETWORKDAYS($J$123,F188,'Festivos Colombia'!$A$3:$A$22),0)</f>
        <v>0</v>
      </c>
      <c r="I188">
        <f>NETWORKDAYS($J$123,F188,'Festivos Colombia'!$A$3:$A$22)</f>
        <v>12</v>
      </c>
      <c r="J188" s="7">
        <f>H188</f>
        <v>0</v>
      </c>
    </row>
    <row r="189" ht="16.5" customHeight="1">
      <c r="D189" t="str">
        <v>TIQUETES AÉREOS , HOTELES SAIPEM-AECID - ROOT CAPITAL</v>
      </c>
      <c r="E189" s="2">
        <f>SUBTOTAL(9,E190:E192)</f>
        <v>3589416</v>
      </c>
    </row>
    <row r="190" outlineLevel="1">
      <c r="D190" t="str">
        <v>Tiquetes Montería -Bogota y VSA Nestor José Padilla -Saipem</v>
      </c>
      <c r="E190" s="2">
        <v>1484670</v>
      </c>
      <c r="F190" s="1">
        <v>46056</v>
      </c>
      <c r="G190" t="str">
        <v>Cancelado</v>
      </c>
      <c r="H190">
        <f>IF(OR(G190="Sin pagar",G190="Pagar"),NETWORKDAYS($J$123,F190,'Festivos Colombia'!$A$3:$A$22),0)</f>
        <v>0</v>
      </c>
      <c r="I190">
        <f>NETWORKDAYS($J$123,F190,'Festivos Colombia'!$A$3:$A$22)</f>
        <v>2</v>
      </c>
      <c r="J190" s="7">
        <f>H190</f>
        <v>0</v>
      </c>
    </row>
    <row r="191" outlineLevel="1">
      <c r="D191" t="str">
        <v>Tiquete y hotel Diego Andrés Montes Medellín-Bogotá y VSA</v>
      </c>
      <c r="E191" s="2">
        <v>1454616</v>
      </c>
      <c r="F191" s="1">
        <v>46070</v>
      </c>
      <c r="G191" t="str">
        <v>Cancelado</v>
      </c>
      <c r="H191">
        <f>IF(OR(G191="Sin pagar",G191="Pagar"),NETWORKDAYS($J$123,F191,'Festivos Colombia'!$A$3:$A$22),0)</f>
        <v>0</v>
      </c>
      <c r="I191">
        <f>NETWORKDAYS($J$123,F191,'Festivos Colombia'!$A$3:$A$22)</f>
        <v>12</v>
      </c>
      <c r="J191" s="7">
        <f>H191</f>
        <v>0</v>
      </c>
    </row>
    <row r="192" ht="15.75" customHeight="1" outlineLevel="1">
      <c r="D192" t="str">
        <v>Tiquete Previsto Mercede Alvarez AECID Bogota -Cali y VSA</v>
      </c>
      <c r="E192" s="2">
        <v>650130</v>
      </c>
      <c r="F192" s="1">
        <v>46071</v>
      </c>
      <c r="G192" t="str">
        <v>Cancelado</v>
      </c>
      <c r="H192">
        <f>IF(OR(G192="Sin pagar",G192="Pagar"),NETWORKDAYS($J$123,F192,'Festivos Colombia'!$A$3:$A$22),0)</f>
        <v>0</v>
      </c>
      <c r="I192">
        <f>NETWORKDAYS($J$123,F192,'Festivos Colombia'!$A$3:$A$22)</f>
        <v>13</v>
      </c>
      <c r="J192" s="7">
        <f>H192</f>
        <v>0</v>
      </c>
    </row>
    <row r="193" ht="16.5" customHeight="1">
      <c r="D193" t="str">
        <v>REEMBOLSOS REMOFIRST-YON YOU-AECID</v>
      </c>
      <c r="E193" s="2">
        <f>SUBTOTAL(9,E194:E195)</f>
        <v>5948650</v>
      </c>
    </row>
    <row r="194" outlineLevel="1">
      <c r="A194" t="str">
        <f>G194</f>
        <v>Cancelado</v>
      </c>
      <c r="B194">
        <f>IF(I194&lt;=-1,1,IF(I194&lt;=5,2,IF(I194&lt;=15,3,IF(H194&lt;=60,4))))</f>
        <v>4</v>
      </c>
      <c r="D194" t="str">
        <v>Reembolso Eduardo Andrés Santos Contreras - Yon Yuo</v>
      </c>
      <c r="E194" s="2">
        <v>5948650</v>
      </c>
      <c r="F194" s="1">
        <v>46079</v>
      </c>
      <c r="G194" t="str">
        <v>Cancelado</v>
      </c>
      <c r="H194">
        <f>IF(OR(G194="Sin pagar",G194="Pagar"),NETWORKDAYS($J$123,F194,'Festivos Colombia'!$A$3:$A$22),0)</f>
        <v>0</v>
      </c>
      <c r="I194">
        <f>NETWORKDAYS($J$123,F194,'Festivos Colombia'!$A$3:$A$22)</f>
        <v>19</v>
      </c>
      <c r="J194" s="7">
        <f>H194</f>
        <v>0</v>
      </c>
    </row>
    <row r="195" ht="15.75" customHeight="1" outlineLevel="1">
      <c r="A195" t="str">
        <f>G195</f>
        <v>Sin Pagar</v>
      </c>
      <c r="B195">
        <f>IF(I195&lt;=-1,1,IF(I195&lt;=5,2,IF(I195&lt;=15,3,IF(H195&lt;=60,4))))</f>
        <v>4</v>
      </c>
      <c r="D195" t="str">
        <v>Reembolso Sandra de los Rios comisón 24-25  febrero Guajira  - AECID</v>
      </c>
      <c r="E195" s="2">
        <f>1204896.67*0</f>
        <v>0</v>
      </c>
      <c r="F195" s="1">
        <v>46087</v>
      </c>
      <c r="G195" t="str">
        <v>Sin Pagar</v>
      </c>
      <c r="H195">
        <f>IF(OR(G195="Sin pagar",G195="Pagar"),NETWORKDAYS($J$123,F195,'Festivos Colombia'!$A$3:$A$22),0)</f>
        <v>25</v>
      </c>
      <c r="I195">
        <f>NETWORKDAYS($J$123,F195,'Festivos Colombia'!$A$3:$A$22)</f>
        <v>25</v>
      </c>
      <c r="J195" s="7">
        <f>H195</f>
        <v>25</v>
      </c>
    </row>
    <row r="196" ht="16.5" customHeight="1">
      <c r="D196" t="str">
        <v>REEMBOLSOS INSIDER</v>
      </c>
      <c r="E196" s="2">
        <f>SUBTOTAL(9,E197:E207)</f>
        <v>6526982.34</v>
      </c>
    </row>
    <row r="197" outlineLevel="1">
      <c r="A197" t="str">
        <f>G197</f>
        <v>Cancelado</v>
      </c>
      <c r="B197">
        <f>IF(I197&lt;=-1,1,IF(I197&lt;=5,2,IF(I197&lt;=15,3,IF(H197&lt;=60,4))))</f>
        <v>4</v>
      </c>
      <c r="D197" t="str">
        <v>Reembolso   Miranda Vergara huyna 15 - Remofirst - INSIGTHFUL</v>
      </c>
      <c r="E197" s="2">
        <v>1096470</v>
      </c>
      <c r="F197" s="1">
        <v>46079</v>
      </c>
      <c r="G197" t="str">
        <v>Cancelado</v>
      </c>
      <c r="H197">
        <f>IF(OR(G197="Sin pagar",G197="Pagar"),NETWORKDAYS($J$123,F197,'Festivos Colombia'!$A$3:$A$22),0)</f>
        <v>0</v>
      </c>
      <c r="I197">
        <f>NETWORKDAYS($J$123,F197,'Festivos Colombia'!$A$3:$A$22)</f>
        <v>19</v>
      </c>
      <c r="J197" s="7">
        <f>H197</f>
        <v>0</v>
      </c>
    </row>
    <row r="198" outlineLevel="1">
      <c r="D198" t="str">
        <v>Reembolso   Orlando  Mendez davila 06 - Remofirst - TC1 CORPORATION SAC</v>
      </c>
      <c r="E198" s="2">
        <v>54797.45</v>
      </c>
      <c r="F198" s="1">
        <v>46079</v>
      </c>
      <c r="G198" t="str">
        <v>Cancelado</v>
      </c>
      <c r="H198">
        <f>IF(OR(G198="Sin pagar",G198="Pagar"),NETWORKDAYS($J$123,F198,'Festivos Colombia'!$A$3:$A$22),0)</f>
        <v>0</v>
      </c>
      <c r="I198">
        <f>NETWORKDAYS($J$123,F198,'Festivos Colombia'!$A$3:$A$22)</f>
        <v>19</v>
      </c>
      <c r="J198" s="7">
        <f>H198</f>
        <v>0</v>
      </c>
    </row>
    <row r="199" outlineLevel="1">
      <c r="D199" t="str">
        <v>Reembolso    Monica Maria agudelo magalhaes 53 - Remofirst - Remote Medicine, Inc</v>
      </c>
      <c r="E199" s="2">
        <v>24950</v>
      </c>
      <c r="F199" s="1">
        <v>46079</v>
      </c>
      <c r="G199" t="str">
        <v>Cancelado</v>
      </c>
      <c r="H199">
        <f>IF(OR(G199="Sin pagar",G199="Pagar"),NETWORKDAYS($J$123,F199,'Festivos Colombia'!$A$3:$A$22),0)</f>
        <v>0</v>
      </c>
      <c r="I199">
        <f>NETWORKDAYS($J$123,F199,'Festivos Colombia'!$A$3:$A$22)</f>
        <v>19</v>
      </c>
      <c r="J199" s="7">
        <f>H199</f>
        <v>0</v>
      </c>
    </row>
    <row r="200" outlineLevel="1">
      <c r="D200" t="str">
        <v>Reembolso   Diana Cristian murillo  alzate  24 - Remofirst - Prometryx, Inc</v>
      </c>
      <c r="E200" s="2">
        <v>350000</v>
      </c>
      <c r="F200" s="1">
        <v>46079</v>
      </c>
      <c r="G200" t="str">
        <v>Cancelado</v>
      </c>
      <c r="H200">
        <f>IF(OR(G200="Sin pagar",G200="Pagar"),NETWORKDAYS($J$123,F200,'Festivos Colombia'!$A$3:$A$22),0)</f>
        <v>0</v>
      </c>
      <c r="I200">
        <f>NETWORKDAYS($J$123,F200,'Festivos Colombia'!$A$3:$A$22)</f>
        <v>19</v>
      </c>
      <c r="J200" s="7">
        <f>H200</f>
        <v>0</v>
      </c>
    </row>
    <row r="201" outlineLevel="1">
      <c r="D201" t="str">
        <v>Reembolso   Lisset Cristina franco mejía 24 - Remofirst - Prometryx, Inc</v>
      </c>
      <c r="E201" s="2">
        <v>523200</v>
      </c>
      <c r="F201" s="1">
        <v>46079</v>
      </c>
      <c r="G201" t="str">
        <v>Cancelado</v>
      </c>
      <c r="H201">
        <f>IF(OR(G201="Sin pagar",G201="Pagar"),NETWORKDAYS($J$123,F201,'Festivos Colombia'!$A$3:$A$22),0)</f>
        <v>0</v>
      </c>
      <c r="I201">
        <f>NETWORKDAYS($J$123,F201,'Festivos Colombia'!$A$3:$A$22)</f>
        <v>19</v>
      </c>
      <c r="J201" s="7">
        <f>H201</f>
        <v>0</v>
      </c>
    </row>
    <row r="202" outlineLevel="1">
      <c r="D202" t="str">
        <v>Reembolso   Cindy Lorena Nomesque  Medina  25 - Remofirst - ISLAMIC RELIEF</v>
      </c>
      <c r="E202" s="2">
        <v>145800</v>
      </c>
      <c r="F202" s="1">
        <v>46079</v>
      </c>
      <c r="G202" t="str">
        <v>Cancelado</v>
      </c>
      <c r="H202">
        <f>IF(OR(G202="Sin pagar",G202="Pagar"),NETWORKDAYS($J$123,F202,'Festivos Colombia'!$A$3:$A$22),0)</f>
        <v>0</v>
      </c>
      <c r="I202">
        <f>NETWORKDAYS($J$123,F202,'Festivos Colombia'!$A$3:$A$22)</f>
        <v>19</v>
      </c>
      <c r="J202" s="7">
        <f>H202</f>
        <v>0</v>
      </c>
    </row>
    <row r="203" outlineLevel="1">
      <c r="D203" t="str">
        <v>Reembolso   Emma Soraya Rojas Navarrete 25 - Remofirst - ISLAMIC RELIEF</v>
      </c>
      <c r="E203" s="2">
        <v>1219169.57</v>
      </c>
      <c r="F203" s="1">
        <v>46079</v>
      </c>
      <c r="G203" t="str">
        <v>Cancelado</v>
      </c>
      <c r="H203">
        <f>IF(OR(G203="Sin pagar",G203="Pagar"),NETWORKDAYS($J$123,F203,'Festivos Colombia'!$A$3:$A$22),0)</f>
        <v>0</v>
      </c>
      <c r="I203">
        <f>NETWORKDAYS($J$123,F203,'Festivos Colombia'!$A$3:$A$22)</f>
        <v>19</v>
      </c>
      <c r="J203" s="7">
        <f>H203</f>
        <v>0</v>
      </c>
    </row>
    <row r="204" outlineLevel="1">
      <c r="D204" t="str">
        <v>Reembolso   Karen Sofía Farfán Barrero 13 - Remofirst - ONE FIREFLY, LLC</v>
      </c>
      <c r="E204" s="2">
        <v>742724.32</v>
      </c>
      <c r="F204" s="1">
        <v>46079</v>
      </c>
      <c r="G204" t="str">
        <v>Cancelado</v>
      </c>
      <c r="H204">
        <f>IF(OR(G204="Sin pagar",G204="Pagar"),NETWORKDAYS($J$123,F204,'Festivos Colombia'!$A$3:$A$22),0)</f>
        <v>0</v>
      </c>
      <c r="I204">
        <f>NETWORKDAYS($J$123,F204,'Festivos Colombia'!$A$3:$A$22)</f>
        <v>19</v>
      </c>
      <c r="J204" s="7">
        <f>H204</f>
        <v>0</v>
      </c>
    </row>
    <row r="205" outlineLevel="1">
      <c r="D205" t="str">
        <v>Reembolso   Christian Nicanor Poveda Ruiz 02 - Remofirst - FERROUS</v>
      </c>
      <c r="E205" s="2">
        <v>577381</v>
      </c>
      <c r="F205" s="1">
        <v>46079</v>
      </c>
      <c r="G205" t="str">
        <v>Cancelado</v>
      </c>
      <c r="H205">
        <f>IF(OR(G205="Sin pagar",G205="Pagar"),NETWORKDAYS($J$123,F205,'Festivos Colombia'!$A$3:$A$22),0)</f>
        <v>0</v>
      </c>
      <c r="I205">
        <f>NETWORKDAYS($J$123,F205,'Festivos Colombia'!$A$3:$A$22)</f>
        <v>19</v>
      </c>
      <c r="J205" s="7">
        <f>H205</f>
        <v>0</v>
      </c>
    </row>
    <row r="206" outlineLevel="1">
      <c r="D206" t="str">
        <v>Reembolso   Sandra Lucia Barrios Angulo 38 - Remofirst - Quantic Vision, S.A</v>
      </c>
      <c r="E206" s="2">
        <v>150000</v>
      </c>
      <c r="F206" s="1">
        <v>46079</v>
      </c>
      <c r="G206" t="str">
        <v>Cancelado</v>
      </c>
      <c r="H206">
        <f>IF(OR(G206="Sin pagar",G206="Pagar"),NETWORKDAYS($J$123,F206,'Festivos Colombia'!$A$3:$A$22),0)</f>
        <v>0</v>
      </c>
      <c r="I206">
        <f>NETWORKDAYS($J$123,F206,'Festivos Colombia'!$A$3:$A$22)</f>
        <v>19</v>
      </c>
      <c r="J206" s="7">
        <f>H206</f>
        <v>0</v>
      </c>
    </row>
    <row r="207" ht="15.75" customHeight="1" outlineLevel="1">
      <c r="D207" t="str">
        <v>Reembolso   Mary Eleanor Klerlein  56 - Remofirst - Spitfire Strategies LLC</v>
      </c>
      <c r="E207" s="2">
        <v>1642490</v>
      </c>
      <c r="F207" s="1">
        <v>46079</v>
      </c>
      <c r="G207" t="str">
        <v>Cancelado</v>
      </c>
      <c r="H207">
        <f>IF(OR(G207="Sin pagar",G207="Pagar"),NETWORKDAYS($J$123,F207,'Festivos Colombia'!$A$3:$A$22),0)</f>
        <v>0</v>
      </c>
      <c r="I207">
        <f>NETWORKDAYS($J$123,F207,'Festivos Colombia'!$A$3:$A$22)</f>
        <v>19</v>
      </c>
      <c r="J207" s="7">
        <f>H207</f>
        <v>0</v>
      </c>
    </row>
    <row r="208" ht="15.75" customHeight="1">
      <c r="D208" t="str">
        <v>ASESORÍAS</v>
      </c>
      <c r="E208" s="2">
        <f>SUBTOTAL(9,E209:E238)</f>
        <v>70026005.50367999</v>
      </c>
    </row>
    <row r="209" outlineLevel="1">
      <c r="A209" t="str">
        <f>G209</f>
        <v>Cancelado</v>
      </c>
      <c r="B209">
        <f>IF(I209&lt;=-1,1,IF(I209&lt;=5,2,IF(I209&lt;=15,3,IF(H209&lt;=60,4))))</f>
        <v>2</v>
      </c>
      <c r="C209" t="str">
        <v>FE36</v>
      </c>
      <c r="D209" t="str">
        <v>Curso planeación de nómina</v>
      </c>
      <c r="E209" s="2">
        <f>809200*0</f>
        <v>0</v>
      </c>
      <c r="F209" s="1">
        <v>46055</v>
      </c>
      <c r="G209" t="str">
        <v>Cancelado</v>
      </c>
      <c r="H209">
        <f>IF(OR(G209="Sin pagar",G209="Pagar"),NETWORKDAYS($J$123,F209,'Festivos Colombia'!$A$3:$A$22),0)</f>
        <v>0</v>
      </c>
      <c r="I209">
        <f>NETWORKDAYS($J$123,F209,'Festivos Colombia'!$A$3:$A$22)</f>
        <v>1</v>
      </c>
      <c r="J209" s="7">
        <f>H209</f>
        <v>0</v>
      </c>
    </row>
    <row r="210" outlineLevel="1">
      <c r="A210" t="str">
        <f>G210</f>
        <v>Cancelado</v>
      </c>
      <c r="B210">
        <f>IF(I210&lt;=-1,1,IF(I210&lt;=5,2,IF(I210&lt;=15,3,IF(H210&lt;=60,4))))</f>
        <v>2</v>
      </c>
      <c r="C210" t="str">
        <v>FE-2064</v>
      </c>
      <c r="D210" t="str">
        <v>Plurum 80% escuela de liderazgo</v>
      </c>
      <c r="E210" s="2">
        <f>41353724</f>
        <v>41353724</v>
      </c>
      <c r="F210" s="1">
        <v>46058</v>
      </c>
      <c r="G210" t="str">
        <v>Cancelado</v>
      </c>
      <c r="H210">
        <f>IF(OR(G210="Sin pagar",G210="Pagar"),NETWORKDAYS($J$123,F210,'Festivos Colombia'!$A$3:$A$22),0)</f>
        <v>0</v>
      </c>
      <c r="I210">
        <f>NETWORKDAYS($J$123,F210,'Festivos Colombia'!$A$3:$A$22)</f>
        <v>4</v>
      </c>
      <c r="J210" s="7">
        <f>H210</f>
        <v>0</v>
      </c>
    </row>
    <row r="211" outlineLevel="1">
      <c r="A211" t="str">
        <f>G211</f>
        <v>Cancelado</v>
      </c>
      <c r="B211">
        <f>IF(I211&lt;=-1,1,IF(I211&lt;=5,2,IF(I211&lt;=15,3,IF(H211&lt;=60,4))))</f>
        <v>2</v>
      </c>
      <c r="C211">
        <v>8</v>
      </c>
      <c r="D211" t="str">
        <v>José Joaquín Salcedo Duran ( Consultoria en seguridad información)</v>
      </c>
      <c r="E211" s="2">
        <f>3100000</f>
        <v>3100000</v>
      </c>
      <c r="F211" s="1">
        <v>46058</v>
      </c>
      <c r="G211" t="str">
        <v>Cancelado</v>
      </c>
      <c r="H211">
        <f>IF(OR(G211="Sin pagar",G211="Pagar"),NETWORKDAYS($J$123,F211,'Festivos Colombia'!$A$3:$A$22),0)</f>
        <v>0</v>
      </c>
      <c r="I211">
        <f>NETWORKDAYS($J$123,F211,'Festivos Colombia'!$A$3:$A$22)</f>
        <v>4</v>
      </c>
      <c r="J211" s="7">
        <f>H211</f>
        <v>0</v>
      </c>
    </row>
    <row r="212" outlineLevel="1">
      <c r="A212" t="str">
        <f>G212</f>
        <v>Cancelado</v>
      </c>
      <c r="B212">
        <f>IF(I212&lt;=-1,1,IF(I212&lt;=5,2,IF(I212&lt;=15,3,IF(H212&lt;=60,4))))</f>
        <v>2</v>
      </c>
      <c r="C212" t="str">
        <v>FENI-11542</v>
      </c>
      <c r="D212" t="str">
        <v>Nixcom Servicio técnico mensual</v>
      </c>
      <c r="E212" s="2">
        <v>798238</v>
      </c>
      <c r="F212" s="1">
        <v>46058</v>
      </c>
      <c r="G212" t="str">
        <v>Cancelado</v>
      </c>
      <c r="H212">
        <f>IF(OR(G212="Sin pagar",G212="Pagar"),NETWORKDAYS($J$123,F212,'Festivos Colombia'!$A$3:$A$22),0)</f>
        <v>0</v>
      </c>
      <c r="I212">
        <f>NETWORKDAYS($J$123,F212,'Festivos Colombia'!$A$3:$A$22)</f>
        <v>4</v>
      </c>
      <c r="J212" s="7">
        <f>H212</f>
        <v>0</v>
      </c>
    </row>
    <row r="213" outlineLevel="1">
      <c r="A213" t="str">
        <f>G213</f>
        <v>Cancelado</v>
      </c>
      <c r="B213">
        <f>IF(I213&lt;=-1,1,IF(I213&lt;=5,2,IF(I213&lt;=15,3,IF(H213&lt;=60,4))))</f>
        <v>2</v>
      </c>
      <c r="C213" t="str">
        <v>FE-399</v>
      </c>
      <c r="D213" t="str">
        <v>ACT&amp;J Consultores  S&amp;P</v>
      </c>
      <c r="E213" s="2">
        <f>4065250</f>
        <v>4065250</v>
      </c>
      <c r="F213" s="1">
        <v>46058</v>
      </c>
      <c r="G213" t="str">
        <v>Cancelado</v>
      </c>
      <c r="H213">
        <f>IF(OR(G213="Sin pagar",G213="Pagar"),NETWORKDAYS($J$123,F213,'Festivos Colombia'!$A$3:$A$22),0)</f>
        <v>0</v>
      </c>
      <c r="I213">
        <f>NETWORKDAYS($J$123,F213,'Festivos Colombia'!$A$3:$A$22)</f>
        <v>4</v>
      </c>
      <c r="J213" s="7">
        <f>H213</f>
        <v>0</v>
      </c>
    </row>
    <row r="214" outlineLevel="1">
      <c r="A214" t="str">
        <f>G214</f>
        <v>Cancelado</v>
      </c>
      <c r="B214">
        <f>IF(I214&lt;=-1,1,IF(I214&lt;=5,2,IF(I214&lt;=15,3,IF(H214&lt;=60,4))))</f>
        <v>2</v>
      </c>
      <c r="C214" t="str">
        <v>FENI-11463</v>
      </c>
      <c r="D214" t="str">
        <v>Nixcom Servicio técnico mensual</v>
      </c>
      <c r="E214" s="2">
        <v>1186677.7159</v>
      </c>
      <c r="F214" s="1">
        <v>46058</v>
      </c>
      <c r="G214" t="str">
        <v>Cancelado</v>
      </c>
      <c r="H214">
        <f>IF(OR(G214="Sin pagar",G214="Pagar"),NETWORKDAYS($J$123,F214,'Festivos Colombia'!$A$3:$A$22),0)</f>
        <v>0</v>
      </c>
      <c r="I214">
        <f>NETWORKDAYS($J$123,F214,'Festivos Colombia'!$A$3:$A$22)</f>
        <v>4</v>
      </c>
      <c r="J214" s="7">
        <f>H214</f>
        <v>0</v>
      </c>
    </row>
    <row r="215" outlineLevel="1">
      <c r="A215" t="str">
        <f>G215</f>
        <v>Cancelado</v>
      </c>
      <c r="B215">
        <f>IF(I215&lt;=-1,1,IF(I215&lt;=5,2,IF(I215&lt;=15,3,IF(H215&lt;=60,4))))</f>
        <v>3</v>
      </c>
      <c r="C215">
        <v>1</v>
      </c>
      <c r="D215" t="str">
        <v>Karina Elizabeth Atencio de simancas</v>
      </c>
      <c r="E215" s="2">
        <v>595404</v>
      </c>
      <c r="F215" s="1">
        <v>46072</v>
      </c>
      <c r="G215" t="str">
        <v>Cancelado</v>
      </c>
      <c r="H215">
        <f>IF(OR(G215="Sin pagar",G215="Pagar"),NETWORKDAYS($J$123,F215,'Festivos Colombia'!$A$3:$A$22),0)</f>
        <v>0</v>
      </c>
      <c r="I215">
        <f>NETWORKDAYS($J$123,F215,'Festivos Colombia'!$A$3:$A$22)</f>
        <v>14</v>
      </c>
      <c r="J215" s="7">
        <f>H215</f>
        <v>0</v>
      </c>
    </row>
    <row r="216" outlineLevel="1">
      <c r="A216" t="str">
        <f>G216</f>
        <v>Cancelado</v>
      </c>
      <c r="B216">
        <f>IF(I216&lt;=-1,1,IF(I216&lt;=5,2,IF(I216&lt;=15,3,IF(H216&lt;=60,4))))</f>
        <v>3</v>
      </c>
      <c r="C216" t="str">
        <v>FE 401</v>
      </c>
      <c r="D216" t="str">
        <v>ACT&amp;J Consultores  Global CS Colombia enero 2026</v>
      </c>
      <c r="E216" s="2">
        <v>3665694</v>
      </c>
      <c r="F216" s="1">
        <v>46072</v>
      </c>
      <c r="G216" t="str">
        <v>Cancelado</v>
      </c>
      <c r="H216">
        <f>IF(OR(G216="Sin pagar",G216="Pagar"),NETWORKDAYS($J$123,F216,'Festivos Colombia'!$A$3:$A$22),0)</f>
        <v>0</v>
      </c>
      <c r="I216">
        <f>NETWORKDAYS($J$123,F216,'Festivos Colombia'!$A$3:$A$22)</f>
        <v>14</v>
      </c>
      <c r="J216" s="7">
        <f>H216</f>
        <v>0</v>
      </c>
    </row>
    <row r="217" ht="13.5" customHeight="1" outlineLevel="1">
      <c r="A217" t="str">
        <f>G217</f>
        <v>Cancelado</v>
      </c>
      <c r="B217">
        <f>IF(I217&lt;=-1,1,IF(I217&lt;=5,2,IF(I217&lt;=15,3,IF(H217&lt;=60,4))))</f>
        <v>3</v>
      </c>
      <c r="C217" t="str">
        <v>BPA 6679</v>
      </c>
      <c r="D217" t="str">
        <v>Barrera Palacios</v>
      </c>
      <c r="E217" s="2">
        <f>1723309.31</f>
        <v>1723309.31</v>
      </c>
      <c r="F217" s="1">
        <v>46073</v>
      </c>
      <c r="G217" t="str">
        <v>Cancelado</v>
      </c>
      <c r="H217">
        <f>IF(OR(G217="Sin pagar",G217="Pagar"),NETWORKDAYS($J$123,F217,'Festivos Colombia'!$A$3:$A$22),0)</f>
        <v>0</v>
      </c>
      <c r="I217">
        <f>NETWORKDAYS($J$123,F217,'Festivos Colombia'!$A$3:$A$22)</f>
        <v>15</v>
      </c>
      <c r="J217" s="7">
        <f>H217</f>
        <v>0</v>
      </c>
    </row>
    <row r="218" ht="16.5" customHeight="1" outlineLevel="1">
      <c r="A218" t="str">
        <f>G218</f>
        <v>Cancelado</v>
      </c>
      <c r="B218">
        <f>IF(I218&lt;=-1,1,IF(I218&lt;=5,2,IF(I218&lt;=15,3,IF(H218&lt;=60,4))))</f>
        <v>4</v>
      </c>
      <c r="C218" s="4" t="str">
        <v>02-26</v>
      </c>
      <c r="D218" t="str">
        <v>Yadira Pineda- servicios Diciembre  y mensajeria service Panamá -Pago por Panamá</v>
      </c>
      <c r="E218" s="2">
        <f>600*0</f>
        <v>0</v>
      </c>
      <c r="F218" s="1">
        <v>46080</v>
      </c>
      <c r="G218" t="str">
        <v>Cancelado</v>
      </c>
      <c r="H218">
        <f>IF(OR(G218="Sin pagar",G218="Pagar"),NETWORKDAYS($J$123,F218,'Festivos Colombia'!$A$3:$A$22),0)</f>
        <v>0</v>
      </c>
      <c r="I218">
        <f>NETWORKDAYS($J$123,F218,'Festivos Colombia'!$A$3:$A$22)</f>
        <v>20</v>
      </c>
      <c r="J218" s="7">
        <f>H218</f>
        <v>0</v>
      </c>
    </row>
    <row r="219" ht="14.25" customHeight="1" outlineLevel="1">
      <c r="A219" t="str">
        <f>G219</f>
        <v>Cancelado</v>
      </c>
      <c r="B219">
        <f>IF(I219&lt;=-1,1,IF(I219&lt;=5,2,IF(I219&lt;=15,3,IF(H219&lt;=60,4))))</f>
        <v>3</v>
      </c>
      <c r="C219">
        <v>9</v>
      </c>
      <c r="D219" t="str">
        <v>Sebastían Romero Espitia</v>
      </c>
      <c r="E219" s="2">
        <v>340000.55778</v>
      </c>
      <c r="F219" s="1">
        <v>46073</v>
      </c>
      <c r="G219" t="str">
        <v>Cancelado</v>
      </c>
      <c r="H219">
        <f>IF(OR(G219="Sin pagar",G219="Pagar"),NETWORKDAYS($J$123,F219,'Festivos Colombia'!$A$3:$A$22),0)</f>
        <v>0</v>
      </c>
      <c r="I219">
        <f>NETWORKDAYS($J$123,F219,'Festivos Colombia'!$A$3:$A$22)</f>
        <v>15</v>
      </c>
      <c r="J219" s="7">
        <f>H219</f>
        <v>0</v>
      </c>
    </row>
    <row r="220" outlineLevel="1">
      <c r="A220" t="str">
        <f>G220</f>
        <v>Cancelado</v>
      </c>
      <c r="B220">
        <f>IF(I220&lt;=-1,1,IF(I220&lt;=5,2,IF(I220&lt;=15,3,IF(H220&lt;=60,4))))</f>
        <v>3</v>
      </c>
      <c r="C220" t="str">
        <v>CLOA105244495</v>
      </c>
      <c r="D220" t="str">
        <v>Carvajal</v>
      </c>
      <c r="E220" s="2">
        <v>77395</v>
      </c>
      <c r="F220" s="1">
        <v>46073</v>
      </c>
      <c r="G220" t="str">
        <v>Cancelado</v>
      </c>
      <c r="H220">
        <f>IF(OR(G220="Sin pagar",G220="Pagar"),NETWORKDAYS($J$123,F220,'Festivos Colombia'!$A$3:$A$22),0)</f>
        <v>0</v>
      </c>
      <c r="I220">
        <f>NETWORKDAYS($J$123,F220,'Festivos Colombia'!$A$3:$A$22)</f>
        <v>15</v>
      </c>
      <c r="J220" s="7">
        <f>H220</f>
        <v>0</v>
      </c>
    </row>
    <row r="221" outlineLevel="1">
      <c r="A221" t="str">
        <f>G221</f>
        <v>Cancelado</v>
      </c>
      <c r="B221">
        <f>IF(I221&lt;=-1,1,IF(I221&lt;=5,2,IF(I221&lt;=15,3,IF(H221&lt;=60,4))))</f>
        <v>3</v>
      </c>
      <c r="C221">
        <v>260201</v>
      </c>
      <c r="D221" t="str">
        <v xml:space="preserve">Analia Lorena Di Nicola </v>
      </c>
      <c r="E221" s="2">
        <v>475363.2</v>
      </c>
      <c r="F221" s="1">
        <v>46073</v>
      </c>
      <c r="G221" t="str">
        <v>Cancelado</v>
      </c>
      <c r="H221">
        <f>IF(OR(G221="Sin pagar",G221="Pagar"),NETWORKDAYS($J$123,F221,'Festivos Colombia'!$A$3:$A$22),0)</f>
        <v>0</v>
      </c>
      <c r="I221">
        <f>NETWORKDAYS($J$123,F221,'Festivos Colombia'!$A$3:$A$22)</f>
        <v>15</v>
      </c>
      <c r="J221" s="7">
        <f>H221</f>
        <v>0</v>
      </c>
    </row>
    <row r="222" outlineLevel="1">
      <c r="A222" t="str">
        <f>G222</f>
        <v>Cancelado</v>
      </c>
      <c r="B222">
        <f>IF(I222&lt;=-1,1,IF(I222&lt;=5,2,IF(I222&lt;=15,3,IF(H222&lt;=60,4))))</f>
        <v>3</v>
      </c>
      <c r="C222">
        <v>24</v>
      </c>
      <c r="D222" t="str">
        <v xml:space="preserve">Edward Felipe Forero Osorio </v>
      </c>
      <c r="E222" s="2">
        <v>1489471.36</v>
      </c>
      <c r="F222" s="1">
        <v>46072</v>
      </c>
      <c r="G222" t="str">
        <v>Cancelado</v>
      </c>
      <c r="H222">
        <f>IF(OR(G222="Sin pagar",G222="Pagar"),NETWORKDAYS($J$123,F222,'Festivos Colombia'!$A$3:$A$22),0)</f>
        <v>0</v>
      </c>
      <c r="I222">
        <f>NETWORKDAYS($J$123,F222,'Festivos Colombia'!$A$3:$A$22)</f>
        <v>14</v>
      </c>
      <c r="J222" s="7">
        <f>H222</f>
        <v>0</v>
      </c>
    </row>
    <row r="223" outlineLevel="1">
      <c r="A223" t="str">
        <f>G223</f>
        <v>Cancelado</v>
      </c>
      <c r="B223">
        <f>IF(I223&lt;=-1,1,IF(I223&lt;=5,2,IF(I223&lt;=15,3,IF(H223&lt;=60,4))))</f>
        <v>3</v>
      </c>
      <c r="C223">
        <v>16</v>
      </c>
      <c r="D223" t="str">
        <v xml:space="preserve">Sara Forero Osorio </v>
      </c>
      <c r="E223" s="2">
        <v>1489471.36</v>
      </c>
      <c r="F223" s="1">
        <v>46072</v>
      </c>
      <c r="G223" t="str">
        <v>Cancelado</v>
      </c>
      <c r="H223">
        <f>IF(OR(G223="Sin pagar",G223="Pagar"),NETWORKDAYS($J$123,F223,'Festivos Colombia'!$A$3:$A$22),0)</f>
        <v>0</v>
      </c>
      <c r="I223">
        <f>NETWORKDAYS($J$123,F223,'Festivos Colombia'!$A$3:$A$22)</f>
        <v>14</v>
      </c>
      <c r="J223" s="7">
        <f>H223</f>
        <v>0</v>
      </c>
    </row>
    <row r="224" outlineLevel="1">
      <c r="A224" t="str">
        <f>G224</f>
        <v>Cancelado</v>
      </c>
      <c r="B224">
        <f>IF(I224&lt;=-1,1,IF(I224&lt;=5,2,IF(I224&lt;=15,3,IF(H224&lt;=60,4))))</f>
        <v>4</v>
      </c>
      <c r="C224">
        <v>9</v>
      </c>
      <c r="D224" t="str">
        <v>Luis Ernesto Solano-Eduard Forero</v>
      </c>
      <c r="E224" s="2">
        <v>496170</v>
      </c>
      <c r="F224" s="1">
        <v>46078</v>
      </c>
      <c r="G224" t="str">
        <v>Cancelado</v>
      </c>
      <c r="H224">
        <f>IF(OR(G224="Sin pagar",G224="Pagar"),NETWORKDAYS($J$123,F224,'Festivos Colombia'!$A$3:$A$22),0)</f>
        <v>0</v>
      </c>
      <c r="I224">
        <f>NETWORKDAYS($J$123,F224,'Festivos Colombia'!$A$3:$A$22)</f>
        <v>18</v>
      </c>
      <c r="J224" s="7">
        <f>H224</f>
        <v>0</v>
      </c>
    </row>
    <row r="225" outlineLevel="1">
      <c r="A225" t="str">
        <f>G225</f>
        <v>Cancelado</v>
      </c>
      <c r="B225">
        <f>IF(I225&lt;=-1,1,IF(I225&lt;=5,2,IF(I225&lt;=15,3,IF(H225&lt;=60,4))))</f>
        <v>4</v>
      </c>
      <c r="C225" t="str">
        <v>2026-002</v>
      </c>
      <c r="D225" t="str">
        <v xml:space="preserve">Pedro Pablo oviedo Cutiva- Cuenta Ricardo Arambulo </v>
      </c>
      <c r="E225" s="2">
        <v>1438893</v>
      </c>
      <c r="F225" s="1">
        <v>46080</v>
      </c>
      <c r="G225" t="str">
        <v>Cancelado</v>
      </c>
      <c r="H225">
        <f>IF(OR(G225="Sin pagar",G225="Pagar"),NETWORKDAYS($J$123,F225,'Festivos Colombia'!$A$3:$A$22),0)</f>
        <v>0</v>
      </c>
      <c r="I225">
        <f>NETWORKDAYS($J$123,F225,'Festivos Colombia'!$A$3:$A$22)</f>
        <v>20</v>
      </c>
      <c r="J225" s="7">
        <f>H225</f>
        <v>0</v>
      </c>
    </row>
    <row r="226" outlineLevel="1">
      <c r="A226" t="str">
        <f>G226</f>
        <v>Cancelado</v>
      </c>
      <c r="B226">
        <f>IF(I226&lt;=-1,1,IF(I226&lt;=5,2,IF(I226&lt;=15,3,IF(H226&lt;=60,4))))</f>
        <v>4</v>
      </c>
      <c r="C226" t="str">
        <v>FE 402</v>
      </c>
      <c r="D226" t="str">
        <v>ACT&amp;J Consultores S&amp;P febrero 2026</v>
      </c>
      <c r="E226" s="2">
        <v>4065250</v>
      </c>
      <c r="F226" s="1">
        <v>46080</v>
      </c>
      <c r="G226" t="str">
        <v>Cancelado</v>
      </c>
      <c r="H226">
        <f>IF(OR(G226="Sin pagar",G226="Pagar"),NETWORKDAYS($J$123,F226,'Festivos Colombia'!$A$3:$A$22),0)</f>
        <v>0</v>
      </c>
      <c r="I226">
        <f>NETWORKDAYS($J$123,F226,'Festivos Colombia'!$A$3:$A$22)</f>
        <v>20</v>
      </c>
      <c r="J226" s="7">
        <f>H226</f>
        <v>0</v>
      </c>
    </row>
    <row r="227" outlineLevel="1">
      <c r="A227" t="str">
        <f>G227</f>
        <v>Cancelado</v>
      </c>
      <c r="B227">
        <f>IF(I227&lt;=-1,1,IF(I227&lt;=5,2,IF(I227&lt;=15,3,IF(H227&lt;=60,4))))</f>
        <v>4</v>
      </c>
      <c r="C227" t="str">
        <v>FE 402</v>
      </c>
      <c r="D227" t="str">
        <v>ACT&amp;J Consultores Global CS Colombia febrero 2026</v>
      </c>
      <c r="E227" s="2">
        <v>3665694</v>
      </c>
      <c r="F227" s="1">
        <v>46080</v>
      </c>
      <c r="G227" t="str">
        <v>Cancelado</v>
      </c>
      <c r="H227">
        <f>IF(OR(G227="Sin pagar",G227="Pagar"),NETWORKDAYS($J$123,F227,'Festivos Colombia'!$A$3:$A$22),0)</f>
        <v>0</v>
      </c>
      <c r="I227">
        <f>NETWORKDAYS($J$123,F227,'Festivos Colombia'!$A$3:$A$22)</f>
        <v>20</v>
      </c>
      <c r="J227" s="7">
        <f>H227</f>
        <v>0</v>
      </c>
    </row>
    <row r="228" outlineLevel="1">
      <c r="A228" t="str">
        <f>G228</f>
        <v>Sin Pagar</v>
      </c>
      <c r="B228">
        <f>IF(I228&lt;=-1,1,IF(I228&lt;=5,2,IF(I228&lt;=15,3,IF(H228&lt;=60,4))))</f>
        <v>4</v>
      </c>
      <c r="C228" t="str">
        <v>EMPR62186</v>
      </c>
      <c r="D228" t="str">
        <v>Compensar bienestar a la carta diciembre 2025</v>
      </c>
      <c r="E228" s="2">
        <f>1219000*0</f>
        <v>0</v>
      </c>
      <c r="F228" s="1">
        <v>46085</v>
      </c>
      <c r="G228" t="str">
        <v>Sin Pagar</v>
      </c>
      <c r="H228">
        <f>IF(OR(G228="Sin pagar",G228="Pagar"),NETWORKDAYS($J$123,F228,'Festivos Colombia'!$A$3:$A$22),0)</f>
        <v>23</v>
      </c>
      <c r="I228">
        <f>NETWORKDAYS($J$123,F228,'Festivos Colombia'!$A$3:$A$22)</f>
        <v>23</v>
      </c>
      <c r="J228" s="7">
        <f>H228</f>
        <v>23</v>
      </c>
    </row>
    <row r="229" ht="13.5" customHeight="1" outlineLevel="1">
      <c r="A229" t="str">
        <f>G229</f>
        <v>Sin Pagar</v>
      </c>
      <c r="B229">
        <f>IF(I229&lt;=-1,1,IF(I229&lt;=5,2,IF(I229&lt;=15,3,IF(H229&lt;=60,4))))</f>
        <v>4</v>
      </c>
      <c r="C229" t="str">
        <v>BPA 6759</v>
      </c>
      <c r="D229" t="str">
        <v>Barrera Palacios</v>
      </c>
      <c r="E229" s="2">
        <f>1723309.31*0</f>
        <v>0</v>
      </c>
      <c r="F229" s="1">
        <v>46087</v>
      </c>
      <c r="G229" t="str">
        <v>Sin Pagar</v>
      </c>
      <c r="H229">
        <f>IF(OR(G229="Sin pagar",G229="Pagar"),NETWORKDAYS($J$123,F229,'Festivos Colombia'!$A$3:$A$22),0)</f>
        <v>25</v>
      </c>
      <c r="I229">
        <f>NETWORKDAYS($J$123,F229,'Festivos Colombia'!$A$3:$A$22)</f>
        <v>25</v>
      </c>
      <c r="J229" s="7">
        <f>H229</f>
        <v>25</v>
      </c>
    </row>
    <row r="230" ht="14.25" customHeight="1" outlineLevel="1">
      <c r="A230" t="str">
        <f>G230</f>
        <v>Sin Pagar</v>
      </c>
      <c r="B230">
        <f>IF(I230&lt;=-1,1,IF(I230&lt;=5,2,IF(I230&lt;=15,3,IF(H230&lt;=60,4))))</f>
        <v>4</v>
      </c>
      <c r="C230" t="str">
        <v>FEV-1-96</v>
      </c>
      <c r="D230" t="str">
        <v>Yoana Forero Servicios profesionales -Costa Rica</v>
      </c>
      <c r="E230" s="2">
        <f>774025.2*0</f>
        <v>0</v>
      </c>
      <c r="F230" s="1">
        <v>46087</v>
      </c>
      <c r="G230" t="str">
        <v>Sin Pagar</v>
      </c>
      <c r="H230">
        <f>IF(OR(G230="Sin pagar",G230="Pagar"),NETWORKDAYS($J$123,F230,'Festivos Colombia'!$A$3:$A$22),0)</f>
        <v>25</v>
      </c>
      <c r="I230">
        <f>NETWORKDAYS($J$123,F230,'Festivos Colombia'!$A$3:$A$22)</f>
        <v>25</v>
      </c>
      <c r="J230" s="7">
        <f>H230</f>
        <v>25</v>
      </c>
    </row>
    <row r="231" outlineLevel="1">
      <c r="A231" t="str">
        <f>G231</f>
        <v>Sin Pagar</v>
      </c>
      <c r="B231">
        <f>IF(I231&lt;=-1,1,IF(I231&lt;=5,2,IF(I231&lt;=15,3,IF(H231&lt;=60,4))))</f>
        <v>4</v>
      </c>
      <c r="C231" t="str">
        <v>FENI-11655</v>
      </c>
      <c r="D231" t="str">
        <v>Nixcom Servicio técnico mensual</v>
      </c>
      <c r="E231" s="2">
        <f>1364315*0</f>
        <v>0</v>
      </c>
      <c r="F231" s="1">
        <v>46087</v>
      </c>
      <c r="G231" t="str">
        <v>Sin Pagar</v>
      </c>
      <c r="H231">
        <f>IF(OR(G231="Sin pagar",G231="Pagar"),NETWORKDAYS($J$123,F231,'Festivos Colombia'!$A$3:$A$22),0)</f>
        <v>25</v>
      </c>
      <c r="I231">
        <f>NETWORKDAYS($J$123,F231,'Festivos Colombia'!$A$3:$A$22)</f>
        <v>25</v>
      </c>
      <c r="J231" s="7">
        <f>H231</f>
        <v>25</v>
      </c>
    </row>
    <row r="232" outlineLevel="1">
      <c r="A232" t="str">
        <f>G232</f>
        <v>Sin Pagar</v>
      </c>
      <c r="B232">
        <f>IF(I232&lt;=-1,1,IF(I232&lt;=5,2,IF(I232&lt;=15,3,IF(H232&lt;=60,4))))</f>
        <v>4</v>
      </c>
      <c r="C232" t="str">
        <v>FENI-11656</v>
      </c>
      <c r="D232" t="str">
        <v>Nixcom Servicio técnico mensual</v>
      </c>
      <c r="E232" s="2">
        <f>833000*0</f>
        <v>0</v>
      </c>
      <c r="F232" s="1">
        <v>46087</v>
      </c>
      <c r="G232" t="str">
        <v>Sin Pagar</v>
      </c>
      <c r="H232">
        <f>IF(OR(G232="Sin pagar",G232="Pagar"),NETWORKDAYS($J$123,F232,'Festivos Colombia'!$A$3:$A$22),0)</f>
        <v>25</v>
      </c>
      <c r="I232">
        <f>NETWORKDAYS($J$123,F232,'Festivos Colombia'!$A$3:$A$22)</f>
        <v>25</v>
      </c>
      <c r="J232" s="7">
        <f>H232</f>
        <v>25</v>
      </c>
    </row>
    <row r="233" outlineLevel="1">
      <c r="A233" t="str">
        <f>G233</f>
        <v>Sin Pagar</v>
      </c>
      <c r="B233">
        <f>IF(I233&lt;=-1,1,IF(I233&lt;=5,2,IF(I233&lt;=15,3,IF(H233&lt;=60,4))))</f>
        <v>4</v>
      </c>
      <c r="C233" t="str">
        <v>EACB199</v>
      </c>
      <c r="D233" t="str">
        <v>CBP Consultoria - Servicio de mercadeo oautal digital enero 2026</v>
      </c>
      <c r="E233" s="2">
        <f>1785000*0</f>
        <v>0</v>
      </c>
      <c r="F233" s="1">
        <v>46087</v>
      </c>
      <c r="G233" t="str">
        <v>Sin Pagar</v>
      </c>
      <c r="H233">
        <f>IF(OR(G233="Sin pagar",G233="Pagar"),NETWORKDAYS($J$123,F233,'Festivos Colombia'!$A$3:$A$22),0)</f>
        <v>25</v>
      </c>
      <c r="I233">
        <f>NETWORKDAYS($J$123,F233,'Festivos Colombia'!$A$3:$A$22)</f>
        <v>25</v>
      </c>
      <c r="J233" s="7">
        <f>H233</f>
        <v>25</v>
      </c>
    </row>
    <row r="234" outlineLevel="1">
      <c r="A234" t="str">
        <f>G234</f>
        <v>Sin Pagar</v>
      </c>
      <c r="B234">
        <f>IF(I234&lt;=-1,1,IF(I234&lt;=5,2,IF(I234&lt;=15,3,IF(H234&lt;=60,4))))</f>
        <v>4</v>
      </c>
      <c r="C234" t="str">
        <v>EACB108</v>
      </c>
      <c r="D234" t="str">
        <v>CBP Consultoria - Servicio de mercadeo oautal digital febrero 2026</v>
      </c>
      <c r="E234" s="2">
        <f>1785000*0</f>
        <v>0</v>
      </c>
      <c r="F234" s="1">
        <v>46087</v>
      </c>
      <c r="G234" t="str">
        <v>Sin Pagar</v>
      </c>
      <c r="H234">
        <f>IF(OR(G234="Sin pagar",G234="Pagar"),NETWORKDAYS($J$123,F234,'Festivos Colombia'!$A$3:$A$22),0)</f>
        <v>25</v>
      </c>
      <c r="I234">
        <f>NETWORKDAYS($J$123,F234,'Festivos Colombia'!$A$3:$A$22)</f>
        <v>25</v>
      </c>
      <c r="J234" s="7">
        <f>H234</f>
        <v>25</v>
      </c>
    </row>
    <row r="235" outlineLevel="1">
      <c r="A235" t="str">
        <f>G235</f>
        <v>Sin Pagar</v>
      </c>
      <c r="B235">
        <f>IF(I235&lt;=-1,1,IF(I235&lt;=5,2,IF(I235&lt;=15,3,IF(H235&lt;=60,4))))</f>
        <v>4</v>
      </c>
      <c r="C235" t="str">
        <v>FENI-11656</v>
      </c>
      <c r="D235" t="str">
        <v>Nixcom Servicio técnico mensual-Sporte gestion de inventarios mes febrero 2026</v>
      </c>
      <c r="E235" s="2">
        <f>833000*0</f>
        <v>0</v>
      </c>
      <c r="F235" s="1">
        <v>46087</v>
      </c>
      <c r="G235" t="str">
        <v>Sin Pagar</v>
      </c>
      <c r="H235">
        <f>IF(OR(G235="Sin pagar",G235="Pagar"),NETWORKDAYS($J$123,F235,'Festivos Colombia'!$A$3:$A$22),0)</f>
        <v>25</v>
      </c>
      <c r="I235">
        <f>NETWORKDAYS($J$123,F235,'Festivos Colombia'!$A$3:$A$22)</f>
        <v>25</v>
      </c>
      <c r="J235" s="7">
        <f>H235</f>
        <v>25</v>
      </c>
    </row>
    <row r="236" outlineLevel="1">
      <c r="A236" t="str">
        <f>G236</f>
        <v>Sin Pagar</v>
      </c>
      <c r="B236">
        <f>IF(I236&lt;=-1,1,IF(I236&lt;=5,2,IF(I236&lt;=15,3,IF(H236&lt;=60,4))))</f>
        <v>4</v>
      </c>
      <c r="C236" t="str">
        <v>CLOA105248909</v>
      </c>
      <c r="D236" t="str">
        <v>Carvajal</v>
      </c>
      <c r="E236" s="2">
        <f>77395*0</f>
        <v>0</v>
      </c>
      <c r="F236" s="1">
        <v>46101</v>
      </c>
      <c r="G236" t="str">
        <v>Sin Pagar</v>
      </c>
      <c r="H236">
        <f>IF(OR(G236="Sin pagar",G236="Pagar"),NETWORKDAYS($J$123,F236,'Festivos Colombia'!$A$3:$A$22),0)</f>
        <v>35</v>
      </c>
      <c r="I236">
        <f>NETWORKDAYS($J$123,F236,'Festivos Colombia'!$A$3:$A$22)</f>
        <v>35</v>
      </c>
      <c r="J236" s="7">
        <f>H236</f>
        <v>35</v>
      </c>
    </row>
    <row r="237" outlineLevel="1">
      <c r="A237" t="str">
        <f>G237</f>
        <v>Sin Pagar</v>
      </c>
      <c r="B237">
        <f>IF(I237&lt;=-1,1,IF(I237&lt;=5,2,IF(I237&lt;=15,3,IF(H237&lt;=60,4))))</f>
        <v>4</v>
      </c>
      <c r="C237" t="str">
        <v>FENI-11856</v>
      </c>
      <c r="D237" t="str">
        <v>Nixcom Servicio técnico mensual</v>
      </c>
      <c r="E237" s="2">
        <f>1301175*0</f>
        <v>0</v>
      </c>
      <c r="F237" s="1">
        <v>46113</v>
      </c>
      <c r="G237" t="str">
        <v>Sin Pagar</v>
      </c>
      <c r="H237">
        <f>IF(OR(G237="Sin pagar",G237="Pagar"),NETWORKDAYS($J$123,F237,'Festivos Colombia'!$A$3:$A$22),0)</f>
        <v>42</v>
      </c>
      <c r="I237">
        <f>NETWORKDAYS($J$123,F237,'Festivos Colombia'!$A$3:$A$22)</f>
        <v>42</v>
      </c>
      <c r="J237" s="7">
        <f>H237</f>
        <v>42</v>
      </c>
    </row>
    <row r="238" ht="13.5" customHeight="1" outlineLevel="1">
      <c r="A238" t="str">
        <f>G238</f>
        <v>Sin Pagar</v>
      </c>
      <c r="B238">
        <f>IF(I238&lt;=-1,1,IF(I238&lt;=5,2,IF(I238&lt;=15,3,IF(H238&lt;=60,4))))</f>
        <v>4</v>
      </c>
      <c r="C238" t="str">
        <v>BPA 6893</v>
      </c>
      <c r="D238" t="str">
        <v>Barrera Palacios</v>
      </c>
      <c r="E238" s="2">
        <f>1723309.31*0</f>
        <v>0</v>
      </c>
      <c r="F238" s="1">
        <v>46115</v>
      </c>
      <c r="G238" t="str">
        <v>Sin Pagar</v>
      </c>
      <c r="H238">
        <f>IF(OR(G238="Sin pagar",G238="Pagar"),NETWORKDAYS($J$123,F238,'Festivos Colombia'!$A$3:$A$22),0)</f>
        <v>42</v>
      </c>
      <c r="I238">
        <f>NETWORKDAYS($J$123,F238,'Festivos Colombia'!$A$3:$A$22)</f>
        <v>42</v>
      </c>
      <c r="J238" s="7">
        <f>H238</f>
        <v>42</v>
      </c>
    </row>
    <row r="239" ht="15.75" customHeight="1">
      <c r="D239" t="str">
        <v xml:space="preserve">COSTOS FINANCIEROS </v>
      </c>
      <c r="E239" s="2">
        <f>SUBTOTAL(9,E240:E240)</f>
        <v>14000788.6838201</v>
      </c>
    </row>
    <row r="240" ht="15.75" customHeight="1" outlineLevel="1">
      <c r="A240" t="str">
        <f>G240</f>
        <v>Cancelado</v>
      </c>
      <c r="B240">
        <f>IF(I240&lt;=-1,1,IF(I240&lt;=5,2,IF(I240&lt;=15,3,IF(H240&lt;=60,4))))</f>
        <v>4</v>
      </c>
      <c r="D240" t="str">
        <v>Costos financieros (Cuentas S&amp;P)</v>
      </c>
      <c r="E240" s="2">
        <f>11269229.6838201+2731559</f>
        <v>14000788.6838201</v>
      </c>
      <c r="F240" s="1">
        <v>46080</v>
      </c>
      <c r="G240" t="str">
        <v>Cancelado</v>
      </c>
      <c r="H240">
        <f>IF(OR(G240="Sin pagar",G240="Pagar"),NETWORKDAYS($J$123,F240,'Festivos Colombia'!$A$3:$A$22),0)</f>
        <v>0</v>
      </c>
      <c r="I240">
        <f>NETWORKDAYS($J$123,F240,'Festivos Colombia'!$A$3:$A$22)</f>
        <v>20</v>
      </c>
      <c r="J240" s="7">
        <f>H240</f>
        <v>0</v>
      </c>
    </row>
    <row r="241" ht="16.5" customHeight="1">
      <c r="D241" t="str">
        <v>CRÉDITOS-LIBRANZAS</v>
      </c>
      <c r="E241" s="2">
        <f>SUBTOTAL(9,E242:E243)</f>
        <v>3859984</v>
      </c>
    </row>
    <row r="242" outlineLevel="1">
      <c r="A242" t="str">
        <f>G242</f>
        <v>Cancelado</v>
      </c>
      <c r="B242">
        <f>IF(I242&lt;=-1,1,IF(I242&lt;=5,2,IF(I242&lt;=15,3,IF(H242&lt;=60,4))))</f>
        <v>4</v>
      </c>
      <c r="D242" t="str">
        <v>Libranza Compensar</v>
      </c>
      <c r="E242" s="2">
        <v>3321161</v>
      </c>
      <c r="F242" s="1">
        <v>46080</v>
      </c>
      <c r="G242" t="str">
        <v>Cancelado</v>
      </c>
      <c r="H242">
        <f>IF(OR(G242="Sin pagar",G242="Pagar"),NETWORKDAYS($J$123,F242,'Festivos Colombia'!$A$3:$A$22),0)</f>
        <v>0</v>
      </c>
      <c r="I242">
        <f>NETWORKDAYS($J$123,F242,'Festivos Colombia'!$A$3:$A$22)</f>
        <v>20</v>
      </c>
      <c r="J242" s="7">
        <f>H242</f>
        <v>0</v>
      </c>
    </row>
    <row r="243" ht="15.75" customHeight="1" outlineLevel="1">
      <c r="A243" t="str">
        <f>G243</f>
        <v>Cancelado</v>
      </c>
      <c r="B243">
        <f>IF(I243&lt;=-1,1,IF(I243&lt;=5,2,IF(I243&lt;=15,3,IF(H243&lt;=60,4))))</f>
        <v>4</v>
      </c>
      <c r="D243" t="str">
        <v>Libranza Comfenalco Lisset Franco REMOFIRST</v>
      </c>
      <c r="E243" s="2">
        <v>538823</v>
      </c>
      <c r="F243" s="1">
        <v>46079</v>
      </c>
      <c r="G243" t="str">
        <v>Cancelado</v>
      </c>
      <c r="H243">
        <f>IF(OR(G243="Sin pagar",G243="Pagar"),NETWORKDAYS($J$123,F243,'Festivos Colombia'!$A$3:$A$22),0)</f>
        <v>0</v>
      </c>
      <c r="I243">
        <f>NETWORKDAYS($J$123,F243,'Festivos Colombia'!$A$3:$A$22)</f>
        <v>19</v>
      </c>
      <c r="J243" s="7">
        <f>H243</f>
        <v>0</v>
      </c>
    </row>
    <row r="244" ht="16.5" customHeight="1">
      <c r="D244" t="str">
        <v>TARJETAS DE CRÉDITO</v>
      </c>
      <c r="E244" s="2">
        <f>SUBTOTAL(9,E245:E247)</f>
        <v>12409133.508</v>
      </c>
    </row>
    <row r="245" outlineLevel="1">
      <c r="A245" t="str">
        <f>G245</f>
        <v>Cancelado</v>
      </c>
      <c r="B245">
        <f>IF(I245&lt;=-1,1,IF(I245&lt;=5,2,IF(I245&lt;=15,3,IF(H245&lt;=60,4))))</f>
        <v>2</v>
      </c>
      <c r="D245" t="str">
        <v>TC Bancolombia TC 4853</v>
      </c>
      <c r="E245" s="2">
        <f>((152*3628.16)+15929.84)*0</f>
        <v>0</v>
      </c>
      <c r="F245" s="1">
        <v>46058</v>
      </c>
      <c r="G245" t="str">
        <v>Cancelado</v>
      </c>
      <c r="H245">
        <f>IF(OR(G245="Sin pagar",G245="Pagar"),NETWORKDAYS($J$123,F245,'Festivos Colombia'!$A$3:$A$22),0)</f>
        <v>0</v>
      </c>
      <c r="I245">
        <f>NETWORKDAYS($J$123,F245,'Festivos Colombia'!$A$3:$A$22)</f>
        <v>4</v>
      </c>
      <c r="J245" s="7">
        <f>H245</f>
        <v>0</v>
      </c>
    </row>
    <row r="246" outlineLevel="1">
      <c r="A246" t="str">
        <f>G246</f>
        <v>Cancelado</v>
      </c>
      <c r="B246">
        <f>IF(I246&lt;=-1,1,IF(I246&lt;=5,2,IF(I246&lt;=15,3,IF(H246&lt;=60,4))))</f>
        <v>3</v>
      </c>
      <c r="D246" t="str">
        <v>TC Bancolombia-Ramon Esteban Cardona Salazar TC 5996</v>
      </c>
      <c r="E246" s="2">
        <v>10269027</v>
      </c>
      <c r="F246" s="1">
        <v>46069</v>
      </c>
      <c r="G246" t="str">
        <v>Cancelado</v>
      </c>
      <c r="H246">
        <f>IF(OR(G246="Sin pagar",G246="Pagar"),NETWORKDAYS($J$123,F246,'Festivos Colombia'!$A$3:$A$22),0)</f>
        <v>0</v>
      </c>
      <c r="I246">
        <f>NETWORKDAYS($J$123,F246,'Festivos Colombia'!$A$3:$A$22)</f>
        <v>11</v>
      </c>
      <c r="J246" s="7">
        <f>H246</f>
        <v>0</v>
      </c>
    </row>
    <row r="247" ht="15.75" customHeight="1" outlineLevel="1">
      <c r="A247" t="str">
        <f>G247</f>
        <v>Cancelado</v>
      </c>
      <c r="B247">
        <f>IF(I247&lt;=-1,1,IF(I247&lt;=5,2,IF(I247&lt;=15,3,IF(H247&lt;=60,4))))</f>
        <v>4</v>
      </c>
      <c r="D247" t="str">
        <v>TC Bancolombia TC 4853</v>
      </c>
      <c r="E247" s="2">
        <f>2098827.86+(10.96*3766.3)</f>
        <v>2140106.508</v>
      </c>
      <c r="F247" s="1">
        <v>46086</v>
      </c>
      <c r="G247" t="str">
        <v>Cancelado</v>
      </c>
      <c r="H247">
        <f>IF(OR(G247="Sin pagar",G247="Pagar"),NETWORKDAYS($J$123,F247,'Festivos Colombia'!$A$3:$A$22),0)</f>
        <v>0</v>
      </c>
      <c r="I247">
        <f>NETWORKDAYS($J$123,F247,'Festivos Colombia'!$A$3:$A$22)</f>
        <v>24</v>
      </c>
      <c r="J247" s="7">
        <f>H247</f>
        <v>0</v>
      </c>
    </row>
    <row r="248" ht="16.5" customHeight="1">
      <c r="D248" t="str">
        <v>ESTUDIOS DE SEGURIDAD Y EXAMENES OCUPACIONALES</v>
      </c>
      <c r="E248" s="2">
        <f>SUBTOTAL(9,E249:E262)</f>
        <v>2269000</v>
      </c>
    </row>
    <row r="249" ht="15.75" customHeight="1" outlineLevel="1">
      <c r="A249" t="str">
        <f>G249</f>
        <v>Cancelado</v>
      </c>
      <c r="B249">
        <f>IF(I249&lt;=-1,1,IF(I249&lt;=5,2,IF(I249&lt;=15,3,IF(H249&lt;=60,4))))</f>
        <v>3</v>
      </c>
      <c r="C249">
        <v>6871</v>
      </c>
      <c r="D249" t="str">
        <v xml:space="preserve">EMASOC </v>
      </c>
      <c r="E249" s="2">
        <f>1158000</f>
        <v>1158000</v>
      </c>
      <c r="F249" s="1">
        <v>46073</v>
      </c>
      <c r="G249" t="str">
        <v>Cancelado</v>
      </c>
      <c r="H249">
        <f>IF(OR(G249="Sin pagar",G249="Pagar"),NETWORKDAYS($J$123,F249,'Festivos Colombia'!$A$3:$A$22),0)</f>
        <v>0</v>
      </c>
      <c r="I249">
        <f>NETWORKDAYS($J$123,F249,'Festivos Colombia'!$A$3:$A$22)</f>
        <v>15</v>
      </c>
      <c r="J249" s="7">
        <f>H249</f>
        <v>0</v>
      </c>
      <c r="K249" t="str">
        <v>Real 13</v>
      </c>
    </row>
    <row r="250" ht="15.75" customHeight="1" outlineLevel="1">
      <c r="A250" t="str">
        <f>G250</f>
        <v>Cancelado</v>
      </c>
      <c r="B250">
        <f>IF(I250&lt;=-1,1,IF(I250&lt;=5,2,IF(I250&lt;=15,3,IF(H250&lt;=60,4))))</f>
        <v>3</v>
      </c>
      <c r="C250">
        <v>6882</v>
      </c>
      <c r="D250" t="str">
        <v xml:space="preserve">EMASOC </v>
      </c>
      <c r="E250" s="2">
        <f>102500</f>
        <v>102500</v>
      </c>
      <c r="F250" s="1">
        <v>46073</v>
      </c>
      <c r="G250" t="str">
        <v>Cancelado</v>
      </c>
      <c r="H250">
        <f>IF(OR(G250="Sin pagar",G250="Pagar"),NETWORKDAYS($J$123,F250,'Festivos Colombia'!$A$3:$A$22),0)</f>
        <v>0</v>
      </c>
      <c r="I250">
        <f>NETWORKDAYS($J$123,F250,'Festivos Colombia'!$A$3:$A$22)</f>
        <v>15</v>
      </c>
      <c r="J250" s="7">
        <f>H250</f>
        <v>0</v>
      </c>
      <c r="K250" t="str">
        <v>Real 20Feb</v>
      </c>
    </row>
    <row r="251" ht="15.75" customHeight="1" outlineLevel="1">
      <c r="A251" t="str">
        <f>G251</f>
        <v>Cancelado</v>
      </c>
      <c r="B251">
        <f>IF(I251&lt;=-1,1,IF(I251&lt;=5,2,IF(I251&lt;=15,3,IF(H251&lt;=60,4))))</f>
        <v>3</v>
      </c>
      <c r="C251">
        <v>6895</v>
      </c>
      <c r="D251" t="str">
        <v xml:space="preserve">EMASOC </v>
      </c>
      <c r="E251" s="2">
        <f>102500</f>
        <v>102500</v>
      </c>
      <c r="F251" s="1">
        <v>46073</v>
      </c>
      <c r="G251" t="str">
        <v>Cancelado</v>
      </c>
      <c r="H251">
        <f>IF(OR(G251="Sin pagar",G251="Pagar"),NETWORKDAYS($J$123,F251,'Festivos Colombia'!$A$3:$A$22),0)</f>
        <v>0</v>
      </c>
      <c r="I251">
        <f>NETWORKDAYS($J$123,F251,'Festivos Colombia'!$A$3:$A$22)</f>
        <v>15</v>
      </c>
      <c r="J251" s="7">
        <f>H251</f>
        <v>0</v>
      </c>
      <c r="K251" t="str">
        <v>Real 20Feb</v>
      </c>
    </row>
    <row r="252" ht="15.75" customHeight="1" outlineLevel="1">
      <c r="A252" t="str">
        <f>G252</f>
        <v>Cancelado</v>
      </c>
      <c r="B252">
        <f>IF(I252&lt;=-1,1,IF(I252&lt;=5,2,IF(I252&lt;=15,3,IF(H252&lt;=60,4))))</f>
        <v>3</v>
      </c>
      <c r="C252">
        <v>6900</v>
      </c>
      <c r="D252" t="str">
        <v xml:space="preserve">EMASOC </v>
      </c>
      <c r="E252" s="2">
        <f>313500</f>
        <v>313500</v>
      </c>
      <c r="F252" s="1">
        <v>46073</v>
      </c>
      <c r="G252" t="str">
        <v>Cancelado</v>
      </c>
      <c r="H252">
        <f>IF(OR(G252="Sin pagar",G252="Pagar"),NETWORKDAYS($J$123,F252,'Festivos Colombia'!$A$3:$A$22),0)</f>
        <v>0</v>
      </c>
      <c r="I252">
        <f>NETWORKDAYS($J$123,F252,'Festivos Colombia'!$A$3:$A$22)</f>
        <v>15</v>
      </c>
      <c r="J252" s="7">
        <f>H252</f>
        <v>0</v>
      </c>
    </row>
    <row r="253" ht="15.75" customHeight="1" outlineLevel="1">
      <c r="A253" t="str">
        <f>G253</f>
        <v>Cancelado</v>
      </c>
      <c r="B253">
        <f>IF(I253&lt;=-1,1,IF(I253&lt;=5,2,IF(I253&lt;=15,3,IF(H253&lt;=60,4))))</f>
        <v>3</v>
      </c>
      <c r="C253">
        <v>6903</v>
      </c>
      <c r="D253" t="str">
        <v xml:space="preserve">EMASOC </v>
      </c>
      <c r="E253" s="2">
        <f>592500</f>
        <v>592500</v>
      </c>
      <c r="F253" s="1">
        <v>46073</v>
      </c>
      <c r="G253" t="str">
        <v>Cancelado</v>
      </c>
      <c r="H253">
        <f>IF(OR(G253="Sin pagar",G253="Pagar"),NETWORKDAYS($J$123,F253,'Festivos Colombia'!$A$3:$A$22),0)</f>
        <v>0</v>
      </c>
      <c r="I253">
        <f>NETWORKDAYS($J$123,F253,'Festivos Colombia'!$A$3:$A$22)</f>
        <v>15</v>
      </c>
      <c r="J253" s="7">
        <f>H253</f>
        <v>0</v>
      </c>
    </row>
    <row r="254" ht="15.75" customHeight="1" outlineLevel="1">
      <c r="A254" t="str">
        <f>G254</f>
        <v>Sin Pagar</v>
      </c>
      <c r="B254">
        <f>IF(I254&lt;=-1,1,IF(I254&lt;=5,2,IF(I254&lt;=15,3,IF(H254&lt;=60,4))))</f>
        <v>4</v>
      </c>
      <c r="C254">
        <v>6910</v>
      </c>
      <c r="D254" t="str">
        <v xml:space="preserve">EMASOC </v>
      </c>
      <c r="E254" s="2">
        <f>3410000*0</f>
        <v>0</v>
      </c>
      <c r="F254" s="1">
        <v>46084</v>
      </c>
      <c r="G254" t="str">
        <v>Sin Pagar</v>
      </c>
      <c r="H254">
        <f>IF(OR(G254="Sin pagar",G254="Pagar"),NETWORKDAYS($J$123,F254,'Festivos Colombia'!$A$3:$A$22),0)</f>
        <v>22</v>
      </c>
      <c r="I254">
        <f>NETWORKDAYS($J$123,F254,'Festivos Colombia'!$A$3:$A$22)</f>
        <v>22</v>
      </c>
      <c r="J254" s="7">
        <f>H254</f>
        <v>22</v>
      </c>
    </row>
    <row r="255" ht="15.75" customHeight="1" outlineLevel="1">
      <c r="A255" t="str">
        <f>G255</f>
        <v>Sin Pagar</v>
      </c>
      <c r="B255">
        <f>IF(I255&lt;=-1,1,IF(I255&lt;=5,2,IF(I255&lt;=15,3,IF(H255&lt;=60,4))))</f>
        <v>4</v>
      </c>
      <c r="C255">
        <v>6914</v>
      </c>
      <c r="D255" t="str">
        <v xml:space="preserve">EMASOC </v>
      </c>
      <c r="E255" s="2">
        <f>509500*0</f>
        <v>0</v>
      </c>
      <c r="F255" s="1">
        <v>46086</v>
      </c>
      <c r="G255" t="str">
        <v>Sin Pagar</v>
      </c>
      <c r="H255">
        <f>IF(OR(G255="Sin pagar",G255="Pagar"),NETWORKDAYS($J$123,F255,'Festivos Colombia'!$A$3:$A$22),0)</f>
        <v>24</v>
      </c>
      <c r="I255">
        <f>NETWORKDAYS($J$123,F255,'Festivos Colombia'!$A$3:$A$22)</f>
        <v>24</v>
      </c>
      <c r="J255" s="7">
        <f>H255</f>
        <v>24</v>
      </c>
    </row>
    <row r="256" ht="15.75" customHeight="1" outlineLevel="1">
      <c r="A256" t="str">
        <f>G256</f>
        <v>Sin Pagar</v>
      </c>
      <c r="B256">
        <f>IF(I256&lt;=-1,1,IF(I256&lt;=5,2,IF(I256&lt;=15,3,IF(H256&lt;=60,4))))</f>
        <v>4</v>
      </c>
      <c r="C256">
        <v>6917</v>
      </c>
      <c r="D256" t="str">
        <v xml:space="preserve">EMASOC </v>
      </c>
      <c r="E256" s="2">
        <f>205000*0</f>
        <v>0</v>
      </c>
      <c r="F256" s="1">
        <v>46091</v>
      </c>
      <c r="G256" t="str">
        <v>Sin Pagar</v>
      </c>
      <c r="H256">
        <f>IF(OR(G256="Sin pagar",G256="Pagar"),NETWORKDAYS($J$123,F256,'Festivos Colombia'!$A$3:$A$22),0)</f>
        <v>27</v>
      </c>
      <c r="I256">
        <f>NETWORKDAYS($J$123,F256,'Festivos Colombia'!$A$3:$A$22)</f>
        <v>27</v>
      </c>
      <c r="J256" s="7">
        <f>H256</f>
        <v>27</v>
      </c>
    </row>
    <row r="257" ht="15.75" customHeight="1" outlineLevel="1">
      <c r="A257" t="str">
        <f>G257</f>
        <v>Sin Pagar</v>
      </c>
      <c r="B257">
        <f>IF(I257&lt;=-1,1,IF(I257&lt;=5,2,IF(I257&lt;=15,3,IF(H257&lt;=60,4))))</f>
        <v>4</v>
      </c>
      <c r="C257">
        <v>6929</v>
      </c>
      <c r="D257" t="str">
        <v xml:space="preserve">EMASOC </v>
      </c>
      <c r="E257" s="2">
        <f>567500*0</f>
        <v>0</v>
      </c>
      <c r="F257" s="1">
        <v>46093</v>
      </c>
      <c r="G257" t="str">
        <v>Sin Pagar</v>
      </c>
      <c r="H257">
        <f>IF(OR(G257="Sin pagar",G257="Pagar"),NETWORKDAYS($J$123,F257,'Festivos Colombia'!$A$3:$A$22),0)</f>
        <v>29</v>
      </c>
      <c r="I257">
        <f>NETWORKDAYS($J$123,F257,'Festivos Colombia'!$A$3:$A$22)</f>
        <v>29</v>
      </c>
      <c r="J257" s="7">
        <f>H257</f>
        <v>29</v>
      </c>
    </row>
    <row r="258" ht="15.75" customHeight="1" outlineLevel="1">
      <c r="A258" t="str">
        <f>G258</f>
        <v>Sin Pagar</v>
      </c>
      <c r="B258">
        <f>IF(I258&lt;=-1,1,IF(I258&lt;=5,2,IF(I258&lt;=15,3,IF(H258&lt;=60,4))))</f>
        <v>4</v>
      </c>
      <c r="C258">
        <v>6932</v>
      </c>
      <c r="D258" t="str">
        <v xml:space="preserve">EMASOC </v>
      </c>
      <c r="E258" s="2">
        <f>2250000*0</f>
        <v>0</v>
      </c>
      <c r="F258" s="1">
        <v>46098</v>
      </c>
      <c r="G258" t="str">
        <v>Sin Pagar</v>
      </c>
      <c r="H258">
        <f>IF(OR(G258="Sin pagar",G258="Pagar"),NETWORKDAYS($J$123,F258,'Festivos Colombia'!$A$3:$A$22),0)</f>
        <v>32</v>
      </c>
      <c r="I258">
        <f>NETWORKDAYS($J$123,F258,'Festivos Colombia'!$A$3:$A$22)</f>
        <v>32</v>
      </c>
      <c r="J258" s="7">
        <f>H258</f>
        <v>32</v>
      </c>
    </row>
    <row r="259" ht="15.75" customHeight="1" outlineLevel="1">
      <c r="A259" t="str">
        <f>G259</f>
        <v>Sin Pagar</v>
      </c>
      <c r="B259">
        <f>IF(I259&lt;=-1,1,IF(I259&lt;=5,2,IF(I259&lt;=15,3,IF(H259&lt;=60,4))))</f>
        <v>4</v>
      </c>
      <c r="C259">
        <v>6940</v>
      </c>
      <c r="D259" t="str">
        <v xml:space="preserve">EMASOC </v>
      </c>
      <c r="E259" s="2">
        <f>807500*0</f>
        <v>0</v>
      </c>
      <c r="F259" s="1">
        <v>46105</v>
      </c>
      <c r="G259" t="str">
        <v>Sin Pagar</v>
      </c>
      <c r="H259">
        <f>IF(OR(G259="Sin pagar",G259="Pagar"),NETWORKDAYS($J$123,F259,'Festivos Colombia'!$A$3:$A$22),0)</f>
        <v>36</v>
      </c>
      <c r="I259">
        <f>NETWORKDAYS($J$123,F259,'Festivos Colombia'!$A$3:$A$22)</f>
        <v>36</v>
      </c>
      <c r="J259" s="7">
        <f>H259</f>
        <v>36</v>
      </c>
    </row>
    <row r="260" ht="15.75" customHeight="1" outlineLevel="1">
      <c r="A260" t="str">
        <f>G260</f>
        <v>Sin Pagar</v>
      </c>
      <c r="B260">
        <f>IF(I260&lt;=-1,1,IF(I260&lt;=5,2,IF(I260&lt;=15,3,IF(H260&lt;=60,4))))</f>
        <v>4</v>
      </c>
      <c r="C260">
        <v>6950</v>
      </c>
      <c r="D260" t="str">
        <v xml:space="preserve">EMASOC </v>
      </c>
      <c r="E260" s="2">
        <f>342500*0</f>
        <v>0</v>
      </c>
      <c r="F260" s="1">
        <v>46108</v>
      </c>
      <c r="G260" t="str">
        <v>Sin Pagar</v>
      </c>
      <c r="H260">
        <f>IF(OR(G260="Sin pagar",G260="Pagar"),NETWORKDAYS($J$123,F260,'Festivos Colombia'!$A$3:$A$22),0)</f>
        <v>39</v>
      </c>
      <c r="I260">
        <f>NETWORKDAYS($J$123,F260,'Festivos Colombia'!$A$3:$A$22)</f>
        <v>39</v>
      </c>
      <c r="J260" s="7">
        <f>H260</f>
        <v>39</v>
      </c>
    </row>
    <row r="261" outlineLevel="1">
      <c r="A261" t="str">
        <f>G261</f>
        <v>Sin Pagar</v>
      </c>
      <c r="B261">
        <f>IF(I261&lt;=-1,1,IF(I261&lt;=5,2,IF(I261&lt;=15,3,IF(H261&lt;=60,4))))</f>
        <v>4</v>
      </c>
      <c r="C261">
        <v>3195</v>
      </c>
      <c r="D261" t="str">
        <v>Prosinte</v>
      </c>
      <c r="E261" s="2">
        <f>384004.68*0</f>
        <v>0</v>
      </c>
      <c r="F261" s="1">
        <v>46108</v>
      </c>
      <c r="G261" t="str">
        <v>Sin Pagar</v>
      </c>
      <c r="H261">
        <f>IF(OR(G261="Sin pagar",G261="Pagar"),NETWORKDAYS($J$123,F261,'Festivos Colombia'!$A$3:$A$22),0)</f>
        <v>39</v>
      </c>
      <c r="I261">
        <f>NETWORKDAYS($J$123,F261,'Festivos Colombia'!$A$3:$A$22)</f>
        <v>39</v>
      </c>
      <c r="J261" s="7">
        <f>H261</f>
        <v>39</v>
      </c>
    </row>
    <row r="262" ht="15.75" customHeight="1" outlineLevel="1">
      <c r="A262" t="str">
        <f>G262</f>
        <v>Sin Pagar</v>
      </c>
      <c r="B262">
        <f>IF(I262&lt;=-1,1,IF(I262&lt;=5,2,IF(I262&lt;=15,3,IF(H262&lt;=60,4))))</f>
        <v>4</v>
      </c>
      <c r="C262">
        <v>3196</v>
      </c>
      <c r="D262" t="str">
        <v>Prosinte</v>
      </c>
      <c r="E262" s="2">
        <f>190681.38*0</f>
        <v>0</v>
      </c>
      <c r="F262" s="1">
        <v>46108</v>
      </c>
      <c r="G262" t="str">
        <v>Sin Pagar</v>
      </c>
      <c r="H262">
        <f>IF(OR(G262="Sin pagar",G262="Pagar"),NETWORKDAYS($J$123,F262,'Festivos Colombia'!$A$3:$A$22),0)</f>
        <v>39</v>
      </c>
      <c r="I262">
        <f>NETWORKDAYS($J$123,F262,'Festivos Colombia'!$A$3:$A$22)</f>
        <v>39</v>
      </c>
      <c r="J262" s="7">
        <f>H262</f>
        <v>39</v>
      </c>
    </row>
    <row r="263" ht="16.5" customHeight="1">
      <c r="D263" t="str">
        <v>SOFTWARE NÓMINA</v>
      </c>
      <c r="E263" s="2">
        <f>SUBTOTAL(9,E264:E268)</f>
        <v>13818521.54</v>
      </c>
    </row>
    <row r="264" outlineLevel="1">
      <c r="A264" t="str">
        <f>G264</f>
        <v>Sin Pagar</v>
      </c>
      <c r="B264">
        <f>IF(I264&lt;=-1,1,IF(I264&lt;=5,2,IF(I264&lt;=15,3,IF(H264&lt;=60,4))))</f>
        <v>4</v>
      </c>
      <c r="C264" t="str">
        <v>PX44893</v>
      </c>
      <c r="D264" t="str">
        <v>Servidores ( hosting) y/ o computación en la nuble cloud</v>
      </c>
      <c r="E264" s="2">
        <f>1568092*0</f>
        <v>0</v>
      </c>
      <c r="F264" s="1">
        <v>46094</v>
      </c>
      <c r="G264" t="str">
        <v>Sin Pagar</v>
      </c>
      <c r="H264">
        <f>IF(OR(G264="Sin pagar",G264="Pagar"),NETWORKDAYS($J$123,F264,'Festivos Colombia'!$A$3:$A$22),0)</f>
        <v>30</v>
      </c>
      <c r="I264">
        <f>NETWORKDAYS($J$123,F264,'Festivos Colombia'!$A$3:$A$22)</f>
        <v>30</v>
      </c>
      <c r="J264" s="7">
        <f>H264</f>
        <v>30</v>
      </c>
    </row>
    <row r="265" outlineLevel="1">
      <c r="A265" t="str">
        <f>G265</f>
        <v>Sin Pagar</v>
      </c>
      <c r="B265">
        <f>IF(I265&lt;=-1,1,IF(I265&lt;=5,2,IF(I265&lt;=15,3,IF(H265&lt;=60,4))))</f>
        <v>4</v>
      </c>
      <c r="C265" t="str">
        <v>PX44892</v>
      </c>
      <c r="D265" t="str">
        <v>Transmision nomina electronica</v>
      </c>
      <c r="E265" s="2">
        <f>251233*0</f>
        <v>0</v>
      </c>
      <c r="F265" s="1">
        <v>46094</v>
      </c>
      <c r="G265" t="str">
        <v>Sin Pagar</v>
      </c>
      <c r="H265">
        <f>IF(OR(G265="Sin pagar",G265="Pagar"),NETWORKDAYS($J$123,F265,'Festivos Colombia'!$A$3:$A$22),0)</f>
        <v>30</v>
      </c>
      <c r="I265">
        <f>NETWORKDAYS($J$123,F265,'Festivos Colombia'!$A$3:$A$22)</f>
        <v>30</v>
      </c>
      <c r="J265" s="7">
        <f>H265</f>
        <v>30</v>
      </c>
    </row>
    <row r="266" ht="30" customHeight="1" outlineLevel="1">
      <c r="A266" t="str">
        <f>G266</f>
        <v>Cancelado</v>
      </c>
      <c r="B266">
        <f>IF(I266&lt;=-1,1,IF(I266&lt;=5,2,IF(I266&lt;=15,3,IF(H266&lt;=60,4))))</f>
        <v>4</v>
      </c>
      <c r="C266" t="str">
        <v>GFE59375</v>
      </c>
      <c r="D266" t="str">
        <v>Novasoft-Derecho de uso de nómina, Derecho de uso portal , nómina electrónica, Habilitación y emisión de comprobantes Diciembre</v>
      </c>
      <c r="E266" s="2">
        <f>8312384.54</f>
        <v>8312384.54</v>
      </c>
      <c r="F266" s="1">
        <v>46078</v>
      </c>
      <c r="G266" t="str">
        <v>Cancelado</v>
      </c>
      <c r="H266">
        <f>IF(OR(G266="Sin pagar",G266="Pagar"),NETWORKDAYS($J$123,F266,'Festivos Colombia'!$A$3:$A$22),0)</f>
        <v>0</v>
      </c>
      <c r="I266">
        <f>NETWORKDAYS($J$123,F266,'Festivos Colombia'!$A$3:$A$22)</f>
        <v>18</v>
      </c>
      <c r="J266" s="7">
        <f>H266</f>
        <v>0</v>
      </c>
    </row>
    <row r="267" outlineLevel="1">
      <c r="A267" t="str">
        <f>G267</f>
        <v>Cancelado</v>
      </c>
      <c r="B267">
        <f>IF(I267&lt;=-1,1,IF(I267&lt;=5,2,IF(I267&lt;=15,3,IF(H267&lt;=60,4))))</f>
        <v>4</v>
      </c>
      <c r="C267" t="str">
        <v>GFE59440</v>
      </c>
      <c r="D267" t="str">
        <v>Novasoft-Servicio hosting Web-19 Usuarios-29 Bases de datos Enero</v>
      </c>
      <c r="E267" s="2">
        <f>5506137</f>
        <v>5506137</v>
      </c>
      <c r="F267" s="1">
        <v>46078</v>
      </c>
      <c r="G267" t="str">
        <v>Cancelado</v>
      </c>
      <c r="H267">
        <f>IF(OR(G267="Sin pagar",G267="Pagar"),NETWORKDAYS($J$123,F267,'Festivos Colombia'!$A$3:$A$22),0)</f>
        <v>0</v>
      </c>
      <c r="I267">
        <f>NETWORKDAYS($J$123,F267,'Festivos Colombia'!$A$3:$A$22)</f>
        <v>18</v>
      </c>
      <c r="J267" s="7">
        <f>H267</f>
        <v>0</v>
      </c>
    </row>
    <row r="268" ht="15.75" customHeight="1" outlineLevel="1">
      <c r="A268" t="str">
        <f>G268</f>
        <v>Sin Pagar</v>
      </c>
      <c r="B268">
        <f>IF(I268&lt;=-1,1,IF(I268&lt;=5,2,IF(I268&lt;=15,3,IF(H268&lt;=60,4))))</f>
        <v>4</v>
      </c>
      <c r="C268" t="str">
        <v>GFE60050</v>
      </c>
      <c r="D268" t="str">
        <v>Novasoft-Servicio hosting Web-19 Usuarios-29 Bases de datos Enero</v>
      </c>
      <c r="E268" s="2">
        <f>5506137*0</f>
        <v>0</v>
      </c>
      <c r="F268" s="1">
        <v>46100</v>
      </c>
      <c r="G268" t="str">
        <v>Sin Pagar</v>
      </c>
      <c r="H268">
        <f>IF(OR(G268="Sin pagar",G268="Pagar"),NETWORKDAYS($J$123,F268,'Festivos Colombia'!$A$3:$A$22),0)</f>
        <v>34</v>
      </c>
      <c r="I268">
        <f>NETWORKDAYS($J$123,F268,'Festivos Colombia'!$A$3:$A$22)</f>
        <v>34</v>
      </c>
      <c r="J268" s="7">
        <f>H268</f>
        <v>34</v>
      </c>
    </row>
    <row r="269" ht="16.5" customHeight="1">
      <c r="D269" t="str">
        <v>NÓMINAS Y ABONO A TARJETAS PEOPLE PASS</v>
      </c>
      <c r="E269" s="2">
        <f>SUBTOTAL(9,E270:E298)</f>
        <v>2480310920</v>
      </c>
    </row>
    <row r="270" outlineLevel="1">
      <c r="D270" t="str">
        <v>Cesantías S&amp;P</v>
      </c>
      <c r="E270" s="2">
        <v>128604519</v>
      </c>
      <c r="F270" s="1">
        <v>46066</v>
      </c>
      <c r="G270" t="str">
        <v>Cancelado</v>
      </c>
      <c r="H270">
        <f>IF(OR(G270="Sin pagar",G270="Pagar"),NETWORKDAYS($J$123,F270,'Festivos Colombia'!$A$3:$A$22),0)</f>
        <v>0</v>
      </c>
      <c r="I270">
        <f>NETWORKDAYS($J$123,F270,'Festivos Colombia'!$A$3:$A$22)</f>
        <v>10</v>
      </c>
      <c r="J270" s="7">
        <f>H270</f>
        <v>0</v>
      </c>
    </row>
    <row r="271" outlineLevel="1">
      <c r="D271" t="str">
        <v>Cesantías EOR</v>
      </c>
      <c r="E271" s="2">
        <v>709922123</v>
      </c>
      <c r="F271" s="1">
        <v>46066</v>
      </c>
      <c r="G271" t="str">
        <v>Cancelado</v>
      </c>
      <c r="H271">
        <f>IF(OR(G271="Sin pagar",G271="Pagar"),NETWORKDAYS($J$123,F271,'Festivos Colombia'!$A$3:$A$22),0)</f>
        <v>0</v>
      </c>
      <c r="I271">
        <f>NETWORKDAYS($J$123,F271,'Festivos Colombia'!$A$3:$A$22)</f>
        <v>10</v>
      </c>
      <c r="J271" s="7">
        <f>H271</f>
        <v>0</v>
      </c>
    </row>
    <row r="272" outlineLevel="1">
      <c r="D272" t="str">
        <v>Cesantías Diana Marcela Santra Cruz Ordoñez-Remofirst</v>
      </c>
      <c r="E272" s="2">
        <v>5781050</v>
      </c>
      <c r="F272" s="1">
        <v>46066</v>
      </c>
      <c r="G272" t="str">
        <v>Cancelado</v>
      </c>
      <c r="H272">
        <f>IF(OR(G272="Sin pagar",G272="Pagar"),NETWORKDAYS($J$123,F272,'Festivos Colombia'!$A$3:$A$22),0)</f>
        <v>0</v>
      </c>
      <c r="I272">
        <f>NETWORKDAYS($J$123,F272,'Festivos Colombia'!$A$3:$A$22)</f>
        <v>10</v>
      </c>
      <c r="J272" s="7">
        <f>H272</f>
        <v>0</v>
      </c>
    </row>
    <row r="273" outlineLevel="1">
      <c r="A273" t="str">
        <f>G273</f>
        <v>Cancelado</v>
      </c>
      <c r="B273">
        <f>IF(I273&lt;=-1,1,IF(I273&lt;=5,2,IF(I273&lt;=15,3,IF(H273&lt;=60,4))))</f>
        <v>3</v>
      </c>
      <c r="C273" t="str">
        <v>FPP449940</v>
      </c>
      <c r="D273" t="str">
        <v xml:space="preserve">People Pass reembolso de gastos cristian guapacha Root capital </v>
      </c>
      <c r="E273" s="2">
        <v>4572284</v>
      </c>
      <c r="F273" s="1">
        <v>46066</v>
      </c>
      <c r="G273" t="str">
        <v>Cancelado</v>
      </c>
      <c r="H273">
        <f>IF(OR(G273="Sin pagar",G273="Pagar"),NETWORKDAYS($J$123,F273,'Festivos Colombia'!$A$3:$A$22),0)</f>
        <v>0</v>
      </c>
      <c r="I273">
        <f>NETWORKDAYS($J$123,F273,'Festivos Colombia'!$A$3:$A$22)</f>
        <v>10</v>
      </c>
      <c r="J273" s="7">
        <f>H273</f>
        <v>0</v>
      </c>
    </row>
    <row r="274" outlineLevel="1">
      <c r="A274" t="str">
        <f>G274</f>
        <v>Cancelado</v>
      </c>
      <c r="B274">
        <f>IF(I274&lt;=-1,1,IF(I274&lt;=5,2,IF(I274&lt;=15,3,IF(H274&lt;=60,4))))</f>
        <v>4</v>
      </c>
      <c r="C274" t="str">
        <v>FPP452751</v>
      </c>
      <c r="D274" t="str">
        <v xml:space="preserve">People Pass tarjetas de gastos viaje AECID </v>
      </c>
      <c r="E274" s="2">
        <v>2055840</v>
      </c>
      <c r="F274" s="1">
        <v>46076</v>
      </c>
      <c r="G274" t="str">
        <v>Cancelado</v>
      </c>
      <c r="H274">
        <f>IF(OR(G274="Sin pagar",G274="Pagar"),NETWORKDAYS($J$123,F274,'Festivos Colombia'!$A$3:$A$22),0)</f>
        <v>0</v>
      </c>
      <c r="I274">
        <f>NETWORKDAYS($J$123,F274,'Festivos Colombia'!$A$3:$A$22)</f>
        <v>16</v>
      </c>
      <c r="J274" s="7">
        <f>H274</f>
        <v>0</v>
      </c>
    </row>
    <row r="275" outlineLevel="1">
      <c r="A275" t="str">
        <f>G275</f>
        <v>Cancelado</v>
      </c>
      <c r="B275">
        <f>IF(I275&lt;=-1,1,IF(I275&lt;=5,2,IF(I275&lt;=15,3,IF(H275&lt;=60,4))))</f>
        <v>4</v>
      </c>
      <c r="C275" s="2" t="str">
        <v>1 registro</v>
      </c>
      <c r="D275" t="str">
        <v>Anticipo Lorena García</v>
      </c>
      <c r="E275" s="2">
        <v>500000</v>
      </c>
      <c r="F275" s="1">
        <v>46077</v>
      </c>
      <c r="G275" t="str">
        <v>Cancelado</v>
      </c>
      <c r="H275">
        <f>IF(OR(G275="Sin pagar",G275="Pagar"),NETWORKDAYS($J$123,F275,'Festivos Colombia'!$A$3:$A$22),0)</f>
        <v>0</v>
      </c>
      <c r="I275">
        <f>NETWORKDAYS($J$123,F275,'Festivos Colombia'!$A$3:$A$22)</f>
        <v>17</v>
      </c>
      <c r="J275" s="7">
        <f>H275</f>
        <v>0</v>
      </c>
    </row>
    <row r="276" outlineLevel="1">
      <c r="A276" t="str">
        <f>G276</f>
        <v>Cancelado</v>
      </c>
      <c r="B276">
        <f>IF(I276&lt;=-1,1,IF(I276&lt;=5,2,IF(I276&lt;=15,3,IF(H276&lt;=60,4))))</f>
        <v>4</v>
      </c>
      <c r="C276" s="2" t="str">
        <v>58 registros</v>
      </c>
      <c r="D276" t="str">
        <v>Nomina S&amp;P</v>
      </c>
      <c r="E276" s="2">
        <v>196596244</v>
      </c>
      <c r="F276" s="1">
        <v>46080</v>
      </c>
      <c r="G276" t="str">
        <v>Cancelado</v>
      </c>
      <c r="H276">
        <f>IF(OR(G276="Sin pagar",G276="Pagar"),NETWORKDAYS($J$123,F276,'Festivos Colombia'!$A$3:$A$22),0)</f>
        <v>0</v>
      </c>
      <c r="I276">
        <f>NETWORKDAYS($J$123,F276,'Festivos Colombia'!$A$3:$A$22)</f>
        <v>20</v>
      </c>
      <c r="J276" s="7">
        <f>H276</f>
        <v>0</v>
      </c>
    </row>
    <row r="277" outlineLevel="1">
      <c r="D277" t="str">
        <v>Nómina  ACTION AD</v>
      </c>
      <c r="E277" s="2">
        <v>3662400</v>
      </c>
      <c r="F277" s="1">
        <v>46080</v>
      </c>
      <c r="G277" t="str">
        <v>Cancelado</v>
      </c>
      <c r="H277">
        <f>IF(OR(G277="Sin pagar",G277="Pagar"),NETWORKDAYS($J$123,F277,'Festivos Colombia'!$A$3:$A$22),0)</f>
        <v>0</v>
      </c>
      <c r="I277">
        <f>NETWORKDAYS($J$123,F277,'Festivos Colombia'!$A$3:$A$22)</f>
        <v>20</v>
      </c>
      <c r="J277" s="7">
        <f>H277</f>
        <v>0</v>
      </c>
    </row>
    <row r="278" outlineLevel="1">
      <c r="D278" t="str">
        <v>Nómina  BUBBLE BPM INC</v>
      </c>
      <c r="E278" s="2">
        <v>3125295</v>
      </c>
      <c r="F278" s="1">
        <v>46080</v>
      </c>
      <c r="G278" t="str">
        <v>Cancelado</v>
      </c>
      <c r="H278">
        <f>IF(OR(G278="Sin pagar",G278="Pagar"),NETWORKDAYS($J$123,F278,'Festivos Colombia'!$A$3:$A$22),0)</f>
        <v>0</v>
      </c>
      <c r="I278">
        <f>NETWORKDAYS($J$123,F278,'Festivos Colombia'!$A$3:$A$22)</f>
        <v>20</v>
      </c>
      <c r="J278" s="7">
        <f>H278</f>
        <v>0</v>
      </c>
    </row>
    <row r="279" outlineLevel="1">
      <c r="D279" t="str">
        <v>Nómina  EDRINGTON</v>
      </c>
      <c r="E279" s="2">
        <v>19151707</v>
      </c>
      <c r="F279" s="1">
        <v>46080</v>
      </c>
      <c r="G279" t="str">
        <v>Cancelado</v>
      </c>
      <c r="H279">
        <f>IF(OR(G279="Sin pagar",G279="Pagar"),NETWORKDAYS($J$123,F279,'Festivos Colombia'!$A$3:$A$22),0)</f>
        <v>0</v>
      </c>
      <c r="I279">
        <f>NETWORKDAYS($J$123,F279,'Festivos Colombia'!$A$3:$A$22)</f>
        <v>20</v>
      </c>
      <c r="J279" s="7">
        <f>H279</f>
        <v>0</v>
      </c>
    </row>
    <row r="280" outlineLevel="1">
      <c r="D280" t="str">
        <v>Nómina  EPDM</v>
      </c>
      <c r="E280" s="2">
        <v>6424920</v>
      </c>
      <c r="F280" s="1">
        <v>46080</v>
      </c>
      <c r="G280" t="str">
        <v>Cancelado</v>
      </c>
      <c r="H280">
        <f>IF(OR(G280="Sin pagar",G280="Pagar"),NETWORKDAYS($J$123,F280,'Festivos Colombia'!$A$3:$A$22),0)</f>
        <v>0</v>
      </c>
      <c r="I280">
        <f>NETWORKDAYS($J$123,F280,'Festivos Colombia'!$A$3:$A$22)</f>
        <v>20</v>
      </c>
      <c r="J280" s="7">
        <f>H280</f>
        <v>0</v>
      </c>
    </row>
    <row r="281" outlineLevel="1">
      <c r="D281" t="str">
        <v>Nómina  EUROPORTAGE</v>
      </c>
      <c r="E281" s="2">
        <v>31643846</v>
      </c>
      <c r="F281" s="1">
        <v>46080</v>
      </c>
      <c r="G281" t="str">
        <v>Cancelado</v>
      </c>
      <c r="H281">
        <f>IF(OR(G281="Sin pagar",G281="Pagar"),NETWORKDAYS($J$123,F281,'Festivos Colombia'!$A$3:$A$22),0)</f>
        <v>0</v>
      </c>
      <c r="I281">
        <f>NETWORKDAYS($J$123,F281,'Festivos Colombia'!$A$3:$A$22)</f>
        <v>20</v>
      </c>
      <c r="J281" s="7">
        <f>H281</f>
        <v>0</v>
      </c>
    </row>
    <row r="282" outlineLevel="1">
      <c r="D282" t="str">
        <v>Nómina  FLEXCO</v>
      </c>
      <c r="E282" s="2">
        <v>6939751</v>
      </c>
      <c r="F282" s="1">
        <v>46080</v>
      </c>
      <c r="G282" t="str">
        <v>Cancelado</v>
      </c>
      <c r="H282">
        <f>IF(OR(G282="Sin pagar",G282="Pagar"),NETWORKDAYS($J$123,F282,'Festivos Colombia'!$A$3:$A$22),0)</f>
        <v>0</v>
      </c>
      <c r="I282">
        <f>NETWORKDAYS($J$123,F282,'Festivos Colombia'!$A$3:$A$22)</f>
        <v>20</v>
      </c>
      <c r="J282" s="7">
        <f>H282</f>
        <v>0</v>
      </c>
    </row>
    <row r="283" outlineLevel="1">
      <c r="D283" t="str">
        <v>Nómina  GLOBAL EXPANSION</v>
      </c>
      <c r="E283" s="2">
        <v>3840000</v>
      </c>
      <c r="F283" s="1">
        <v>46080</v>
      </c>
      <c r="G283" t="str">
        <v>Cancelado</v>
      </c>
      <c r="H283">
        <f>IF(OR(G283="Sin pagar",G283="Pagar"),NETWORKDAYS($J$123,F283,'Festivos Colombia'!$A$3:$A$22),0)</f>
        <v>0</v>
      </c>
      <c r="I283">
        <f>NETWORKDAYS($J$123,F283,'Festivos Colombia'!$A$3:$A$22)</f>
        <v>20</v>
      </c>
      <c r="J283" s="7">
        <f>H283</f>
        <v>0</v>
      </c>
    </row>
    <row r="284" outlineLevel="1">
      <c r="D284" t="str">
        <v>Nómina  HEMMERSBACH</v>
      </c>
      <c r="E284" s="2">
        <v>10023248</v>
      </c>
      <c r="F284" s="1">
        <v>46080</v>
      </c>
      <c r="G284" t="str">
        <v>Cancelado</v>
      </c>
      <c r="H284">
        <f>IF(OR(G284="Sin pagar",G284="Pagar"),NETWORKDAYS($J$123,F284,'Festivos Colombia'!$A$3:$A$22),0)</f>
        <v>0</v>
      </c>
      <c r="I284">
        <f>NETWORKDAYS($J$123,F284,'Festivos Colombia'!$A$3:$A$22)</f>
        <v>20</v>
      </c>
      <c r="J284" s="7">
        <f>H284</f>
        <v>0</v>
      </c>
    </row>
    <row r="285" outlineLevel="1">
      <c r="D285" t="str">
        <v>Nómina  INSIDER</v>
      </c>
      <c r="E285" s="2">
        <v>425237656</v>
      </c>
      <c r="F285" s="1">
        <v>46080</v>
      </c>
      <c r="G285" t="str">
        <v>Cancelado</v>
      </c>
      <c r="H285">
        <f>IF(OR(G285="Sin pagar",G285="Pagar"),NETWORKDAYS($J$123,F285,'Festivos Colombia'!$A$3:$A$22),0)</f>
        <v>0</v>
      </c>
      <c r="I285">
        <f>NETWORKDAYS($J$123,F285,'Festivos Colombia'!$A$3:$A$22)</f>
        <v>20</v>
      </c>
      <c r="J285" s="7">
        <f>H285</f>
        <v>0</v>
      </c>
    </row>
    <row r="286" outlineLevel="1">
      <c r="D286" t="str">
        <v>Nómina  MKD</v>
      </c>
      <c r="E286" s="2">
        <v>2842696</v>
      </c>
      <c r="F286" s="1">
        <v>46080</v>
      </c>
      <c r="G286" t="str">
        <v>Cancelado</v>
      </c>
      <c r="H286">
        <f>IF(OR(G286="Sin pagar",G286="Pagar"),NETWORKDAYS($J$123,F286,'Festivos Colombia'!$A$3:$A$22),0)</f>
        <v>0</v>
      </c>
      <c r="I286">
        <f>NETWORKDAYS($J$123,F286,'Festivos Colombia'!$A$3:$A$22)</f>
        <v>20</v>
      </c>
      <c r="J286" s="7">
        <f>H286</f>
        <v>0</v>
      </c>
    </row>
    <row r="287" outlineLevel="1">
      <c r="D287" t="str">
        <v>Nómina  NEO</v>
      </c>
      <c r="E287" s="2">
        <v>47661695</v>
      </c>
      <c r="F287" s="1">
        <v>46080</v>
      </c>
      <c r="G287" t="str">
        <v>Cancelado</v>
      </c>
      <c r="H287">
        <f>IF(OR(G287="Sin pagar",G287="Pagar"),NETWORKDAYS($J$123,F287,'Festivos Colombia'!$A$3:$A$22),0)</f>
        <v>0</v>
      </c>
      <c r="I287">
        <f>NETWORKDAYS($J$123,F287,'Festivos Colombia'!$A$3:$A$22)</f>
        <v>20</v>
      </c>
      <c r="J287" s="7">
        <f>H287</f>
        <v>0</v>
      </c>
    </row>
    <row r="288" outlineLevel="1">
      <c r="D288" t="str">
        <v>Nómina  NZD</v>
      </c>
      <c r="E288" s="2">
        <v>28736036</v>
      </c>
      <c r="F288" s="1">
        <v>46080</v>
      </c>
      <c r="G288" t="str">
        <v>Cancelado</v>
      </c>
      <c r="H288">
        <f>IF(OR(G288="Sin pagar",G288="Pagar"),NETWORKDAYS($J$123,F288,'Festivos Colombia'!$A$3:$A$22),0)</f>
        <v>0</v>
      </c>
      <c r="I288">
        <f>NETWORKDAYS($J$123,F288,'Festivos Colombia'!$A$3:$A$22)</f>
        <v>20</v>
      </c>
      <c r="J288" s="7">
        <f>H288</f>
        <v>0</v>
      </c>
    </row>
    <row r="289" outlineLevel="1">
      <c r="D289" t="str">
        <v>Nómina  ONCEHUB</v>
      </c>
      <c r="E289" s="2">
        <v>9259167</v>
      </c>
      <c r="F289" s="1">
        <v>46080</v>
      </c>
      <c r="G289" t="str">
        <v>Cancelado</v>
      </c>
      <c r="H289">
        <f>IF(OR(G289="Sin pagar",G289="Pagar"),NETWORKDAYS($J$123,F289,'Festivos Colombia'!$A$3:$A$22),0)</f>
        <v>0</v>
      </c>
      <c r="I289">
        <f>NETWORKDAYS($J$123,F289,'Festivos Colombia'!$A$3:$A$22)</f>
        <v>20</v>
      </c>
      <c r="J289" s="7">
        <f>H289</f>
        <v>0</v>
      </c>
    </row>
    <row r="290" outlineLevel="1">
      <c r="D290" t="str">
        <v>Nómina  POC PHARMA</v>
      </c>
      <c r="E290" s="2">
        <v>5892637</v>
      </c>
      <c r="F290" s="1">
        <v>46080</v>
      </c>
      <c r="G290" t="str">
        <v>Cancelado</v>
      </c>
      <c r="H290">
        <f>IF(OR(G290="Sin pagar",G290="Pagar"),NETWORKDAYS($J$123,F290,'Festivos Colombia'!$A$3:$A$22),0)</f>
        <v>0</v>
      </c>
      <c r="I290">
        <f>NETWORKDAYS($J$123,F290,'Festivos Colombia'!$A$3:$A$22)</f>
        <v>20</v>
      </c>
      <c r="J290" s="7">
        <f>H290</f>
        <v>0</v>
      </c>
    </row>
    <row r="291" outlineLevel="1">
      <c r="D291" t="str">
        <v>Nómina  REMOFIRST</v>
      </c>
      <c r="E291" s="2">
        <v>720397379</v>
      </c>
      <c r="F291" s="1">
        <v>46080</v>
      </c>
      <c r="G291" t="str">
        <v>Cancelado</v>
      </c>
      <c r="H291">
        <f>IF(OR(G291="Sin pagar",G291="Pagar"),NETWORKDAYS($J$123,F291,'Festivos Colombia'!$A$3:$A$22),0)</f>
        <v>0</v>
      </c>
      <c r="I291">
        <f>NETWORKDAYS($J$123,F291,'Festivos Colombia'!$A$3:$A$22)</f>
        <v>20</v>
      </c>
      <c r="J291" s="7">
        <f>H291</f>
        <v>0</v>
      </c>
    </row>
    <row r="292" outlineLevel="1">
      <c r="D292" t="str">
        <v>Nómina  RIVERMATE</v>
      </c>
      <c r="E292" s="2">
        <v>44310885</v>
      </c>
      <c r="F292" s="1">
        <v>46080</v>
      </c>
      <c r="G292" t="str">
        <v>Cancelado</v>
      </c>
      <c r="H292">
        <f>IF(OR(G292="Sin pagar",G292="Pagar"),NETWORKDAYS($J$123,F292,'Festivos Colombia'!$A$3:$A$22),0)</f>
        <v>0</v>
      </c>
      <c r="I292">
        <f>NETWORKDAYS($J$123,F292,'Festivos Colombia'!$A$3:$A$22)</f>
        <v>20</v>
      </c>
      <c r="J292" s="7">
        <f>H292</f>
        <v>0</v>
      </c>
    </row>
    <row r="293" outlineLevel="1">
      <c r="D293" t="str">
        <v>Nómina  Root Capital</v>
      </c>
      <c r="E293" s="2">
        <v>13247564</v>
      </c>
      <c r="F293" s="1">
        <v>46080</v>
      </c>
      <c r="G293" t="str">
        <v>Cancelado</v>
      </c>
      <c r="H293">
        <f>IF(OR(G293="Sin pagar",G293="Pagar"),NETWORKDAYS($J$123,F293,'Festivos Colombia'!$A$3:$A$22),0)</f>
        <v>0</v>
      </c>
      <c r="I293">
        <f>NETWORKDAYS($J$123,F293,'Festivos Colombia'!$A$3:$A$22)</f>
        <v>20</v>
      </c>
      <c r="J293" s="7">
        <f>H293</f>
        <v>0</v>
      </c>
    </row>
    <row r="294" outlineLevel="1">
      <c r="D294" t="str">
        <v>Nómina  SIFFI</v>
      </c>
      <c r="E294" s="2">
        <v>5158133</v>
      </c>
      <c r="F294" s="1">
        <v>46080</v>
      </c>
      <c r="G294" t="str">
        <v>Cancelado</v>
      </c>
      <c r="H294">
        <f>IF(OR(G294="Sin pagar",G294="Pagar"),NETWORKDAYS($J$123,F294,'Festivos Colombia'!$A$3:$A$22),0)</f>
        <v>0</v>
      </c>
      <c r="I294">
        <f>NETWORKDAYS($J$123,F294,'Festivos Colombia'!$A$3:$A$22)</f>
        <v>20</v>
      </c>
      <c r="J294" s="7">
        <f>H294</f>
        <v>0</v>
      </c>
    </row>
    <row r="295" outlineLevel="1">
      <c r="D295" t="str">
        <v>Nómina  YONYOU</v>
      </c>
      <c r="E295" s="2">
        <v>27362189</v>
      </c>
      <c r="F295" s="1">
        <v>46080</v>
      </c>
      <c r="G295" t="str">
        <v>Cancelado</v>
      </c>
      <c r="H295">
        <f>IF(OR(G295="Sin pagar",G295="Pagar"),NETWORKDAYS($J$123,F295,'Festivos Colombia'!$A$3:$A$22),0)</f>
        <v>0</v>
      </c>
      <c r="I295">
        <f>NETWORKDAYS($J$123,F295,'Festivos Colombia'!$A$3:$A$22)</f>
        <v>20</v>
      </c>
      <c r="J295" s="7">
        <f>H295</f>
        <v>0</v>
      </c>
    </row>
    <row r="296" ht="14.25" customHeight="1" outlineLevel="1">
      <c r="A296" t="str">
        <f>G296</f>
        <v>Cancelado</v>
      </c>
      <c r="B296">
        <f>IF(I296&lt;=-1,1,IF(I296&lt;=5,2,IF(I296&lt;=15,3,IF(H296&lt;=60,4))))</f>
        <v>4</v>
      </c>
      <c r="C296" s="2" t="str">
        <v>1 registro</v>
      </c>
      <c r="D296" t="str">
        <v xml:space="preserve">Embargo Fabian Morales- Banco Agrario </v>
      </c>
      <c r="E296" s="2">
        <v>1111938</v>
      </c>
      <c r="F296" s="1">
        <v>46079</v>
      </c>
      <c r="G296" t="str">
        <v>Cancelado</v>
      </c>
      <c r="H296">
        <f>IF(OR(G296="Sin pagar",G296="Pagar"),NETWORKDAYS($J$123,F296,'Festivos Colombia'!$A$3:$A$22),0)</f>
        <v>0</v>
      </c>
      <c r="I296">
        <f>NETWORKDAYS($J$123,F296,'Festivos Colombia'!$A$3:$A$22)</f>
        <v>19</v>
      </c>
      <c r="J296" s="7">
        <f>H296</f>
        <v>0</v>
      </c>
    </row>
    <row r="297" outlineLevel="1">
      <c r="A297" t="str">
        <f>G297</f>
        <v>Cancelado</v>
      </c>
      <c r="B297">
        <f>IF(I297&lt;=-1,1,IF(I297&lt;=5,2,IF(I297&lt;=15,3,IF(H297&lt;=60,4))))</f>
        <v>4</v>
      </c>
      <c r="C297" t="str">
        <v xml:space="preserve">FPP453936 </v>
      </c>
      <c r="D297" t="str">
        <v xml:space="preserve">People Pass </v>
      </c>
      <c r="E297" s="2">
        <v>13761013</v>
      </c>
      <c r="F297" s="1">
        <v>46079</v>
      </c>
      <c r="G297" t="str">
        <v>Cancelado</v>
      </c>
      <c r="H297">
        <f>IF(OR(G297="Sin pagar",G297="Pagar"),NETWORKDAYS($J$123,F297,'Festivos Colombia'!$A$3:$A$22),0)</f>
        <v>0</v>
      </c>
      <c r="I297">
        <f>NETWORKDAYS($J$123,F297,'Festivos Colombia'!$A$3:$A$22)</f>
        <v>19</v>
      </c>
      <c r="J297" s="7">
        <f>H297</f>
        <v>0</v>
      </c>
    </row>
    <row r="298" ht="15.75" customHeight="1" outlineLevel="1">
      <c r="A298" t="str">
        <f>G298</f>
        <v>Cancelado</v>
      </c>
      <c r="B298">
        <f>IF(I298&lt;=-1,1,IF(I298&lt;=5,2,IF(I298&lt;=15,3,IF(H298&lt;=60,4))))</f>
        <v>4</v>
      </c>
      <c r="D298" t="str">
        <v>Bonificación Sara Cardona Rios</v>
      </c>
      <c r="E298" s="2">
        <v>2488705</v>
      </c>
      <c r="F298" s="1">
        <v>46084</v>
      </c>
      <c r="G298" t="str">
        <v>Cancelado</v>
      </c>
      <c r="H298">
        <f>IF(OR(G298="Sin pagar",G298="Pagar"),NETWORKDAYS($J$123,F298,'Festivos Colombia'!$A$3:$A$22),0)</f>
        <v>0</v>
      </c>
      <c r="I298">
        <f>NETWORKDAYS($J$123,F298,'Festivos Colombia'!$A$3:$A$22)</f>
        <v>22</v>
      </c>
      <c r="J298" s="7">
        <f>H298</f>
        <v>0</v>
      </c>
    </row>
    <row r="299" ht="16.5" customHeight="1">
      <c r="D299" t="str">
        <v xml:space="preserve">LIQUIDACIONES </v>
      </c>
      <c r="E299" s="2">
        <f>SUBTOTAL(9,E300:E306)</f>
        <v>24285307</v>
      </c>
    </row>
    <row r="300" outlineLevel="1">
      <c r="A300" t="e">
        <f>#REF!</f>
        <v>#REF!</v>
      </c>
      <c r="B300">
        <f>IF(I300&lt;=-1,1,IF(I300&lt;=5,2,IF(I300&lt;=15,3,IF(H300&lt;=60,4))))</f>
        <v>3</v>
      </c>
      <c r="D300" t="str">
        <v>Liquidación</v>
      </c>
      <c r="E300" s="2">
        <v>89120</v>
      </c>
      <c r="F300" s="1">
        <v>46063</v>
      </c>
      <c r="G300" t="str">
        <v>Cancelado</v>
      </c>
      <c r="H300">
        <f>IF(OR(G300="Sin pagar",G300="Pagar"),NETWORKDAYS($J$123,F300,'Festivos Colombia'!$A$3:$A$22),0)</f>
        <v>0</v>
      </c>
      <c r="I300">
        <f>NETWORKDAYS($J$123,F300,'Festivos Colombia'!$A$3:$A$22)</f>
        <v>7</v>
      </c>
      <c r="J300" s="7">
        <f>H300</f>
        <v>0</v>
      </c>
    </row>
    <row r="301" outlineLevel="1">
      <c r="A301" t="e">
        <f>#REF!</f>
        <v>#REF!</v>
      </c>
      <c r="B301">
        <f>IF(I301&lt;=-1,1,IF(I301&lt;=5,2,IF(I301&lt;=15,3,IF(H301&lt;=60,4))))</f>
        <v>3</v>
      </c>
      <c r="D301" t="str">
        <v>Liquidaciones Ana María Camacho Gómez</v>
      </c>
      <c r="E301" s="2">
        <v>4967450</v>
      </c>
      <c r="F301" s="1">
        <v>46072</v>
      </c>
      <c r="G301" t="str">
        <v>Cancelado</v>
      </c>
      <c r="H301">
        <f>IF(OR(G301="Sin pagar",G301="Pagar"),NETWORKDAYS($J$123,F301,'Festivos Colombia'!$A$3:$A$22),0)</f>
        <v>0</v>
      </c>
      <c r="I301">
        <f>NETWORKDAYS($J$123,F301,'Festivos Colombia'!$A$3:$A$22)</f>
        <v>14</v>
      </c>
      <c r="J301" s="7">
        <f>H301</f>
        <v>0</v>
      </c>
    </row>
    <row r="302" outlineLevel="1">
      <c r="A302" t="e">
        <f>#REF!</f>
        <v>#REF!</v>
      </c>
      <c r="B302">
        <f>IF(I302&lt;=-1,1,IF(I302&lt;=5,2,IF(I302&lt;=15,3,IF(H302&lt;=60,4))))</f>
        <v>4</v>
      </c>
      <c r="D302" t="str">
        <v>Liquidaciones Maria Carolina Ruzi Villamil-Insider</v>
      </c>
      <c r="E302" s="2">
        <v>7699445</v>
      </c>
      <c r="F302" s="1">
        <v>46080</v>
      </c>
      <c r="G302" t="str">
        <v>Cancelado</v>
      </c>
      <c r="H302">
        <f>IF(OR(G302="Sin pagar",G302="Pagar"),NETWORKDAYS($J$123,F302,'Festivos Colombia'!$A$3:$A$22),0)</f>
        <v>0</v>
      </c>
      <c r="I302">
        <f>NETWORKDAYS($J$123,F302,'Festivos Colombia'!$A$3:$A$22)</f>
        <v>20</v>
      </c>
      <c r="J302" s="7">
        <f>H302</f>
        <v>0</v>
      </c>
    </row>
    <row r="303" outlineLevel="1">
      <c r="A303" t="e">
        <f>#REF!</f>
        <v>#REF!</v>
      </c>
      <c r="B303">
        <f>IF(I303&lt;=-1,1,IF(I303&lt;=5,2,IF(I303&lt;=15,3,IF(H303&lt;=60,4))))</f>
        <v>4</v>
      </c>
      <c r="D303" t="str">
        <v>Liquidaciones Susana Cano Alvarez Remofirst</v>
      </c>
      <c r="E303" s="2">
        <v>678147</v>
      </c>
      <c r="F303" s="1">
        <v>46084</v>
      </c>
      <c r="G303" t="str">
        <v>Cancelado</v>
      </c>
      <c r="H303">
        <f>IF(OR(G303="Sin pagar",G303="Pagar"),NETWORKDAYS($J$123,F303,'Festivos Colombia'!$A$3:$A$22),0)</f>
        <v>0</v>
      </c>
      <c r="I303">
        <f>NETWORKDAYS($J$123,F303,'Festivos Colombia'!$A$3:$A$22)</f>
        <v>22</v>
      </c>
      <c r="J303" s="7">
        <f>H303</f>
        <v>0</v>
      </c>
    </row>
    <row r="304" outlineLevel="1">
      <c r="A304" t="e">
        <f>#REF!</f>
        <v>#REF!</v>
      </c>
      <c r="B304">
        <f>IF(I304&lt;=-1,1,IF(I304&lt;=5,2,IF(I304&lt;=15,3,IF(H304&lt;=60,4))))</f>
        <v>4</v>
      </c>
      <c r="D304" t="str">
        <v>Liquidaciones Juan Jose Cano Solorzano Remofirst</v>
      </c>
      <c r="E304" s="2">
        <v>305230</v>
      </c>
      <c r="F304" s="1">
        <v>46084</v>
      </c>
      <c r="G304" t="str">
        <v>Cancelado</v>
      </c>
      <c r="H304">
        <f>IF(OR(G304="Sin pagar",G304="Pagar"),NETWORKDAYS($J$123,F304,'Festivos Colombia'!$A$3:$A$22),0)</f>
        <v>0</v>
      </c>
      <c r="I304">
        <f>NETWORKDAYS($J$123,F304,'Festivos Colombia'!$A$3:$A$22)</f>
        <v>22</v>
      </c>
      <c r="J304" s="7">
        <f>H304</f>
        <v>0</v>
      </c>
    </row>
    <row r="305" outlineLevel="1">
      <c r="A305" t="e">
        <f>#REF!</f>
        <v>#REF!</v>
      </c>
      <c r="B305">
        <f>IF(I305&lt;=-1,1,IF(I305&lt;=5,2,IF(I305&lt;=15,3,IF(H305&lt;=60,4))))</f>
        <v>4</v>
      </c>
      <c r="D305" t="str">
        <v>Liquidaciones Jesus Yanes Espitia Remofirst</v>
      </c>
      <c r="E305" s="2">
        <v>204151</v>
      </c>
      <c r="F305" s="1">
        <v>46084</v>
      </c>
      <c r="G305" t="str">
        <v>Cancelado</v>
      </c>
      <c r="H305">
        <f>IF(OR(G305="Sin pagar",G305="Pagar"),NETWORKDAYS($J$123,F305,'Festivos Colombia'!$A$3:$A$22),0)</f>
        <v>0</v>
      </c>
      <c r="I305">
        <f>NETWORKDAYS($J$123,F305,'Festivos Colombia'!$A$3:$A$22)</f>
        <v>22</v>
      </c>
      <c r="J305" s="7">
        <f>H305</f>
        <v>0</v>
      </c>
    </row>
    <row r="306" ht="15.75" customHeight="1" outlineLevel="1">
      <c r="A306" t="e">
        <f>#REF!</f>
        <v>#REF!</v>
      </c>
      <c r="B306">
        <f>IF(I306&lt;=-1,1,IF(I306&lt;=5,2,IF(I306&lt;=15,3,IF(H306&lt;=60,4))))</f>
        <v>4</v>
      </c>
      <c r="D306" t="str">
        <v>Liquidaciones Diana Marcela Santa Cruz Ordoñez Remofirst</v>
      </c>
      <c r="E306" s="2">
        <v>10341764</v>
      </c>
      <c r="F306" s="1">
        <v>46084</v>
      </c>
      <c r="G306" t="str">
        <v>Cancelado</v>
      </c>
      <c r="H306">
        <f>IF(OR(G306="Sin pagar",G306="Pagar"),NETWORKDAYS($J$123,F306,'Festivos Colombia'!$A$3:$A$22),0)</f>
        <v>0</v>
      </c>
      <c r="I306">
        <f>NETWORKDAYS($J$123,F306,'Festivos Colombia'!$A$3:$A$22)</f>
        <v>22</v>
      </c>
      <c r="J306" s="7">
        <f>H306</f>
        <v>0</v>
      </c>
    </row>
    <row r="307" ht="16.5" customHeight="1">
      <c r="D307" t="str">
        <v>IMPREVISTO</v>
      </c>
      <c r="E307" s="2">
        <f>SUBTOTAL(9,E308:E327)</f>
        <v>74044145.37</v>
      </c>
    </row>
    <row r="308" ht="15" customHeight="1" outlineLevel="1">
      <c r="A308" t="str">
        <f>G308</f>
        <v>Cancelado</v>
      </c>
      <c r="B308">
        <f>IF(I308&lt;=-1,1,IF(I308&lt;=5,2,IF(I308&lt;=15,3,IF(H308&lt;=60,4))))</f>
        <v>2</v>
      </c>
      <c r="C308" s="4" t="str">
        <v>9830901</v>
      </c>
      <c r="D308" t="str">
        <v>Solicitud camara y comercio de S&amp;P</v>
      </c>
      <c r="E308" s="2">
        <v>12100</v>
      </c>
      <c r="F308" s="1">
        <v>46058</v>
      </c>
      <c r="G308" t="str">
        <v>Cancelado</v>
      </c>
      <c r="H308">
        <f>IF(OR(G308="Sin pagar",G308="Pagar"),NETWORKDAYS($J$123,F308,'Festivos Colombia'!$A$3:$A$22),0)</f>
        <v>0</v>
      </c>
      <c r="I308">
        <f>NETWORKDAYS($J$123,F308,'Festivos Colombia'!$A$3:$A$22)</f>
        <v>4</v>
      </c>
      <c r="J308" s="7">
        <f>H308</f>
        <v>0</v>
      </c>
    </row>
    <row r="309" ht="15" customHeight="1" outlineLevel="1">
      <c r="A309" t="str">
        <f>G309</f>
        <v>Cancelado</v>
      </c>
      <c r="B309">
        <f>IF(I309&lt;=-1,1,IF(I309&lt;=5,2,IF(I309&lt;=15,3,IF(H309&lt;=60,4))))</f>
        <v>3</v>
      </c>
      <c r="C309" s="4" t="str">
        <v>X2602555320</v>
      </c>
      <c r="D309" t="str">
        <v xml:space="preserve">Compra de celular Dayanna Mejia </v>
      </c>
      <c r="E309" s="2">
        <v>799000</v>
      </c>
      <c r="F309" s="1">
        <v>46062</v>
      </c>
      <c r="G309" t="str">
        <v>Cancelado</v>
      </c>
      <c r="H309">
        <f>IF(OR(G309="Sin pagar",G309="Pagar"),NETWORKDAYS($J$123,F309,'Festivos Colombia'!$A$3:$A$22),0)</f>
        <v>0</v>
      </c>
      <c r="I309">
        <f>NETWORKDAYS($J$123,F309,'Festivos Colombia'!$A$3:$A$22)</f>
        <v>6</v>
      </c>
      <c r="J309" s="7">
        <f>H309</f>
        <v>0</v>
      </c>
    </row>
    <row r="310" ht="15" customHeight="1" outlineLevel="1">
      <c r="A310" t="str">
        <f>G310</f>
        <v>Cancelado</v>
      </c>
      <c r="B310">
        <f>IF(I310&lt;=-1,1,IF(I310&lt;=5,2,IF(I310&lt;=15,3,IF(H310&lt;=60,4))))</f>
        <v>3</v>
      </c>
      <c r="C310" s="4" t="str">
        <v>X2602555320</v>
      </c>
      <c r="D310" t="str">
        <v xml:space="preserve">Compra de tarjetas de presentación Dayanna Mejia </v>
      </c>
      <c r="E310" s="2">
        <v>141191</v>
      </c>
      <c r="F310" s="1">
        <v>46064</v>
      </c>
      <c r="G310" t="str">
        <v>Cancelado</v>
      </c>
      <c r="H310">
        <f>IF(OR(G310="Sin pagar",G310="Pagar"),NETWORKDAYS($J$123,F310,'Festivos Colombia'!$A$3:$A$22),0)</f>
        <v>0</v>
      </c>
      <c r="I310">
        <f>NETWORKDAYS($J$123,F310,'Festivos Colombia'!$A$3:$A$22)</f>
        <v>8</v>
      </c>
      <c r="J310" s="7">
        <f>H310</f>
        <v>0</v>
      </c>
    </row>
    <row r="311" ht="14.25" customHeight="1" outlineLevel="1">
      <c r="A311" t="str">
        <f>G311</f>
        <v>Cancelado</v>
      </c>
      <c r="B311">
        <f>IF(I311&lt;=-1,1,IF(I311&lt;=5,2,IF(I311&lt;=15,3,IF(H311&lt;=60,4))))</f>
        <v>3</v>
      </c>
      <c r="C311" s="4" t="str">
        <v>FPP450811</v>
      </c>
      <c r="D311" t="str">
        <v>Tarjeta alimentación Sandra Jimenez Jaramillo</v>
      </c>
      <c r="E311" s="2">
        <v>11781</v>
      </c>
      <c r="F311" s="1">
        <v>46070</v>
      </c>
      <c r="G311" t="str">
        <v>Cancelado</v>
      </c>
      <c r="H311">
        <f>IF(OR(G311="Sin pagar",G311="Pagar"),NETWORKDAYS($J$123,F311,'Festivos Colombia'!$A$3:$A$22),0)</f>
        <v>0</v>
      </c>
      <c r="I311">
        <f>NETWORKDAYS($J$123,F311,'Festivos Colombia'!$A$3:$A$22)</f>
        <v>12</v>
      </c>
      <c r="J311" s="7">
        <f>H311</f>
        <v>0</v>
      </c>
    </row>
    <row r="312" ht="14.25" customHeight="1" outlineLevel="1">
      <c r="A312" t="str">
        <f>G312</f>
        <v>Cancelado</v>
      </c>
      <c r="B312">
        <f>IF(I312&lt;=-1,1,IF(I312&lt;=5,2,IF(I312&lt;=15,3,IF(H312&lt;=60,4))))</f>
        <v>3</v>
      </c>
      <c r="C312" s="4" t="str">
        <v>S/N</v>
      </c>
      <c r="D312" t="str">
        <v>Tiquete Nathalie Vaquiro</v>
      </c>
      <c r="E312" s="2">
        <v>530860</v>
      </c>
      <c r="F312" s="1">
        <v>46070</v>
      </c>
      <c r="G312" t="str">
        <v>Cancelado</v>
      </c>
      <c r="H312">
        <f>IF(OR(G312="Sin pagar",G312="Pagar"),NETWORKDAYS($J$123,F312,'Festivos Colombia'!$A$3:$A$22),0)</f>
        <v>0</v>
      </c>
      <c r="I312">
        <f>NETWORKDAYS($J$123,F312,'Festivos Colombia'!$A$3:$A$22)</f>
        <v>12</v>
      </c>
      <c r="J312" s="7">
        <f>H312</f>
        <v>0</v>
      </c>
    </row>
    <row r="313" ht="14.25" customHeight="1" outlineLevel="1">
      <c r="A313" t="str">
        <f>G313</f>
        <v>Cancelado</v>
      </c>
      <c r="B313">
        <f>IF(I313&lt;=-1,1,IF(I313&lt;=5,2,IF(I313&lt;=15,3,IF(H313&lt;=60,4))))</f>
        <v>3</v>
      </c>
      <c r="C313" s="4" t="str">
        <v>FPP451614</v>
      </c>
      <c r="D313" t="str">
        <v>Emisión de tarjetas People Pass reembolso de gastos viaje AECID</v>
      </c>
      <c r="E313" s="2">
        <v>23562</v>
      </c>
      <c r="F313" s="1">
        <v>46072</v>
      </c>
      <c r="G313" t="str">
        <v>Cancelado</v>
      </c>
      <c r="H313">
        <f>IF(OR(G313="Sin pagar",G313="Pagar"),NETWORKDAYS($J$123,F313,'Festivos Colombia'!$A$3:$A$22),0)</f>
        <v>0</v>
      </c>
      <c r="I313">
        <f>NETWORKDAYS($J$123,F313,'Festivos Colombia'!$A$3:$A$22)</f>
        <v>14</v>
      </c>
      <c r="J313" s="7">
        <f>H313</f>
        <v>0</v>
      </c>
    </row>
    <row r="314" ht="14.25" customHeight="1" outlineLevel="1">
      <c r="A314" t="str">
        <f>G314</f>
        <v>Cancelado</v>
      </c>
      <c r="B314">
        <f>IF(I314&lt;=-1,1,IF(I314&lt;=5,2,IF(I314&lt;=15,3,IF(H314&lt;=60,4))))</f>
        <v>3</v>
      </c>
      <c r="C314" s="4" t="str">
        <v>S/N</v>
      </c>
      <c r="D314" t="str">
        <v>Compra de computador gerente comercial</v>
      </c>
      <c r="E314" s="2">
        <v>4899901</v>
      </c>
      <c r="F314" s="1">
        <v>46072</v>
      </c>
      <c r="G314" t="str">
        <v>Cancelado</v>
      </c>
      <c r="H314">
        <f>IF(OR(G314="Sin pagar",G314="Pagar"),NETWORKDAYS($J$123,F314,'Festivos Colombia'!$A$3:$A$22),0)</f>
        <v>0</v>
      </c>
      <c r="I314">
        <f>NETWORKDAYS($J$123,F314,'Festivos Colombia'!$A$3:$A$22)</f>
        <v>14</v>
      </c>
      <c r="J314" s="7">
        <f>H314</f>
        <v>0</v>
      </c>
    </row>
    <row r="315" ht="14.25" customHeight="1" outlineLevel="1">
      <c r="A315" t="str">
        <f>G315</f>
        <v>Cancelado</v>
      </c>
      <c r="B315">
        <f>IF(I315&lt;=-1,1,IF(I315&lt;=5,2,IF(I315&lt;=15,3,IF(H315&lt;=60,4))))</f>
        <v>3</v>
      </c>
      <c r="C315" s="4" t="str">
        <v>S/N</v>
      </c>
      <c r="D315" t="str">
        <v>Tiquete Ana Guetierrez</v>
      </c>
      <c r="E315" s="2">
        <v>525570</v>
      </c>
      <c r="F315" s="1">
        <v>46072</v>
      </c>
      <c r="G315" t="str">
        <v>Cancelado</v>
      </c>
      <c r="H315">
        <f>IF(OR(G315="Sin pagar",G315="Pagar"),NETWORKDAYS($J$123,F315,'Festivos Colombia'!$A$3:$A$22),0)</f>
        <v>0</v>
      </c>
      <c r="I315">
        <f>NETWORKDAYS($J$123,F315,'Festivos Colombia'!$A$3:$A$22)</f>
        <v>14</v>
      </c>
      <c r="J315" s="7">
        <f>H315</f>
        <v>0</v>
      </c>
    </row>
    <row r="316" ht="14.25" customHeight="1" outlineLevel="1">
      <c r="A316" t="str">
        <f>G316</f>
        <v>Cancelado</v>
      </c>
      <c r="B316">
        <f>IF(I316&lt;=-1,1,IF(I316&lt;=5,2,IF(I316&lt;=15,3,IF(H316&lt;=60,4))))</f>
        <v>3</v>
      </c>
      <c r="C316" s="4" t="str">
        <v>S15089</v>
      </c>
      <c r="D316" t="str">
        <v>Compra de Armario Papelero</v>
      </c>
      <c r="E316" s="2">
        <v>1319000</v>
      </c>
      <c r="F316" s="1">
        <v>46072</v>
      </c>
      <c r="G316" t="str">
        <v>Cancelado</v>
      </c>
      <c r="H316">
        <f>IF(OR(G316="Sin pagar",G316="Pagar"),NETWORKDAYS($J$123,F316,'Festivos Colombia'!$A$3:$A$22),0)</f>
        <v>0</v>
      </c>
      <c r="I316">
        <f>NETWORKDAYS($J$123,F316,'Festivos Colombia'!$A$3:$A$22)</f>
        <v>14</v>
      </c>
      <c r="J316" s="7">
        <f>H316</f>
        <v>0</v>
      </c>
    </row>
    <row r="317" ht="32.25" customHeight="1" outlineLevel="1">
      <c r="A317" t="str">
        <f>G317</f>
        <v>Cancelado</v>
      </c>
      <c r="B317">
        <f>IF(I317&lt;=-1,1,IF(I317&lt;=5,2,IF(I317&lt;=15,3,IF(H317&lt;=60,4))))</f>
        <v>3</v>
      </c>
      <c r="C317" s="4" t="str">
        <v>FPP452209</v>
      </c>
      <c r="D317" t="str">
        <v>Tarjeta alimentación Julieth Sofia Bonilla Y servicio de envios adicionales de tarjetas Nataly Peña, Ana Gutierrez y Daniela Hernandez</v>
      </c>
      <c r="E317" s="2">
        <v>24781</v>
      </c>
      <c r="F317" s="1">
        <v>46073</v>
      </c>
      <c r="G317" t="str">
        <v>Cancelado</v>
      </c>
      <c r="H317">
        <f>IF(OR(G317="Sin pagar",G317="Pagar"),NETWORKDAYS($J$123,F317,'Festivos Colombia'!$A$3:$A$22),0)</f>
        <v>0</v>
      </c>
      <c r="I317">
        <f>NETWORKDAYS($J$123,F317,'Festivos Colombia'!$A$3:$A$22)</f>
        <v>15</v>
      </c>
      <c r="J317" s="7">
        <f>H317</f>
        <v>0</v>
      </c>
    </row>
    <row r="318" ht="16.5" customHeight="1" outlineLevel="1">
      <c r="A318" t="str">
        <f>G318</f>
        <v>Cancelado</v>
      </c>
      <c r="B318">
        <f>IF(I318&lt;=-1,1,IF(I318&lt;=5,2,IF(I318&lt;=15,3,IF(H318&lt;=60,4))))</f>
        <v>3</v>
      </c>
      <c r="D318" t="str">
        <v>CMC - Pago de Planilla de corrección  Clarke Modet</v>
      </c>
      <c r="E318" s="2">
        <v>26900</v>
      </c>
      <c r="F318" s="1">
        <v>46073</v>
      </c>
      <c r="G318" t="str">
        <v>Cancelado</v>
      </c>
      <c r="H318">
        <f>IF(OR(G318="Sin pagar",G318="Pagar"),NETWORKDAYS($J$123,F318,'Festivos Colombia'!$A$3:$A$22),0)</f>
        <v>0</v>
      </c>
      <c r="I318">
        <f>NETWORKDAYS($J$123,F318,'Festivos Colombia'!$A$3:$A$22)</f>
        <v>15</v>
      </c>
      <c r="J318" s="7">
        <f>H318</f>
        <v>0</v>
      </c>
    </row>
    <row r="319" ht="14.25" customHeight="1" outlineLevel="1">
      <c r="A319" t="str">
        <f>G319</f>
        <v>Cancelado</v>
      </c>
      <c r="B319">
        <f>IF(I319&lt;=-1,1,IF(I319&lt;=5,2,IF(I319&lt;=15,3,IF(H319&lt;=60,4))))</f>
        <v>4</v>
      </c>
      <c r="C319" s="4" t="str">
        <v>S/N</v>
      </c>
      <c r="D319" t="str">
        <v>Evento previsto proximo viernes</v>
      </c>
      <c r="E319" s="2">
        <v>2596007</v>
      </c>
      <c r="F319" s="1">
        <v>46077</v>
      </c>
      <c r="G319" t="str">
        <v>Cancelado</v>
      </c>
      <c r="H319">
        <f>IF(OR(G319="Sin pagar",G319="Pagar"),NETWORKDAYS($J$123,F319,'Festivos Colombia'!$A$3:$A$22),0)</f>
        <v>0</v>
      </c>
      <c r="I319">
        <f>NETWORKDAYS($J$123,F319,'Festivos Colombia'!$A$3:$A$22)</f>
        <v>17</v>
      </c>
      <c r="J319" s="7">
        <f>H319</f>
        <v>0</v>
      </c>
    </row>
    <row r="320" ht="15" customHeight="1" outlineLevel="1">
      <c r="A320" t="str">
        <f>G320</f>
        <v>Cancelado</v>
      </c>
      <c r="B320">
        <f>IF(I320&lt;=-1,1,IF(I320&lt;=5,2,IF(I320&lt;=15,3,IF(H320&lt;=60,4))))</f>
        <v>4</v>
      </c>
      <c r="C320" s="4" t="str">
        <v>1659</v>
      </c>
      <c r="D320" t="str">
        <v>Evento Euro Kick Eduard Forero y Sharon Amaya</v>
      </c>
      <c r="E320" s="2">
        <v>400000</v>
      </c>
      <c r="F320" s="1">
        <v>46078</v>
      </c>
      <c r="G320" t="str">
        <v>Cancelado</v>
      </c>
      <c r="H320">
        <f>IF(OR(G320="Sin pagar",G320="Pagar"),NETWORKDAYS($J$123,F320,'Festivos Colombia'!$A$3:$A$22),0)</f>
        <v>0</v>
      </c>
      <c r="I320">
        <f>NETWORKDAYS($J$123,F320,'Festivos Colombia'!$A$3:$A$22)</f>
        <v>18</v>
      </c>
      <c r="J320" s="7">
        <f>H320</f>
        <v>0</v>
      </c>
    </row>
    <row r="321" ht="15" customHeight="1" outlineLevel="1">
      <c r="A321" t="str">
        <f>G321</f>
        <v>Cancelado</v>
      </c>
      <c r="B321">
        <f>IF(I321&lt;=-1,1,IF(I321&lt;=5,2,IF(I321&lt;=15,3,IF(H321&lt;=60,4))))</f>
        <v>4</v>
      </c>
      <c r="C321" s="4" t="str">
        <v>1659</v>
      </c>
      <c r="D321" t="str">
        <v>Compra celular Giovanna Guio</v>
      </c>
      <c r="E321" s="2">
        <v>499050</v>
      </c>
      <c r="F321" s="1">
        <v>46079</v>
      </c>
      <c r="G321" t="str">
        <v>Cancelado</v>
      </c>
      <c r="H321">
        <f>IF(OR(G321="Sin pagar",G321="Pagar"),NETWORKDAYS($J$123,F321,'Festivos Colombia'!$A$3:$A$22),0)</f>
        <v>0</v>
      </c>
      <c r="I321">
        <f>NETWORKDAYS($J$123,F321,'Festivos Colombia'!$A$3:$A$22)</f>
        <v>19</v>
      </c>
      <c r="J321" s="7">
        <f>H321</f>
        <v>0</v>
      </c>
    </row>
    <row r="322" ht="15" customHeight="1" outlineLevel="1">
      <c r="A322" t="str">
        <f>G322</f>
        <v>Cancelado</v>
      </c>
      <c r="B322">
        <f>IF(I322&lt;=-1,1,IF(I322&lt;=5,2,IF(I322&lt;=15,3,IF(H322&lt;=60,4))))</f>
        <v>4</v>
      </c>
      <c r="C322" s="4" t="str">
        <v>S/N</v>
      </c>
      <c r="D322" t="str">
        <v>Envio Western  fondos a Yadira pago SIPE enero Global Peo Services Panama 1-Préstamo</v>
      </c>
      <c r="E322" s="2">
        <v>16250000</v>
      </c>
      <c r="F322" s="1">
        <v>46079</v>
      </c>
      <c r="G322" t="str">
        <v>Cancelado</v>
      </c>
      <c r="H322">
        <f>IF(OR(G322="Sin pagar",G322="Pagar"),NETWORKDAYS($J$123,F322,'Festivos Colombia'!$A$3:$A$22),0)</f>
        <v>0</v>
      </c>
      <c r="I322">
        <f>NETWORKDAYS($J$123,F322,'Festivos Colombia'!$A$3:$A$22)</f>
        <v>19</v>
      </c>
      <c r="J322" s="7">
        <f>H322</f>
        <v>0</v>
      </c>
    </row>
    <row r="323" ht="15" customHeight="1" outlineLevel="1">
      <c r="A323" t="str">
        <f>G323</f>
        <v>Cancelado</v>
      </c>
      <c r="B323">
        <f>IF(I323&lt;=-1,1,IF(I323&lt;=5,2,IF(I323&lt;=15,3,IF(H323&lt;=60,4))))</f>
        <v>4</v>
      </c>
      <c r="C323" s="4" t="str">
        <v>S/N</v>
      </c>
      <c r="D323" t="str">
        <v>Envio Western  fondos a Yadira pago SIPE enero Global Peo Services Panama 2-Préstamo</v>
      </c>
      <c r="E323" s="2">
        <v>19667885</v>
      </c>
      <c r="F323" s="1">
        <v>46079</v>
      </c>
      <c r="G323" t="str">
        <v>Cancelado</v>
      </c>
      <c r="H323">
        <f>IF(OR(G323="Sin pagar",G323="Pagar"),NETWORKDAYS($J$123,F323,'Festivos Colombia'!$A$3:$A$22),0)</f>
        <v>0</v>
      </c>
      <c r="I323">
        <f>NETWORKDAYS($J$123,F323,'Festivos Colombia'!$A$3:$A$22)</f>
        <v>19</v>
      </c>
      <c r="J323" s="7">
        <f>H323</f>
        <v>0</v>
      </c>
    </row>
    <row r="324" ht="15" customHeight="1" outlineLevel="1">
      <c r="A324" t="str">
        <f>G324</f>
        <v>Cancelado</v>
      </c>
      <c r="B324">
        <f>IF(I324&lt;=-1,1,IF(I324&lt;=5,2,IF(I324&lt;=15,3,IF(H324&lt;=60,4))))</f>
        <v>4</v>
      </c>
      <c r="C324" s="4" t="str">
        <v>S/N</v>
      </c>
      <c r="D324" t="str">
        <v>Envio Western  fondos a Yadira pago SIPE enero Global Peo Services Panama 3-Préstamo</v>
      </c>
      <c r="E324" s="2">
        <v>23571462</v>
      </c>
      <c r="F324" s="1">
        <v>46079</v>
      </c>
      <c r="G324" t="str">
        <v>Cancelado</v>
      </c>
      <c r="H324">
        <f>IF(OR(G324="Sin pagar",G324="Pagar"),NETWORKDAYS($J$123,F324,'Festivos Colombia'!$A$3:$A$22),0)</f>
        <v>0</v>
      </c>
      <c r="I324">
        <f>NETWORKDAYS($J$123,F324,'Festivos Colombia'!$A$3:$A$22)</f>
        <v>19</v>
      </c>
      <c r="J324" s="7">
        <f>H324</f>
        <v>0</v>
      </c>
    </row>
    <row r="325" ht="15" customHeight="1" outlineLevel="1">
      <c r="A325" t="str">
        <f>G325</f>
        <v>Cancelado</v>
      </c>
      <c r="B325">
        <f>IF(I325&lt;=-1,1,IF(I325&lt;=5,2,IF(I325&lt;=15,3,IF(H325&lt;=60,4))))</f>
        <v>4</v>
      </c>
      <c r="D325" t="str">
        <v>Envio de docuemento a Yadira en Panamá para apertura de cuenta bancaria</v>
      </c>
      <c r="E325" s="2">
        <v>195543</v>
      </c>
      <c r="F325" s="1">
        <v>46083</v>
      </c>
      <c r="G325" t="str">
        <v>Cancelado</v>
      </c>
      <c r="H325">
        <f>IF(OR(G325="Sin pagar",G325="Pagar"),NETWORKDAYS($J$123,F325,'Festivos Colombia'!$A$3:$A$22),0)</f>
        <v>0</v>
      </c>
      <c r="I325">
        <f>NETWORKDAYS($J$123,F325,'Festivos Colombia'!$A$3:$A$22)</f>
        <v>21</v>
      </c>
      <c r="J325" s="7">
        <f>H325</f>
        <v>0</v>
      </c>
    </row>
    <row r="326" ht="15" customHeight="1" outlineLevel="1">
      <c r="A326" t="str">
        <f>G326</f>
        <v>Cancelado</v>
      </c>
      <c r="B326">
        <f>IF(I326&lt;=-1,1,IF(I326&lt;=5,2,IF(I326&lt;=15,3,IF(H326&lt;=60,4))))</f>
        <v>4</v>
      </c>
      <c r="D326" t="str">
        <v xml:space="preserve">Préstamo Alfonso Fonseca </v>
      </c>
      <c r="E326" s="2">
        <v>700000</v>
      </c>
      <c r="F326" s="1">
        <v>46084</v>
      </c>
      <c r="G326" t="str">
        <v>Cancelado</v>
      </c>
      <c r="H326">
        <f>IF(OR(G326="Sin pagar",G326="Pagar"),NETWORKDAYS($J$123,F326,'Festivos Colombia'!$A$3:$A$22),0)</f>
        <v>0</v>
      </c>
      <c r="I326">
        <f>NETWORKDAYS($J$123,F326,'Festivos Colombia'!$A$3:$A$22)</f>
        <v>22</v>
      </c>
      <c r="J326" s="7">
        <f>H326</f>
        <v>0</v>
      </c>
    </row>
    <row r="327" ht="15" customHeight="1" outlineLevel="1">
      <c r="A327" t="str">
        <f>G327</f>
        <v>Cancelado</v>
      </c>
      <c r="B327">
        <f>IF(I327&lt;=-1,1,IF(I327&lt;=5,2,IF(I327&lt;=15,3,IF(H327&lt;=60,4))))</f>
        <v>4</v>
      </c>
      <c r="D327" t="str">
        <v xml:space="preserve">Reembolso gastos Eduard Forero  viernes 27 de febrero </v>
      </c>
      <c r="E327" s="2">
        <v>1849552.37</v>
      </c>
      <c r="F327" s="1">
        <v>46085</v>
      </c>
      <c r="G327" t="str">
        <v>Cancelado</v>
      </c>
      <c r="H327">
        <f>IF(OR(G327="Sin pagar",G327="Pagar"),NETWORKDAYS($J$123,F327,'Festivos Colombia'!$A$3:$A$22),0)</f>
        <v>0</v>
      </c>
      <c r="I327">
        <f>NETWORKDAYS($J$123,F327,'Festivos Colombia'!$A$3:$A$22)</f>
        <v>23</v>
      </c>
      <c r="J327" s="7">
        <f>H327</f>
        <v>0</v>
      </c>
    </row>
    <row r="328" ht="14.25" customHeight="1">
      <c r="D328" t="str">
        <v>TOTAL EGRESOS</v>
      </c>
      <c r="E328" s="2">
        <f>SUBTOTAL(9,E125:E327)</f>
        <v>3527238838.8585</v>
      </c>
    </row>
    <row r="329" ht="15.75" customHeight="1"/>
    <row r="330" ht="15.75" customHeight="1">
      <c r="D330" t="str">
        <v>SALDO</v>
      </c>
      <c r="E330" s="2">
        <f>E120-E328</f>
        <v>659714682.6000004</v>
      </c>
    </row>
    <row r="331" ht="15.75" customHeight="1">
      <c r="D331" t="str">
        <v xml:space="preserve">% </v>
      </c>
      <c r="E331" s="8">
        <f>IF($E$120=0,0,E330/$E$120)</f>
        <v>0.15756436731836296</v>
      </c>
    </row>
    <row r="332" ht="15.75" customHeight="1"/>
    <row r="333" ht="15.75" customHeight="1">
      <c r="D333" t="str">
        <v>Nombre</v>
      </c>
    </row>
    <row r="334">
      <c r="D334" t="str">
        <v>Jerson Porras -Tarjeta 7</v>
      </c>
      <c r="E334" s="2" t="str">
        <v>Carestream</v>
      </c>
    </row>
    <row r="335">
      <c r="D335" t="str">
        <v>Monica Fabiana Hernandez Pinto - Tarjeta 8</v>
      </c>
      <c r="E335" s="2" t="str">
        <v>Root capital</v>
      </c>
    </row>
    <row r="336"/>
    <row r="337"/>
    <row r="338" ht="5.25" customHeight="1"/>
    <row r="339">
      <c r="D339" s="9" t="str">
        <v>Pagos del 23 al 28 enero</v>
      </c>
      <c r="E339" s="2">
        <v>0</v>
      </c>
    </row>
    <row r="340" ht="15.75" customHeight="1">
      <c r="D340" t="str">
        <v xml:space="preserve">4 x mil </v>
      </c>
      <c r="E340" s="2">
        <f>(E339*4)/1000</f>
        <v>0</v>
      </c>
    </row>
    <row r="341" ht="15.75" customHeight="1">
      <c r="D341" t="str">
        <v>Gran total</v>
      </c>
      <c r="E341" s="2">
        <f>E339+E340</f>
        <v>0</v>
      </c>
    </row>
    <row r="342"/>
    <row r="343"/>
    <row r="344">
      <c r="D344" t="str">
        <v>BBVA 05/03/2026</v>
      </c>
      <c r="E344" s="2">
        <v>9895132.76</v>
      </c>
    </row>
    <row r="345" ht="15.75" customHeight="1">
      <c r="D345" s="1" t="str">
        <v>Bancolombia  05/03/2026</v>
      </c>
      <c r="E345" s="2">
        <v>649819549.84</v>
      </c>
    </row>
    <row r="346" ht="15.75" customHeight="1">
      <c r="D346" t="str">
        <v xml:space="preserve">Total Caja </v>
      </c>
      <c r="E346" s="2">
        <f>SUM(E344:E345)</f>
        <v>659714682.6</v>
      </c>
    </row>
    <row r="347" ht="14.25" customHeight="1"/>
    <row r="348">
      <c r="D348" s="9" t="str">
        <v>Superavit o Deficit</v>
      </c>
      <c r="E348" s="2">
        <f>E346-E341</f>
        <v>659714682.6</v>
      </c>
    </row>
    <row r="349"/>
    <row r="350"/>
    <row r="351"/>
    <row r="352">
      <c r="D352" t="str">
        <v>Banco Panamá S&amp;P USD 02/03/2026</v>
      </c>
      <c r="E352" s="5">
        <v>49307.59</v>
      </c>
      <c r="F352" s="5">
        <v>2616.55</v>
      </c>
    </row>
    <row r="353">
      <c r="D353" t="str">
        <v>BAC Costa Rica  ₡ 05/03/2026</v>
      </c>
      <c r="E353" s="10">
        <v>42986747.84567004</v>
      </c>
      <c r="F353" s="5">
        <f>E353/480</f>
        <v>89555.72467847924</v>
      </c>
      <c r="G353" s="5">
        <f>F353+E354</f>
        <v>92921.17171959972</v>
      </c>
    </row>
    <row r="354">
      <c r="D354" t="str">
        <v>BAC Costa Rica  USD 05/03/2026</v>
      </c>
      <c r="E354" s="5">
        <v>3365.4470411204775</v>
      </c>
    </row>
    <row r="355">
      <c r="D355" t="str">
        <v>Banco Bibankg Guatemala QTZ 05/03/2026</v>
      </c>
      <c r="E355" s="10">
        <v>533084.4334617777</v>
      </c>
      <c r="F355" s="5">
        <f>E355/7.46</f>
        <v>71459.03933803992</v>
      </c>
      <c r="G355" s="5">
        <f>F355+E356</f>
        <v>77729.67933803992</v>
      </c>
    </row>
    <row r="356">
      <c r="D356" t="str">
        <v>Banco Bibankg Guatemala USD 05/03/2026</v>
      </c>
      <c r="E356" s="5">
        <v>6270.639999999999</v>
      </c>
    </row>
    <row r="357">
      <c r="D357" t="str">
        <v>BCP Perú Soles 05/03/2026</v>
      </c>
      <c r="E357" s="11">
        <v>184286.11127186328</v>
      </c>
      <c r="F357" s="5">
        <f>E357/3.52</f>
        <v>52354.00888405207</v>
      </c>
      <c r="G357" s="5">
        <f>F357+E358+F359+E360</f>
        <v>68061.92143454518</v>
      </c>
    </row>
    <row r="358">
      <c r="D358" t="str">
        <v>BCP Perú USD 05/03/2026</v>
      </c>
      <c r="E358" s="5">
        <v>15216.27371328382</v>
      </c>
    </row>
    <row r="359">
      <c r="D359" t="str">
        <v>BBVA Perú Soles 05/03/2026</v>
      </c>
      <c r="E359" s="11">
        <v>1637.7799999999916</v>
      </c>
      <c r="F359" s="5">
        <f>E359/3.44</f>
        <v>476.09883720929986</v>
      </c>
    </row>
    <row r="360">
      <c r="D360" t="str">
        <v>BBVA Perú USD 05/03/2026</v>
      </c>
      <c r="E360" s="5">
        <v>15.540000000000061</v>
      </c>
    </row>
    <row r="361">
      <c r="D361" t="str">
        <v>Bancolombia ACT&amp;J COPS 05/03/2026</v>
      </c>
      <c r="E361" s="2">
        <v>4269747.13</v>
      </c>
    </row>
    <row r="362"/>
    <row r="363" ht="16.5" customHeight="1">
      <c r="D363" t="str">
        <v>Banco Aliado Panamá USD 05/03/2026</v>
      </c>
      <c r="E363" s="10">
        <f>51472.96*0</f>
        <v>0</v>
      </c>
      <c r="F363" s="10" t="str">
        <v>Dato Informativo no es CTA de S&amp;P</v>
      </c>
    </row>
    <row r="364"/>
    <row r="366">
      <c r="D366" t="str">
        <v>Bancos</v>
      </c>
      <c r="E366" s="2">
        <v>13</v>
      </c>
    </row>
    <row r="367">
      <c r="D367" t="str">
        <v>Cuentas</v>
      </c>
      <c r="E367" s="2">
        <v>17</v>
      </c>
    </row>
    <row r="368"/>
    <row r="370">
      <c r="F370" t="str">
        <v>% mora diaria</v>
      </c>
      <c r="G370" t="str">
        <v>Cant día</v>
      </c>
      <c r="J370" t="str">
        <v>Total</v>
      </c>
    </row>
    <row r="371">
      <c r="D371" t="str">
        <v>Retencio en la fuente</v>
      </c>
      <c r="E371" s="2">
        <f>189584000</f>
        <v>189584000</v>
      </c>
      <c r="F371" s="13">
        <f>(E371*F374)</f>
        <v>115938.03048292533</v>
      </c>
      <c r="G371">
        <v>5</v>
      </c>
      <c r="J371" s="13">
        <f>F371*G371</f>
        <v>579690.1524146267</v>
      </c>
    </row>
    <row r="373">
      <c r="D373" t="str">
        <v xml:space="preserve">Efectivo Anual </v>
      </c>
      <c r="E373" s="2" t="str">
        <v>Mensual</v>
      </c>
      <c r="F373" t="str">
        <v>Diaria</v>
      </c>
    </row>
    <row r="374">
      <c r="D374" s="14">
        <v>0.25</v>
      </c>
      <c r="E374" s="15">
        <f>(1+D374)^(1/12)-1</f>
        <v>0.018769265121506118</v>
      </c>
      <c r="F374" s="15">
        <f>(1+D374)^(1/365)-1</f>
        <v>0.0006115391092229583</v>
      </c>
    </row>
    <row r="381"/>
  </sheetData>
  <autoFilter ref="C124:K327"/>
  <mergeCells count="1">
    <mergeCell ref="D337:E337"/>
  </mergeCells>
  <pageMargins left="0.7" right="0.7" top="0.75" bottom="0.75" header="0.3" footer="0.3"/>
  <ignoredErrors>
    <ignoredError numberStoredAsText="1" sqref="A1:X381"/>
  </ignoredErrors>
  <legacyDrawing r:id="rId1"/>
</worksheet>
</file>

<file path=xl/worksheets/sheet5.xml><?xml version="1.0" encoding="utf-8"?>
<worksheet xmlns="http://schemas.openxmlformats.org/spreadsheetml/2006/main" xmlns:r="http://schemas.openxmlformats.org/officeDocument/2006/relationships">
  <dimension ref="A1:X347"/>
  <sheetViews>
    <sheetView workbookViewId="0" rightToLeft="0"/>
  </sheetViews>
  <cols>
    <col min="1" max="1" customWidth="1" width="10.140625" hidden="true"/>
    <col min="2" max="2" customWidth="1" width="6.5703125" hidden="true"/>
    <col min="3" max="3" customWidth="1" width="18.140625"/>
    <col min="4" max="4" customWidth="1" width="81.42578125"/>
    <col min="5" max="5" customWidth="1" width="24.42578125"/>
    <col min="6" max="6" customWidth="1" width="24.7109375"/>
    <col min="7" max="7" customWidth="1" width="14.7109375"/>
    <col min="8" max="8" customWidth="1" width="9.42578125" hidden="true"/>
    <col min="9" max="9" customWidth="1" width="9.42578125" hidden="true"/>
    <col min="10" max="10" customWidth="1" width="15.85546875"/>
    <col min="11" max="11" customWidth="1" width="19.5703125"/>
    <col min="12" max="12" customWidth="1" width="21.5703125"/>
    <col min="13" max="13" customWidth="1" width="15.7109375"/>
    <col min="14" max="14" customWidth="1" width="13.85546875"/>
    <col min="15" max="15" customWidth="1" width="15.85546875"/>
    <col min="16" max="16" customWidth="1" width="15.85546875"/>
    <col min="17" max="17" customWidth="1" width="15.85546875"/>
    <col min="18" max="18" customWidth="1" width="14.5703125"/>
    <col min="19" max="19" customWidth="1" width="13.140625"/>
    <col min="20" max="20" customWidth="1" width="26.140625"/>
    <col min="21" max="21" customWidth="1" width="19.28515625"/>
    <col min="22" max="22" customWidth="1" width="15.28515625"/>
    <col min="23" max="23" customWidth="1" width="14"/>
    <col min="24" max="24" customWidth="1" width="13"/>
    <col min="25" max="25" customWidth="1" width="11.42578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idden="1" ht="15" customHeight="1">
      <c r="E1" s="2">
        <v>42400</v>
      </c>
    </row>
    <row r="2">
      <c r="I2">
        <v>1</v>
      </c>
    </row>
    <row r="3">
      <c r="I3">
        <v>2</v>
      </c>
    </row>
    <row r="4" ht="15.75" customHeight="1">
      <c r="D4" t="str">
        <v>BANCOS</v>
      </c>
      <c r="E4" s="2">
        <f>SUBTOTAL(9,E5:E9)</f>
        <v>698971029.6300004</v>
      </c>
      <c r="I4">
        <v>3</v>
      </c>
    </row>
    <row r="5" outlineLevel="1">
      <c r="D5" t="str">
        <v>Bancos</v>
      </c>
      <c r="E5" s="2">
        <f>FEBRERO!E330</f>
        <v>659714682.6000004</v>
      </c>
      <c r="I5">
        <v>4</v>
      </c>
    </row>
    <row r="6" outlineLevel="1">
      <c r="C6" s="2" t="str">
        <v>sin pagr</v>
      </c>
      <c r="D6" t="str">
        <v>Devolucion de dinero de Peo global services</v>
      </c>
      <c r="E6" s="2">
        <v>59698832.18</v>
      </c>
      <c r="F6" s="2">
        <v>59489365.3627</v>
      </c>
      <c r="G6" s="2">
        <f>E6-F6</f>
        <v>209466.8172999993</v>
      </c>
    </row>
    <row r="7" outlineLevel="1">
      <c r="C7" s="2" t="str">
        <v>Pagado</v>
      </c>
      <c r="D7" t="str">
        <v>Pago Advancio 6644</v>
      </c>
      <c r="E7" s="2">
        <v>311941</v>
      </c>
    </row>
    <row r="8" outlineLevel="1">
      <c r="D8" t="str">
        <v>Menos devolución de Panamá para enviarle dinero a Yadira para el pago de SIPE Marzo</v>
      </c>
      <c r="E8" s="2">
        <f>-(6145*3704.87)</f>
        <v>-22766426.15</v>
      </c>
    </row>
    <row r="9" outlineLevel="1">
      <c r="C9" s="2" t="str">
        <v>Pagado</v>
      </c>
      <c r="D9" t="str">
        <v>Por identificar</v>
      </c>
      <c r="E9" s="2">
        <v>2012000</v>
      </c>
    </row>
    <row r="10" ht="15.75" customHeight="1">
      <c r="D10" t="str">
        <v>CLIENTES</v>
      </c>
      <c r="E10" s="2">
        <f>SUBTOTAL(9,E11:E45)</f>
        <v>238014911.574</v>
      </c>
    </row>
    <row r="11" ht="14.25" customHeight="1" outlineLevel="1">
      <c r="C11" s="2" t="str">
        <v>Pagado</v>
      </c>
      <c r="D11" t="str">
        <v xml:space="preserve">ACT&amp;J Consultores Factura 6695-6792-6598 ( abono) </v>
      </c>
      <c r="E11" s="3">
        <v>4870966.36</v>
      </c>
      <c r="F11" s="4">
        <v>2</v>
      </c>
    </row>
    <row r="12" ht="14.25" customHeight="1" outlineLevel="1">
      <c r="C12" s="2" t="str">
        <v>Pagado</v>
      </c>
      <c r="D12" t="str">
        <v>AECID Factura # 6720</v>
      </c>
      <c r="E12" s="2">
        <v>34362712.65</v>
      </c>
    </row>
    <row r="13" ht="14.25" customHeight="1" outlineLevel="1">
      <c r="C13" s="2" t="str">
        <v>Pagado</v>
      </c>
      <c r="D13" t="str">
        <v>AECID Factura # 5-233</v>
      </c>
      <c r="E13" s="2">
        <v>2104000</v>
      </c>
    </row>
    <row r="14" outlineLevel="1">
      <c r="C14" s="2" t="str">
        <v>Pagado</v>
      </c>
      <c r="D14" t="str">
        <v>Clarke Modet factura # 6704</v>
      </c>
      <c r="E14" s="2">
        <v>2717002.88</v>
      </c>
    </row>
    <row r="15" outlineLevel="1">
      <c r="C15" s="2" t="str">
        <v>Pagado</v>
      </c>
      <c r="D15" t="str">
        <v>Compassion international factura # 6799</v>
      </c>
      <c r="E15" s="2">
        <v>6766084.2</v>
      </c>
    </row>
    <row r="16" outlineLevel="1">
      <c r="C16" s="2" t="str">
        <v>Sin Pagar</v>
      </c>
      <c r="D16" t="str">
        <v>Consorcio HL-Gisaico #  6668-6669</v>
      </c>
      <c r="E16" s="2">
        <f>2503090.56*0</f>
        <v>0</v>
      </c>
    </row>
    <row r="17" outlineLevel="1">
      <c r="C17" s="2" t="str">
        <v>Sin Pagar</v>
      </c>
      <c r="D17" t="str">
        <v>Monica Londoño Factura 6573</v>
      </c>
      <c r="E17" s="2">
        <f>177905*0</f>
        <v>0</v>
      </c>
    </row>
    <row r="18" outlineLevel="1">
      <c r="C18" s="2" t="str">
        <v>Sin Pagar</v>
      </c>
      <c r="D18" t="str">
        <v>Consorcio Gisaico facturas # 6668-6669</v>
      </c>
      <c r="E18" s="2">
        <v>2015276.25</v>
      </c>
    </row>
    <row r="19" outlineLevel="1">
      <c r="C19" s="2" t="str">
        <v>Sin Pagar</v>
      </c>
      <c r="D19" t="str">
        <v>Consorcio SK - HL 6615 - 6659</v>
      </c>
      <c r="E19" s="2">
        <v>504664</v>
      </c>
    </row>
    <row r="20" outlineLevel="1">
      <c r="C20" s="2" t="str">
        <v>Pagado</v>
      </c>
      <c r="D20" t="str">
        <v>Corporación punto azul factura # 6601</v>
      </c>
      <c r="E20" s="2">
        <v>2015276.25</v>
      </c>
    </row>
    <row r="21" outlineLevel="1">
      <c r="C21" s="2" t="str">
        <v>Pagado</v>
      </c>
      <c r="D21" t="str">
        <v>Deel factura # 6658</v>
      </c>
      <c r="E21" s="2">
        <v>42535444.27900001</v>
      </c>
      <c r="F21" s="2">
        <v>41874832.7622</v>
      </c>
      <c r="G21" s="2">
        <f>(E21-F21)</f>
        <v>660611.5168000087</v>
      </c>
    </row>
    <row r="22" outlineLevel="1">
      <c r="C22" s="2" t="str">
        <v>Pagado</v>
      </c>
      <c r="D22" t="str">
        <v>Deel facturas # 6646-6649</v>
      </c>
      <c r="E22" s="2">
        <v>39759247.83500001</v>
      </c>
      <c r="F22" s="2">
        <v>39196672.353</v>
      </c>
      <c r="G22" s="2">
        <f>(E22-F22)</f>
        <v>562575.4820000082</v>
      </c>
    </row>
    <row r="23" outlineLevel="1">
      <c r="C23" s="2" t="str">
        <v>Sin Pagar</v>
      </c>
      <c r="D23" t="str">
        <v>Dinterweb factura # 5646-5725-5805-5892-5974-6061</v>
      </c>
      <c r="E23" s="2">
        <f>7528323*0</f>
        <v>0</v>
      </c>
    </row>
    <row r="24" outlineLevel="1">
      <c r="C24" s="2" t="str">
        <v>Sin Pagar</v>
      </c>
      <c r="D24" t="str">
        <v>Distritech facturas # 6631 Llega por Panamá</v>
      </c>
      <c r="E24" s="2">
        <f>5391183.76*0</f>
        <v>0</v>
      </c>
    </row>
    <row r="25" outlineLevel="1">
      <c r="C25" s="2" t="str">
        <v>Sin Pagar</v>
      </c>
      <c r="D25" t="str">
        <v xml:space="preserve">Dream Tyme resort </v>
      </c>
      <c r="E25" s="2">
        <f>23310882*0</f>
        <v>0</v>
      </c>
    </row>
    <row r="26" outlineLevel="1">
      <c r="C26" s="2" t="str">
        <v>Pagado</v>
      </c>
      <c r="D26" t="str">
        <v>Ecohl facturas 6509 a 6511-6552-6553</v>
      </c>
      <c r="E26" s="2">
        <v>3312381</v>
      </c>
    </row>
    <row r="27" outlineLevel="1">
      <c r="C27" s="2" t="str">
        <v>Pagado</v>
      </c>
      <c r="D27" t="str">
        <v>Evoluzion talent abono a la factura 6742</v>
      </c>
      <c r="E27" s="2">
        <v>560489</v>
      </c>
    </row>
    <row r="28" outlineLevel="1">
      <c r="C28" s="2" t="str">
        <v>Pagado</v>
      </c>
      <c r="D28" t="str">
        <v>Funeravet Factura # 6699</v>
      </c>
      <c r="E28" s="2">
        <v>405352</v>
      </c>
    </row>
    <row r="29" outlineLevel="1">
      <c r="C29" s="2" t="str">
        <v>Pagado</v>
      </c>
      <c r="D29" t="str">
        <v>Gilead Scense Colombia Factura # 6802</v>
      </c>
      <c r="E29" s="2">
        <v>920132.14</v>
      </c>
    </row>
    <row r="30" outlineLevel="1">
      <c r="C30" s="2" t="str">
        <v>Pagado</v>
      </c>
      <c r="D30" t="str">
        <v>Global CS Colombia SAS -factura # 6696-5-235</v>
      </c>
      <c r="E30" s="2">
        <v>18921370.72</v>
      </c>
    </row>
    <row r="31" ht="14.25" customHeight="1" outlineLevel="1">
      <c r="C31" s="2" t="str">
        <v>Pagado</v>
      </c>
      <c r="D31" t="str">
        <v>Global Projects service AG facturas # FV-4-6403-FV-4-6505-FV-5-85-FV-5-123-FV-5-158-FV-5-198</v>
      </c>
      <c r="E31" s="3">
        <v>30962053.22</v>
      </c>
      <c r="F31" s="3">
        <v>31750578.1</v>
      </c>
      <c r="G31" s="2">
        <f>+E31-F31</f>
        <v>-788524.8800000027</v>
      </c>
    </row>
    <row r="32" outlineLevel="1">
      <c r="C32" s="2" t="str">
        <v>Sin Pagar</v>
      </c>
      <c r="D32" t="str">
        <v>HL Gestiones factura # 6395-6572</v>
      </c>
      <c r="E32" s="2">
        <f>1719065*0</f>
        <v>0</v>
      </c>
      <c r="I32">
        <v>4</v>
      </c>
    </row>
    <row r="33" outlineLevel="1">
      <c r="C33" s="2" t="str">
        <v>Sin Pagar</v>
      </c>
      <c r="D33" t="str">
        <v>HL Ingenieros factura # 6441-6531</v>
      </c>
      <c r="E33" s="2">
        <f>723071*0</f>
        <v>0</v>
      </c>
    </row>
    <row r="34" outlineLevel="1">
      <c r="C34" s="2" t="str">
        <v>Pagado</v>
      </c>
      <c r="D34" t="str">
        <v>Hl Infraestructura factura # 6515 - 6544</v>
      </c>
      <c r="E34" s="2">
        <f>7328987</f>
        <v>7328987</v>
      </c>
    </row>
    <row r="35" outlineLevel="1">
      <c r="C35" s="2" t="str">
        <v>Sin Pagar</v>
      </c>
      <c r="D35" t="str">
        <v>Inversiones el Bosque factura # 6797</v>
      </c>
      <c r="E35" s="2">
        <f>2013039*0</f>
        <v>0</v>
      </c>
    </row>
    <row r="36" outlineLevel="1">
      <c r="C36" s="2" t="str">
        <v>Sin Pagar</v>
      </c>
      <c r="D36" t="str">
        <v>Live Systems technology factura # 6626</v>
      </c>
      <c r="E36" s="2">
        <f>1264316.04*0</f>
        <v>0</v>
      </c>
    </row>
    <row r="37" outlineLevel="1">
      <c r="C37" s="2" t="str">
        <v>Pagado</v>
      </c>
      <c r="D37" t="str">
        <v>Ortho Clinical Diagnostics # 6705</v>
      </c>
      <c r="E37" s="2">
        <v>1451213.81</v>
      </c>
    </row>
    <row r="38" outlineLevel="1">
      <c r="C38" s="2" t="str">
        <v>Pagado</v>
      </c>
      <c r="D38" t="str">
        <v>Petrobras colombia Factura # 6697</v>
      </c>
      <c r="E38" s="2">
        <v>18182067.66</v>
      </c>
    </row>
    <row r="39" outlineLevel="1">
      <c r="C39" s="2" t="str">
        <v>Pagado</v>
      </c>
      <c r="D39" t="str">
        <v>Petrobras baspetro Factura # 6660</v>
      </c>
      <c r="E39" s="2">
        <v>7948929.02</v>
      </c>
    </row>
    <row r="40" outlineLevel="1">
      <c r="C40" s="2" t="str">
        <v>Pagado</v>
      </c>
      <c r="D40" t="str">
        <v>Petrobras baspetro Factura # 6746</v>
      </c>
      <c r="E40" s="2">
        <v>7402389</v>
      </c>
    </row>
    <row r="41" outlineLevel="1">
      <c r="C41" s="2" t="str">
        <v>Sin Pagar</v>
      </c>
      <c r="D41" t="str">
        <v xml:space="preserve">Punto medical </v>
      </c>
      <c r="E41" s="2">
        <f>19087032.49*0</f>
        <v>0</v>
      </c>
    </row>
    <row r="42" outlineLevel="1">
      <c r="C42" s="2" t="str">
        <v>Sin Pagar</v>
      </c>
      <c r="D42" t="str">
        <v xml:space="preserve">Rejimetal </v>
      </c>
      <c r="E42" s="2">
        <f>6463289.78*0</f>
        <v>0</v>
      </c>
    </row>
    <row r="43" outlineLevel="1">
      <c r="C43" s="2" t="str">
        <v>Pagado</v>
      </c>
      <c r="D43" t="str">
        <v>Sinerware Facturas 6629-6716-6798</v>
      </c>
      <c r="E43" s="2">
        <v>1955609.64</v>
      </c>
    </row>
    <row r="44" outlineLevel="1">
      <c r="C44" s="2" t="str">
        <v>Pagado</v>
      </c>
      <c r="D44" t="str">
        <v>Soluciones ambientales punto azul Factura #  6662</v>
      </c>
      <c r="E44" s="2">
        <v>1013262.66</v>
      </c>
    </row>
    <row r="45" outlineLevel="1">
      <c r="C45" s="2" t="str">
        <v>Sin Pagar</v>
      </c>
      <c r="D45" t="str">
        <v>TPL Logistics factura # 6796</v>
      </c>
      <c r="E45" s="2">
        <f>2033960.42*0</f>
        <v>0</v>
      </c>
    </row>
    <row r="46" ht="15" customHeight="1">
      <c r="D46" t="str">
        <v>EOR</v>
      </c>
      <c r="E46" s="2">
        <f>SUBTOTAL(9,E47:E95)</f>
        <v>2551453271.4878</v>
      </c>
      <c r="F46" s="6">
        <v>1</v>
      </c>
    </row>
    <row r="47" outlineLevel="1">
      <c r="C47" s="2" t="str">
        <v>Pagado23</v>
      </c>
      <c r="D47" t="str">
        <v>Action Factura # 6783</v>
      </c>
      <c r="E47" s="2">
        <v>1287215.8</v>
      </c>
      <c r="F47" s="2">
        <v>1279036.5432</v>
      </c>
      <c r="G47" s="2">
        <f>(E47-F47)</f>
        <v>8179.25680000009</v>
      </c>
    </row>
    <row r="48" outlineLevel="1">
      <c r="C48" s="2" t="str">
        <v>Pagado</v>
      </c>
      <c r="D48" t="str">
        <v>Action Factura #5-255</v>
      </c>
      <c r="E48" s="2">
        <v>11701868.4</v>
      </c>
      <c r="F48" s="2">
        <v>11627512.113599999</v>
      </c>
      <c r="G48" s="2">
        <f>(E48-F48)</f>
        <v>74356.2864000015</v>
      </c>
    </row>
    <row r="49" outlineLevel="1">
      <c r="C49" s="2" t="str">
        <v>Sin Pagar</v>
      </c>
      <c r="D49" t="str">
        <v>Bubble BPM Factura # 6686</v>
      </c>
      <c r="E49" s="2">
        <f>447484.6199*0</f>
        <v>0</v>
      </c>
      <c r="G49" s="2">
        <f>(E49-F49)*0</f>
        <v>0</v>
      </c>
    </row>
    <row r="50" outlineLevel="1">
      <c r="C50" s="2" t="str">
        <v>Sin Pagar</v>
      </c>
      <c r="D50" t="str">
        <v>Bubble BPM Factura # 5-215</v>
      </c>
      <c r="E50" s="2">
        <f>4068038.7779*0</f>
        <v>0</v>
      </c>
      <c r="G50" s="2">
        <f>(E50-F50)*0</f>
        <v>0</v>
      </c>
    </row>
    <row r="51" outlineLevel="1">
      <c r="C51" s="2" t="str">
        <v>Pagado</v>
      </c>
      <c r="D51" t="str">
        <v>Edrington  Factura # 6774</v>
      </c>
      <c r="E51" s="2">
        <v>2413175.1545</v>
      </c>
      <c r="F51" s="2">
        <v>2383548.8215</v>
      </c>
      <c r="G51" s="2">
        <f>(E51-F51)</f>
        <v>29626.3330000001</v>
      </c>
    </row>
    <row r="52" outlineLevel="1">
      <c r="C52" s="2" t="str">
        <v>Pagado</v>
      </c>
      <c r="D52" t="str">
        <v>Edrington  Factura # 5-249</v>
      </c>
      <c r="E52" s="2">
        <v>43875948.8637</v>
      </c>
      <c r="F52" s="2">
        <v>43337287.8099</v>
      </c>
      <c r="G52" s="2">
        <f>(E52-F52)</f>
        <v>538661.0538000017</v>
      </c>
    </row>
    <row r="53" outlineLevel="1">
      <c r="C53" s="2" t="str">
        <v>Pagado</v>
      </c>
      <c r="D53" t="str">
        <v>EPDM Factura # 6683</v>
      </c>
      <c r="E53" s="2">
        <v>1001074.9</v>
      </c>
      <c r="G53" s="2">
        <f>(E53-F53)*0</f>
        <v>0</v>
      </c>
    </row>
    <row r="54" outlineLevel="1">
      <c r="C54" s="2" t="str">
        <v>Pagado</v>
      </c>
      <c r="D54" t="str">
        <v>EPDM Factura # 5-212</v>
      </c>
      <c r="E54" s="2">
        <v>10010749</v>
      </c>
      <c r="G54" s="2">
        <f>(E54-F54)*0</f>
        <v>0</v>
      </c>
    </row>
    <row r="55" outlineLevel="1">
      <c r="C55" s="2" t="str">
        <v>Pagado</v>
      </c>
      <c r="D55" t="str">
        <v>Equus Global Expansion, LLC Factura # 6801</v>
      </c>
      <c r="E55" s="2">
        <v>655391.3099999999</v>
      </c>
      <c r="F55" s="2">
        <v>648561.9</v>
      </c>
      <c r="G55" s="2">
        <f>(E55-F55)</f>
        <v>6829.409999999916</v>
      </c>
    </row>
    <row r="56" outlineLevel="1">
      <c r="C56" s="2" t="str">
        <v>Pagado</v>
      </c>
      <c r="D56" t="str">
        <v>Equus Global Expansion, LLC Factura # 5-267</v>
      </c>
      <c r="E56" s="2">
        <v>1637376.777</v>
      </c>
      <c r="F56" s="2">
        <v>1620314.73</v>
      </c>
      <c r="G56" s="2">
        <f>(E56-F56)</f>
        <v>17062.04700000002</v>
      </c>
    </row>
    <row r="57" outlineLevel="1">
      <c r="C57" s="2" t="str">
        <v>Pagado</v>
      </c>
      <c r="D57" t="str">
        <v>Europortage Factura # 6788</v>
      </c>
      <c r="E57" s="2">
        <v>3927375.745764941</v>
      </c>
      <c r="F57" s="2">
        <v>3867162.9876</v>
      </c>
      <c r="G57" s="2">
        <f>(E57-F57)</f>
        <v>60212.75816494087</v>
      </c>
    </row>
    <row r="58" outlineLevel="1">
      <c r="C58" s="2" t="str">
        <v>Pagado</v>
      </c>
      <c r="D58" t="str">
        <v>Europortage Factura # 5-260</v>
      </c>
      <c r="E58" s="2">
        <v>62203344.94063507</v>
      </c>
      <c r="F58" s="2">
        <v>61249671.238800004</v>
      </c>
      <c r="G58" s="2">
        <f>(E58-F58)</f>
        <v>953673.7018350661</v>
      </c>
    </row>
    <row r="59" outlineLevel="1">
      <c r="C59" s="2" t="str">
        <v>Pagado</v>
      </c>
      <c r="D59" t="str">
        <v>Hemmebarsch GMBH &amp; Co KG , factura # 6684 Marzo</v>
      </c>
      <c r="E59" s="2">
        <v>717615.65</v>
      </c>
      <c r="F59" s="2">
        <v>676772.21</v>
      </c>
      <c r="G59" s="2">
        <f>(E59-F59)</f>
        <v>40843.44000000006</v>
      </c>
    </row>
    <row r="60" outlineLevel="1">
      <c r="C60" s="2" t="str">
        <v>Pagado</v>
      </c>
      <c r="D60" t="str">
        <v>Hemmebarsch GMBH &amp; Co KG , factura # 2-13 Marzo</v>
      </c>
      <c r="E60" s="2">
        <v>7176043.7855</v>
      </c>
      <c r="F60" s="2">
        <v>6767615.8007</v>
      </c>
      <c r="G60" s="2">
        <f>(E60-F60)</f>
        <v>408427.9848000007</v>
      </c>
    </row>
    <row r="61" outlineLevel="1">
      <c r="C61" s="2" t="str">
        <v>Pagado</v>
      </c>
      <c r="D61" t="str">
        <v>Hemmebarsch GMBH &amp; Co KG , factura # 6685 Marzo</v>
      </c>
      <c r="E61" s="2">
        <v>479299.62549999997</v>
      </c>
      <c r="F61" s="2">
        <v>452020.05669999996</v>
      </c>
      <c r="G61" s="2">
        <f>(E61-F61)</f>
        <v>27279.56880000001</v>
      </c>
    </row>
    <row r="62" outlineLevel="1">
      <c r="C62" s="2" t="str">
        <v>Pagado</v>
      </c>
      <c r="D62" t="str">
        <v>Hemmebarsch GMBH &amp; Co KG , factura # 2-14 Marzo</v>
      </c>
      <c r="E62" s="2">
        <v>4792883.5405</v>
      </c>
      <c r="F62" s="2">
        <v>4520094.2677</v>
      </c>
      <c r="G62" s="2">
        <f>(E62-F62)</f>
        <v>272789.2728000004</v>
      </c>
    </row>
    <row r="63" outlineLevel="1">
      <c r="C63" s="2" t="str">
        <v>Pagado</v>
      </c>
      <c r="D63" t="str">
        <v>Hemmebarsch GMBH &amp; Co KG , factura # 6700 Marzo</v>
      </c>
      <c r="E63" s="2">
        <v>352448.8795</v>
      </c>
      <c r="F63" s="2">
        <v>337854.6085</v>
      </c>
      <c r="G63" s="2">
        <f>(E63-F63)</f>
        <v>14594.271000000008</v>
      </c>
    </row>
    <row r="64" outlineLevel="1">
      <c r="C64" s="2" t="str">
        <v>Pagado</v>
      </c>
      <c r="D64" t="str">
        <v>Hemmebarsch GMBH &amp; Co KG , factura # 5-224 Marzo</v>
      </c>
      <c r="E64" s="2">
        <v>3524562.7224</v>
      </c>
      <c r="F64" s="2">
        <v>3378616.9512</v>
      </c>
      <c r="G64" s="2">
        <f>(E64-F64)</f>
        <v>145945.77119999984</v>
      </c>
    </row>
    <row r="65" outlineLevel="1">
      <c r="C65" s="2" t="str">
        <v>Sin Pagar</v>
      </c>
      <c r="D65" t="str">
        <v>Hemmebarsch GMBH &amp; Co KG , factura # 6771 Marzo</v>
      </c>
      <c r="E65" s="2">
        <v>462859.45139999996</v>
      </c>
      <c r="F65" s="2">
        <v>452558.8542</v>
      </c>
      <c r="G65" s="2">
        <f>(E65-F65)</f>
        <v>10300.59719999996</v>
      </c>
    </row>
    <row r="66">
      <c r="C66" s="2" t="str">
        <v>Sin Pagar</v>
      </c>
      <c r="D66" t="str">
        <v>Hemmebarsch GMBH &amp; Co KG , factura # 5-246 Marzo</v>
      </c>
      <c r="E66" s="2">
        <v>4628742.3688</v>
      </c>
      <c r="F66">
        <v>4525733.1064</v>
      </c>
      <c r="G66" s="2">
        <f>(E66-F66)</f>
        <v>103009.26240000036</v>
      </c>
    </row>
    <row r="67" outlineLevel="1">
      <c r="C67" s="2" t="str">
        <v>Pagado</v>
      </c>
      <c r="D67" t="str">
        <v>Hong kong yonyou xinfushe cloud technology co., limited Factura 6673</v>
      </c>
      <c r="E67" s="2">
        <v>2742027.75</v>
      </c>
      <c r="F67" s="2">
        <v>2737147.203</v>
      </c>
      <c r="G67" s="2">
        <f>(E67-F67)</f>
        <v>4880.546999999788</v>
      </c>
    </row>
    <row r="68" outlineLevel="1">
      <c r="C68" s="2" t="str">
        <v>Pagado</v>
      </c>
      <c r="D68" t="str">
        <v>Hong kong yonyou xinfushe cloud technology co., limited Factura 5-273</v>
      </c>
      <c r="E68" s="2">
        <v>48919208.800000004</v>
      </c>
      <c r="F68" s="2">
        <v>48832137.2896</v>
      </c>
      <c r="G68" s="2">
        <f>(E68-F68)</f>
        <v>87071.51040000468</v>
      </c>
    </row>
    <row r="69" outlineLevel="1">
      <c r="C69" s="2" t="str">
        <v>Pagado</v>
      </c>
      <c r="D69" t="str">
        <v>Flexco Factura # 6766</v>
      </c>
      <c r="E69" s="2">
        <v>1338816.8865855152</v>
      </c>
      <c r="F69" s="2">
        <v>1313580.7859999998</v>
      </c>
      <c r="G69" s="2">
        <f>(E69-F69)</f>
        <v>25236.100585515378</v>
      </c>
    </row>
    <row r="70" outlineLevel="1">
      <c r="C70" s="2" t="str">
        <v>Pagado</v>
      </c>
      <c r="D70" t="str">
        <v>Flexco Factura # 5-239</v>
      </c>
      <c r="E70" s="2">
        <v>14875837.319014488</v>
      </c>
      <c r="F70" s="2">
        <v>14595434.427</v>
      </c>
      <c r="G70" s="2">
        <f>(E70-F70)</f>
        <v>280402.8920144886</v>
      </c>
    </row>
    <row r="71" outlineLevel="1">
      <c r="C71" s="2" t="str">
        <v>Pagado</v>
      </c>
      <c r="D71" t="str">
        <v>Insider factura  # 5-258</v>
      </c>
      <c r="E71" s="2">
        <v>698811.9951000001</v>
      </c>
      <c r="F71" s="2">
        <v>697375.5998999999</v>
      </c>
      <c r="G71" s="2">
        <f>(E71-F71)</f>
        <v>1436.3952000001445</v>
      </c>
    </row>
    <row r="72" outlineLevel="1">
      <c r="C72" s="2" t="str">
        <v>Pagado</v>
      </c>
      <c r="D72" t="str">
        <v>Insider factura  # 5-243</v>
      </c>
      <c r="E72" s="2">
        <v>7704505.575</v>
      </c>
      <c r="F72" s="2">
        <v>7672555.484999999</v>
      </c>
      <c r="G72" s="2">
        <f>(E72-F72)</f>
        <v>31950.090000000782</v>
      </c>
    </row>
    <row r="73" outlineLevel="1">
      <c r="C73" s="2" t="str">
        <v>Pagado</v>
      </c>
      <c r="D73" t="str">
        <v>Insider factura  # 6810</v>
      </c>
      <c r="E73" s="2">
        <v>21745758.691800002</v>
      </c>
      <c r="F73" s="2">
        <v>21729451.143400002</v>
      </c>
      <c r="G73" s="2">
        <f>(E73-F73)</f>
        <v>16307.548399999738</v>
      </c>
    </row>
    <row r="74" outlineLevel="1">
      <c r="C74" s="2" t="str">
        <v>Pagado</v>
      </c>
      <c r="D74" t="str">
        <v>Insider factura  # 2-271</v>
      </c>
      <c r="E74" s="2">
        <v>686318871.9753</v>
      </c>
      <c r="F74" s="2">
        <v>685804188.7038999</v>
      </c>
      <c r="G74" s="2">
        <f>(E74-F74)</f>
        <v>514683.27140009403</v>
      </c>
    </row>
    <row r="75" outlineLevel="1">
      <c r="C75" s="2" t="str">
        <v>Pagado</v>
      </c>
      <c r="D75" t="str">
        <v>Minudoc OÜ ( SIFFI) Factura # 6777</v>
      </c>
      <c r="E75" s="2">
        <v>788259.6250385499</v>
      </c>
      <c r="F75" s="2">
        <v>788167.576</v>
      </c>
      <c r="G75" s="2">
        <f>(E75-F75)</f>
        <v>92.04903854988515</v>
      </c>
    </row>
    <row r="76" outlineLevel="1">
      <c r="C76" s="2" t="str">
        <v>Pagado</v>
      </c>
      <c r="D76" t="str">
        <v>Minudoc OÜ ( SIFFI) Factura # 5-252</v>
      </c>
      <c r="E76" s="2">
        <v>7882450.465361449</v>
      </c>
      <c r="F76" s="2">
        <v>7881529.992000001</v>
      </c>
      <c r="G76" s="2">
        <f>(E76-F76)</f>
        <v>920.4733614483848</v>
      </c>
    </row>
    <row r="77" ht="14.25" customHeight="1" outlineLevel="1">
      <c r="C77" s="2" t="str">
        <v>Pagado</v>
      </c>
      <c r="D77" t="str">
        <v>MKD Factura # 6765</v>
      </c>
      <c r="E77" s="2">
        <v>510186.4248</v>
      </c>
      <c r="F77" s="2">
        <v>499432.479</v>
      </c>
      <c r="G77" s="2">
        <f>(E77-F77)</f>
        <v>10753.945799999987</v>
      </c>
    </row>
    <row r="78" ht="14.25" customHeight="1" outlineLevel="1">
      <c r="C78" s="2" t="str">
        <v>Pagado</v>
      </c>
      <c r="D78" t="str">
        <v>MKD Factura # 5-238</v>
      </c>
      <c r="E78" s="2">
        <v>4638085.2576</v>
      </c>
      <c r="F78" s="2">
        <v>4540321.5479999995</v>
      </c>
      <c r="G78" s="2">
        <f>(E78-F78)</f>
        <v>97763.70960000064</v>
      </c>
    </row>
    <row r="79" outlineLevel="1">
      <c r="C79" s="2" t="str">
        <v>Pagado</v>
      </c>
      <c r="D79" t="str">
        <v>Nazdar Factura # 6767</v>
      </c>
      <c r="E79" s="2">
        <v>3613174.8160595368</v>
      </c>
      <c r="F79" s="2">
        <v>3540083.232</v>
      </c>
      <c r="G79" s="2">
        <f>(E79-F79)</f>
        <v>73091.58405953692</v>
      </c>
    </row>
    <row r="80" outlineLevel="1">
      <c r="C80" s="2" t="str">
        <v>Pagado</v>
      </c>
      <c r="D80" t="str">
        <v>Nazdar Factura # 5-240</v>
      </c>
      <c r="E80" s="2">
        <v>60219309.761540465</v>
      </c>
      <c r="F80" s="2">
        <v>59001122.166</v>
      </c>
      <c r="G80" s="2">
        <f>(E80-F80)</f>
        <v>1218187.595540464</v>
      </c>
    </row>
    <row r="81" outlineLevel="1">
      <c r="C81" s="2" t="str">
        <v>Pagado</v>
      </c>
      <c r="D81" t="str">
        <v>Neo Factura # 6769</v>
      </c>
      <c r="E81" s="2">
        <v>5786118.204377905</v>
      </c>
      <c r="F81" s="2">
        <v>5731579.6713</v>
      </c>
      <c r="G81" s="2">
        <f>(E81-F81)</f>
        <v>54538.533077904955</v>
      </c>
    </row>
    <row r="82" outlineLevel="1">
      <c r="C82" s="2" t="str">
        <v>Pagado</v>
      </c>
      <c r="D82" t="str">
        <v>Neo Factura # FV-5-244</v>
      </c>
      <c r="E82" s="2">
        <v>72326237.9822221</v>
      </c>
      <c r="F82" s="2">
        <v>71644508.5769</v>
      </c>
      <c r="G82" s="2">
        <f>(E82-F82)</f>
        <v>681729.4053220898</v>
      </c>
    </row>
    <row r="83" outlineLevel="1">
      <c r="C83" s="2" t="str">
        <v>Pagado</v>
      </c>
      <c r="D83" t="str">
        <v>Oncehub Factura # 6786</v>
      </c>
      <c r="E83" s="2">
        <v>877475.3780630965</v>
      </c>
      <c r="F83" s="2">
        <v>867734.4</v>
      </c>
      <c r="G83" s="2">
        <f>(E83-F83)</f>
        <v>9740.978063096525</v>
      </c>
    </row>
    <row r="84" outlineLevel="1">
      <c r="C84" s="2" t="str">
        <v>Pagado</v>
      </c>
      <c r="D84" t="str">
        <v>Oncehub Factura # 5-257</v>
      </c>
      <c r="E84" s="2">
        <v>12016513.441936903</v>
      </c>
      <c r="F84" s="2">
        <v>11883116.429599999</v>
      </c>
      <c r="G84" s="2">
        <f>(E84-F84)</f>
        <v>133397.01233690418</v>
      </c>
    </row>
    <row r="85" outlineLevel="1">
      <c r="C85" s="2" t="str">
        <v>Pagado</v>
      </c>
      <c r="D85" t="str">
        <v>Poc Pharma Limited Factura # 6776</v>
      </c>
      <c r="E85" s="2">
        <v>2339876.56</v>
      </c>
      <c r="F85" s="2">
        <v>2336670.1099</v>
      </c>
      <c r="G85" s="2">
        <f>(E85-F85)</f>
        <v>3206.4501000000164</v>
      </c>
    </row>
    <row r="86" outlineLevel="1">
      <c r="C86" s="2" t="str">
        <v>Pagado</v>
      </c>
      <c r="D86" t="str">
        <v>Poc Pharma Limited Factura # 5-251</v>
      </c>
      <c r="E86" s="2">
        <v>13320855.36</v>
      </c>
      <c r="F86" s="2">
        <v>13302601.1244</v>
      </c>
      <c r="G86" s="2">
        <f>(E86-F86)</f>
        <v>18254.235600000247</v>
      </c>
    </row>
    <row r="87" outlineLevel="1">
      <c r="C87" s="2" t="str">
        <v>Pagado</v>
      </c>
      <c r="D87" t="str">
        <v>Remofirst Factura # 6763</v>
      </c>
      <c r="E87" s="2">
        <v>35147078.4</v>
      </c>
      <c r="F87" s="2">
        <v>34951728</v>
      </c>
      <c r="G87" s="2">
        <f>(E87-F87)</f>
        <v>195350.3999999985</v>
      </c>
    </row>
    <row r="88" outlineLevel="1">
      <c r="C88" s="2" t="str">
        <v>Pagado</v>
      </c>
      <c r="D88" t="str">
        <v>Remofirst Factura # 5-236</v>
      </c>
      <c r="E88" s="2">
        <v>1249600470.48</v>
      </c>
      <c r="F88" s="2">
        <v>1242655086.6000001</v>
      </c>
      <c r="G88" s="2">
        <f>(E88-F88)</f>
        <v>6945383.879999876</v>
      </c>
    </row>
    <row r="89" outlineLevel="1">
      <c r="C89" s="2" t="str">
        <v>Pagado</v>
      </c>
      <c r="D89" t="str">
        <v>Remofirst Factura # 6764</v>
      </c>
      <c r="E89" s="2">
        <v>2636030.88</v>
      </c>
      <c r="F89" s="2">
        <v>2621379.6</v>
      </c>
      <c r="G89" s="2">
        <f>(E89-F89)</f>
        <v>14651.279999999795</v>
      </c>
    </row>
    <row r="90" outlineLevel="1">
      <c r="C90" s="2" t="str">
        <v>Pagado</v>
      </c>
      <c r="D90" t="str">
        <v>Remofirst Factura # 5-237</v>
      </c>
      <c r="E90" s="2">
        <v>37191072.9888</v>
      </c>
      <c r="F90" s="2">
        <v>36984361.896</v>
      </c>
      <c r="G90" s="2">
        <f>(E90-F90)</f>
        <v>206711.09279999882</v>
      </c>
    </row>
    <row r="91" outlineLevel="1">
      <c r="C91" s="2" t="str">
        <v>Pagado</v>
      </c>
      <c r="D91" t="str">
        <v>Rivermate Factura # 6768</v>
      </c>
      <c r="E91" s="2">
        <v>1285421.99</v>
      </c>
      <c r="G91" s="2">
        <f>(E91-F91)*0</f>
        <v>0</v>
      </c>
    </row>
    <row r="92" outlineLevel="1">
      <c r="C92" s="2" t="str">
        <v>Pagado</v>
      </c>
      <c r="D92" t="str">
        <v>Rivermate Factura # 5-241</v>
      </c>
      <c r="E92" s="2">
        <v>71495628.14</v>
      </c>
      <c r="G92" s="2">
        <f>(E92-F92)*0</f>
        <v>0</v>
      </c>
    </row>
    <row r="93" outlineLevel="1">
      <c r="C93" s="2" t="str">
        <v>Pagado</v>
      </c>
      <c r="D93" t="str">
        <v>Rivermate Factura # 5-270</v>
      </c>
      <c r="E93" s="2">
        <v>1893065.15</v>
      </c>
      <c r="G93" s="2">
        <f>(E93-F93)*0</f>
        <v>0</v>
      </c>
    </row>
    <row r="94" outlineLevel="1">
      <c r="C94" s="2" t="str">
        <v>Pagado</v>
      </c>
      <c r="D94" t="str">
        <v>Root capital factura # 6775</v>
      </c>
      <c r="E94" s="2">
        <v>1871058.5955</v>
      </c>
      <c r="F94" s="2">
        <v>1860581.0139</v>
      </c>
      <c r="G94" s="2">
        <f>(E94-F94)</f>
        <v>10477.58160000015</v>
      </c>
    </row>
    <row r="95" outlineLevel="1">
      <c r="C95" s="2" t="str">
        <v>Pagado</v>
      </c>
      <c r="D95" t="str">
        <v>Root capital  # FV-5-250</v>
      </c>
      <c r="E95" s="2">
        <v>20823085.6785</v>
      </c>
      <c r="F95" s="2">
        <v>20706480.2553</v>
      </c>
      <c r="G95" s="2">
        <f>(E95-F95)</f>
        <v>116605.42320000008</v>
      </c>
    </row>
    <row r="96" ht="15.75" customHeight="1">
      <c r="D96" t="str">
        <v>TOTAL INGRESOS</v>
      </c>
      <c r="E96" s="2">
        <f>SUBTOTAL(9,E4:E95)</f>
        <v>3488439212.6918</v>
      </c>
      <c r="G96" s="2">
        <f>SUM(G6:G95)</f>
        <v>14108743.935799997</v>
      </c>
    </row>
    <row r="97" ht="15.75" customHeight="1"/>
    <row r="98" ht="15.75" customHeight="1"/>
    <row r="99" ht="15.75" customHeight="1">
      <c r="C99" t="str">
        <v xml:space="preserve">CUENTAS X PAGAR MES </v>
      </c>
      <c r="E99" t="str">
        <v>MARZO</v>
      </c>
      <c r="F99" t="str">
        <v>Fecha de Elaboración:</v>
      </c>
      <c r="J99" s="1">
        <v>46082</v>
      </c>
    </row>
    <row r="100" ht="16.5" customHeight="1">
      <c r="C100" t="str">
        <v>Factura</v>
      </c>
      <c r="D100" t="str">
        <v>PROVEEDOR</v>
      </c>
      <c r="E100" s="2" t="str">
        <v>VALOR</v>
      </c>
      <c r="F100" t="str">
        <v>Fecha vencimiento</v>
      </c>
      <c r="G100" t="str">
        <v>Estado</v>
      </c>
      <c r="J100" t="str">
        <v>KPI</v>
      </c>
      <c r="K100" t="str">
        <v>Objeto</v>
      </c>
    </row>
    <row r="101" ht="16.5" customHeight="1">
      <c r="D101" t="str">
        <v>PAGOS ANTICIPADOS</v>
      </c>
      <c r="E101" s="2">
        <f>SUBTOTAL(9,E102:E104)</f>
        <v>17522648</v>
      </c>
    </row>
    <row r="102" outlineLevel="1">
      <c r="A102" t="str">
        <f>G102</f>
        <v>Cancelado</v>
      </c>
      <c r="B102">
        <f>IF(I102&lt;=-1,1,IF(I102&lt;=5,2,IF(I102&lt;=15,3,IF(H102&lt;=60,4))))</f>
        <v>3</v>
      </c>
      <c r="D102" t="str">
        <v>Anticipo nómina Action</v>
      </c>
      <c r="E102" s="2">
        <v>4360000</v>
      </c>
      <c r="F102" s="1">
        <v>46094</v>
      </c>
      <c r="G102" t="str">
        <v>Cancelado</v>
      </c>
      <c r="H102">
        <f>IF(OR(G102="Sin pagar",G102="Pagar"),NETWORKDAYS($J$99,F102,'Festivos Colombia'!$A$3:$A$22),0)</f>
        <v>0</v>
      </c>
      <c r="I102">
        <f>NETWORKDAYS($J$99,F102,'Festivos Colombia'!$A$3:$A$22)</f>
        <v>10</v>
      </c>
      <c r="J102" s="7">
        <f>H102</f>
        <v>0</v>
      </c>
    </row>
    <row r="103" outlineLevel="1">
      <c r="A103" t="str">
        <f>G103</f>
        <v>Cancelado</v>
      </c>
      <c r="B103">
        <f>IF(I103&lt;=-1,1,IF(I103&lt;=5,2,IF(I103&lt;=15,3,IF(H103&lt;=60,4))))</f>
        <v>3</v>
      </c>
      <c r="D103" t="str">
        <v>Anticipo nómina Nazdar</v>
      </c>
      <c r="E103" s="2">
        <v>9500000</v>
      </c>
      <c r="F103" s="1">
        <v>46094</v>
      </c>
      <c r="G103" t="str">
        <v>Cancelado</v>
      </c>
      <c r="H103">
        <f>IF(OR(G103="Sin pagar",G103="Pagar"),NETWORKDAYS($J$99,F103,'Festivos Colombia'!$A$3:$A$22),0)</f>
        <v>0</v>
      </c>
      <c r="I103">
        <f>NETWORKDAYS($J$99,F103,'Festivos Colombia'!$A$3:$A$22)</f>
        <v>10</v>
      </c>
      <c r="J103" s="7">
        <f>H103</f>
        <v>0</v>
      </c>
    </row>
    <row r="104" ht="15.75" customHeight="1" outlineLevel="1">
      <c r="A104" t="str">
        <f>G104</f>
        <v>Cancelado</v>
      </c>
      <c r="B104">
        <f>IF(I104&lt;=-1,1,IF(I104&lt;=5,2,IF(I104&lt;=15,3,IF(H104&lt;=60,4))))</f>
        <v>4</v>
      </c>
      <c r="D104" t="str">
        <v>Anticipo nómina Action</v>
      </c>
      <c r="E104" s="2">
        <v>3662648</v>
      </c>
      <c r="F104" s="1">
        <v>46112</v>
      </c>
      <c r="G104" t="str">
        <v>Cancelado</v>
      </c>
      <c r="H104">
        <f>IF(OR(G104="Sin pagar",G104="Pagar"),NETWORKDAYS($J$99,F104,'Festivos Colombia'!$A$3:$A$22),0)</f>
        <v>0</v>
      </c>
      <c r="I104">
        <f>NETWORKDAYS($J$99,F104,'Festivos Colombia'!$A$3:$A$22)</f>
        <v>21</v>
      </c>
      <c r="J104" s="7">
        <f>H104</f>
        <v>0</v>
      </c>
    </row>
    <row r="105" ht="16.5" customHeight="1">
      <c r="D105" t="str">
        <v xml:space="preserve">SEGURIDAD SOCIAL   </v>
      </c>
      <c r="E105" s="2">
        <f>SUBTOTAL(9,E106:E106)</f>
        <v>517318100</v>
      </c>
    </row>
    <row r="106" ht="15.75" customHeight="1" outlineLevel="1">
      <c r="A106" t="str">
        <f>G106</f>
        <v>Cancelado</v>
      </c>
      <c r="B106">
        <f>IF(I106&lt;=-1,1,IF(I106&lt;=5,2,IF(I106&lt;=15,3,IF(H106&lt;=60,4))))</f>
        <v>3</v>
      </c>
      <c r="C106" s="6">
        <v>176206200</v>
      </c>
      <c r="D106" t="str">
        <v xml:space="preserve">Seguridad social </v>
      </c>
      <c r="E106" s="2">
        <v>517318100</v>
      </c>
      <c r="F106" s="1">
        <v>46092</v>
      </c>
      <c r="G106" t="str">
        <v>Cancelado</v>
      </c>
      <c r="H106">
        <f>IF(OR(G106="Sin pagar",G106="Pagar"),NETWORKDAYS($J$99,F106,'Festivos Colombia'!$A$3:$A$22),0)</f>
        <v>0</v>
      </c>
      <c r="I106">
        <f>NETWORKDAYS($J$99,F106,'Festivos Colombia'!$A$3:$A$22)</f>
        <v>8</v>
      </c>
      <c r="J106" s="7">
        <f>H106</f>
        <v>0</v>
      </c>
    </row>
    <row r="107" ht="16.5" customHeight="1">
      <c r="D107" t="str">
        <v>AFC´S</v>
      </c>
      <c r="E107" s="2">
        <f>SUBTOTAL(9,E108:E110)</f>
        <v>14755460</v>
      </c>
    </row>
    <row r="108" outlineLevel="1">
      <c r="A108" t="str">
        <f>G108</f>
        <v>Cancelado</v>
      </c>
      <c r="B108">
        <f>IF(I108&lt;=-1,1,IF(I108&lt;=5,2,IF(I108&lt;=15,3,IF(H108&lt;=60,4))))</f>
        <v>4</v>
      </c>
      <c r="D108" t="str">
        <v xml:space="preserve">AFC Dafuturo cheque </v>
      </c>
      <c r="E108" s="2">
        <v>1000000</v>
      </c>
      <c r="F108" s="1">
        <v>46111</v>
      </c>
      <c r="G108" t="str">
        <v>Cancelado</v>
      </c>
      <c r="H108">
        <f>IF(OR(G108="Sin pagar",G108="Pagar"),NETWORKDAYS($J$99,F108,'Festivos Colombia'!$A$3:$A$22),0)</f>
        <v>0</v>
      </c>
      <c r="I108">
        <f>NETWORKDAYS($J$99,F108,'Festivos Colombia'!$A$3:$A$22)</f>
        <v>20</v>
      </c>
      <c r="J108" s="7">
        <f>H108</f>
        <v>0</v>
      </c>
    </row>
    <row r="109" outlineLevel="1">
      <c r="A109" t="str">
        <f>G109</f>
        <v>Cancelado</v>
      </c>
      <c r="B109">
        <f>IF(I109&lt;=-1,1,IF(I109&lt;=5,2,IF(I109&lt;=15,3,IF(H109&lt;=60,4))))</f>
        <v>4</v>
      </c>
      <c r="D109" t="str">
        <v xml:space="preserve">AFC OER electronico </v>
      </c>
      <c r="E109" s="2">
        <f>7600000+4000000</f>
        <v>11600000</v>
      </c>
      <c r="F109" s="1">
        <v>46111</v>
      </c>
      <c r="G109" t="str">
        <v>Cancelado</v>
      </c>
      <c r="H109">
        <f>IF(OR(G109="Sin pagar",G109="Pagar"),NETWORKDAYS($J$99,F109,'Festivos Colombia'!$A$3:$A$22),0)</f>
        <v>0</v>
      </c>
      <c r="I109">
        <f>NETWORKDAYS($J$99,F109,'Festivos Colombia'!$A$3:$A$22)</f>
        <v>20</v>
      </c>
      <c r="J109" s="7">
        <f>H109</f>
        <v>0</v>
      </c>
    </row>
    <row r="110" ht="15.75" customHeight="1" outlineLevel="1">
      <c r="A110" t="str">
        <f>G110</f>
        <v>Cancelado</v>
      </c>
      <c r="B110">
        <f>IF(I110&lt;=-1,1,IF(I110&lt;=5,2,IF(I110&lt;=15,3,IF(H110&lt;=60,4))))</f>
        <v>4</v>
      </c>
      <c r="D110" t="str">
        <v xml:space="preserve">AFC Edward Forero electronico </v>
      </c>
      <c r="E110" s="2">
        <v>2155460</v>
      </c>
      <c r="F110" s="1">
        <v>46111</v>
      </c>
      <c r="G110" t="str">
        <v>Cancelado</v>
      </c>
      <c r="H110">
        <f>IF(OR(G110="Sin pagar",G110="Pagar"),NETWORKDAYS($J$99,F110,'Festivos Colombia'!$A$3:$A$22),0)</f>
        <v>0</v>
      </c>
      <c r="I110">
        <f>NETWORKDAYS($J$99,F110,'Festivos Colombia'!$A$3:$A$22)</f>
        <v>20</v>
      </c>
      <c r="J110" s="7">
        <f>H110</f>
        <v>0</v>
      </c>
    </row>
    <row r="111" ht="16.5" customHeight="1">
      <c r="D111" t="str">
        <v xml:space="preserve">IMPUESTOS </v>
      </c>
      <c r="E111" s="2">
        <f>SUBTOTAL(9,E112:E114)</f>
        <v>272937500</v>
      </c>
      <c r="J111" s="7">
        <f>H111</f>
        <v>0</v>
      </c>
    </row>
    <row r="112" outlineLevel="1">
      <c r="A112" t="str">
        <f>G112</f>
        <v>Cancelado</v>
      </c>
      <c r="B112">
        <f>IF(I112&lt;=-1,1,IF(I112&lt;=5,2,IF(I112&lt;=15,3,IF(H112&lt;=60,4))))</f>
        <v>3</v>
      </c>
      <c r="D112" t="str">
        <v>IVA 1er Bimestre</v>
      </c>
      <c r="E112" s="2">
        <v>62607000</v>
      </c>
      <c r="F112" s="1">
        <v>46097</v>
      </c>
      <c r="G112" t="str">
        <v>Cancelado</v>
      </c>
      <c r="H112">
        <f>IF(OR(G112="Sin pagar",G112="Pagar"),NETWORKDAYS($J$99,F112,'Festivos Colombia'!$A$3:$A$22),0)</f>
        <v>0</v>
      </c>
      <c r="I112">
        <f>NETWORKDAYS($J$99,F112,'Festivos Colombia'!$A$3:$A$22)</f>
        <v>11</v>
      </c>
      <c r="J112" s="7">
        <f>H112</f>
        <v>0</v>
      </c>
    </row>
    <row r="113" outlineLevel="1">
      <c r="A113" t="str">
        <f>G113</f>
        <v>Cancelado</v>
      </c>
      <c r="B113">
        <f>IF(I113&lt;=-1,1,IF(I113&lt;=5,2,IF(I113&lt;=15,3,IF(H113&lt;=60,4))))</f>
        <v>3</v>
      </c>
      <c r="D113" t="str">
        <v xml:space="preserve">RETENCIÓN EN LA FUENTE </v>
      </c>
      <c r="E113" s="2">
        <v>209193000</v>
      </c>
      <c r="F113" s="1">
        <v>46097</v>
      </c>
      <c r="G113" t="str">
        <v>Cancelado</v>
      </c>
      <c r="H113">
        <f>IF(OR(G113="Sin pagar",G113="Pagar"),NETWORKDAYS($J$99,F113,'Festivos Colombia'!$A$3:$A$22),0)</f>
        <v>0</v>
      </c>
      <c r="I113">
        <f>NETWORKDAYS($J$99,F113,'Festivos Colombia'!$A$3:$A$22)</f>
        <v>11</v>
      </c>
      <c r="J113" s="7">
        <f>H113</f>
        <v>0</v>
      </c>
    </row>
    <row r="114" ht="15.75" customHeight="1" outlineLevel="1">
      <c r="D114" t="str">
        <v>RTE ICA ( cada dos meses)</v>
      </c>
      <c r="E114" s="2">
        <f>910000*1.25</f>
        <v>1137500</v>
      </c>
      <c r="F114" s="1">
        <v>46097</v>
      </c>
      <c r="G114" t="str">
        <v>Cancelado</v>
      </c>
      <c r="H114">
        <f>IF(OR(G114="Sin pagar",G114="Pagar"),NETWORKDAYS($J$99,F114,'Festivos Colombia'!$A$3:$A$22),0)</f>
        <v>0</v>
      </c>
      <c r="I114">
        <f>NETWORKDAYS($J$99,F114,'Festivos Colombia'!$A$3:$A$22)</f>
        <v>11</v>
      </c>
      <c r="J114" s="7">
        <f>H114</f>
        <v>0</v>
      </c>
    </row>
    <row r="115" ht="16.5" customHeight="1">
      <c r="D115" t="str">
        <v>ARRIENDO, INTERNET, TELEFONIA Y GASTOS DE OFICINA</v>
      </c>
      <c r="E115" s="2">
        <f>SUBTOTAL(9,E116:E136)</f>
        <v>10129377.84</v>
      </c>
      <c r="J115" s="7">
        <f>H115</f>
        <v>0</v>
      </c>
    </row>
    <row r="116" ht="14.25" customHeight="1" outlineLevel="1">
      <c r="A116" t="str">
        <f>G116</f>
        <v>Cancelado</v>
      </c>
      <c r="B116">
        <f>IF(I116&lt;=-1,1,IF(I116&lt;=5,2,IF(I116&lt;=15,3,IF(H116&lt;=60,4))))</f>
        <v>2</v>
      </c>
      <c r="C116" s="4" t="str">
        <v>FE-56934</v>
      </c>
      <c r="D116" t="str">
        <v xml:space="preserve">BUK colombia SAS-Sucricpión Febrero 2026 Bukplay E-learning - Enero 2026 | 53 empleados </v>
      </c>
      <c r="E116" s="2">
        <f>1244113.7</f>
        <v>1244113.7</v>
      </c>
      <c r="F116" s="1">
        <v>46087</v>
      </c>
      <c r="G116" t="str">
        <v>Cancelado</v>
      </c>
      <c r="H116">
        <f>IF(OR(G116="Sin pagar",G116="Pagar"),NETWORKDAYS($J$99,F116,'Festivos Colombia'!$A$3:$A$22),0)</f>
        <v>0</v>
      </c>
      <c r="I116">
        <f>NETWORKDAYS($J$99,F116,'Festivos Colombia'!$A$3:$A$22)</f>
        <v>5</v>
      </c>
      <c r="J116" s="7">
        <f>H116</f>
        <v>0</v>
      </c>
    </row>
    <row r="117" outlineLevel="1">
      <c r="A117" t="str">
        <f>G117</f>
        <v>Cancelado</v>
      </c>
      <c r="B117">
        <f>IF(I117&lt;=-1,1,IF(I117&lt;=5,2,IF(I117&lt;=15,3,IF(H117&lt;=60,4))))</f>
        <v>2</v>
      </c>
      <c r="C117" s="4" t="str">
        <v>580831430799</v>
      </c>
      <c r="D117" t="str">
        <v>Movistar Office 365</v>
      </c>
      <c r="E117" s="2">
        <f>368688</f>
        <v>368688</v>
      </c>
      <c r="F117" s="1">
        <v>46087</v>
      </c>
      <c r="G117" t="str">
        <v>Cancelado</v>
      </c>
      <c r="H117">
        <f>IF(OR(G117="Sin pagar",G117="Pagar"),NETWORKDAYS($J$99,F117,'Festivos Colombia'!$A$3:$A$22),0)</f>
        <v>0</v>
      </c>
      <c r="I117">
        <f>NETWORKDAYS($J$99,F117,'Festivos Colombia'!$A$3:$A$22)</f>
        <v>5</v>
      </c>
      <c r="J117" s="7">
        <f>H117</f>
        <v>0</v>
      </c>
    </row>
    <row r="118" outlineLevel="1">
      <c r="A118" t="str">
        <f>G118</f>
        <v>Cancelado</v>
      </c>
      <c r="B118">
        <f>IF(I118&lt;=-1,1,IF(I118&lt;=5,2,IF(I118&lt;=15,3,IF(H118&lt;=60,4))))</f>
        <v>2</v>
      </c>
      <c r="C118" t="str">
        <v>FEWP-6700</v>
      </c>
      <c r="D118" t="str">
        <v>WORKPLACE SOLUTIONS GROUP SAS (SPACIO)</v>
      </c>
      <c r="E118" s="2">
        <f>358066.76</f>
        <v>358066.76</v>
      </c>
      <c r="F118" s="1">
        <v>46087</v>
      </c>
      <c r="G118" t="str">
        <v>Cancelado</v>
      </c>
      <c r="H118">
        <f>IF(OR(G118="Sin pagar",G118="Pagar"),NETWORKDAYS($J$99,F118,'Festivos Colombia'!$A$3:$A$22),0)</f>
        <v>0</v>
      </c>
      <c r="I118">
        <f>NETWORKDAYS($J$99,F118,'Festivos Colombia'!$A$3:$A$22)</f>
        <v>5</v>
      </c>
      <c r="J118" s="7">
        <f>H118</f>
        <v>0</v>
      </c>
    </row>
    <row r="119" outlineLevel="1">
      <c r="A119" t="str">
        <f>G119</f>
        <v>Cancelado</v>
      </c>
      <c r="B119">
        <f>IF(I119&lt;=-1,1,IF(I119&lt;=5,2,IF(I119&lt;=15,3,IF(H119&lt;=60,4))))</f>
        <v>3</v>
      </c>
      <c r="C119">
        <v>27768</v>
      </c>
      <c r="D119" t="str">
        <v>Parking remofirst</v>
      </c>
      <c r="E119" s="2">
        <f>926800</f>
        <v>926800</v>
      </c>
      <c r="F119" s="1">
        <v>46091</v>
      </c>
      <c r="G119" t="str">
        <v>Cancelado</v>
      </c>
      <c r="H119">
        <f>IF(OR(G119="Sin pagar",G119="Pagar"),NETWORKDAYS($J$99,F119,'Festivos Colombia'!$A$3:$A$22),0)</f>
        <v>0</v>
      </c>
      <c r="I119">
        <f>NETWORKDAYS($J$99,F119,'Festivos Colombia'!$A$3:$A$22)</f>
        <v>7</v>
      </c>
      <c r="J119" s="7">
        <f>H119</f>
        <v>0</v>
      </c>
    </row>
    <row r="120" outlineLevel="1">
      <c r="A120" t="str">
        <f>G120</f>
        <v>Cancelado</v>
      </c>
      <c r="B120">
        <f>IF(I120&lt;=-1,1,IF(I120&lt;=5,2,IF(I120&lt;=15,3,IF(H120&lt;=60,4))))</f>
        <v>2</v>
      </c>
      <c r="C120">
        <v>36</v>
      </c>
      <c r="D120" t="str">
        <v>Dario Mendez</v>
      </c>
      <c r="E120" s="2">
        <v>1000000</v>
      </c>
      <c r="F120" s="1">
        <v>46087</v>
      </c>
      <c r="G120" t="str">
        <v>Cancelado</v>
      </c>
      <c r="H120">
        <f>IF(OR(G120="Sin pagar",G120="Pagar"),NETWORKDAYS($J$99,F120,'Festivos Colombia'!$A$3:$A$22),0)</f>
        <v>0</v>
      </c>
      <c r="I120">
        <f>NETWORKDAYS($J$99,F120,'Festivos Colombia'!$A$3:$A$22)</f>
        <v>5</v>
      </c>
      <c r="J120" s="7">
        <f>H120</f>
        <v>0</v>
      </c>
    </row>
    <row r="121" outlineLevel="1">
      <c r="A121" t="str">
        <f>G121</f>
        <v>Cancelado</v>
      </c>
      <c r="B121">
        <f>IF(I121&lt;=-1,1,IF(I121&lt;=5,2,IF(I121&lt;=15,3,IF(H121&lt;=60,4))))</f>
        <v>3</v>
      </c>
      <c r="C121" t="str">
        <v>FEWP-6722</v>
      </c>
      <c r="D121" t="str">
        <v>WORKPLACE SOLUTIONS GROUP SAS (SPACIO) Alquiler sala de juntas</v>
      </c>
      <c r="E121" s="2">
        <v>227700</v>
      </c>
      <c r="F121" s="1">
        <v>46094</v>
      </c>
      <c r="G121" t="str">
        <v>Cancelado</v>
      </c>
      <c r="H121">
        <f>IF(OR(G121="Sin pagar",G121="Pagar"),NETWORKDAYS($J$99,F121,'Festivos Colombia'!$A$3:$A$22),0)</f>
        <v>0</v>
      </c>
      <c r="I121">
        <f>NETWORKDAYS($J$99,F121,'Festivos Colombia'!$A$3:$A$22)</f>
        <v>10</v>
      </c>
      <c r="J121" s="7">
        <f>H121</f>
        <v>0</v>
      </c>
    </row>
    <row r="122" outlineLevel="1">
      <c r="A122" t="str">
        <f>G122</f>
        <v>Cancelado</v>
      </c>
      <c r="B122">
        <f>IF(I122&lt;=-1,1,IF(I122&lt;=5,2,IF(I122&lt;=15,3,IF(H122&lt;=60,4))))</f>
        <v>3</v>
      </c>
      <c r="C122" t="str">
        <v>FEWP-6726</v>
      </c>
      <c r="D122" t="str">
        <v>WORKPLACE SOLUTIONS GROUP SAS (SPACIO) Alquiler sala de juntas</v>
      </c>
      <c r="E122" s="2">
        <v>227700</v>
      </c>
      <c r="F122" s="1">
        <v>46094</v>
      </c>
      <c r="G122" t="str">
        <v>Cancelado</v>
      </c>
      <c r="H122">
        <f>IF(OR(G122="Sin pagar",G122="Pagar"),NETWORKDAYS($J$99,F122,'Festivos Colombia'!$A$3:$A$22),0)</f>
        <v>0</v>
      </c>
      <c r="I122">
        <f>NETWORKDAYS($J$99,F122,'Festivos Colombia'!$A$3:$A$22)</f>
        <v>10</v>
      </c>
      <c r="J122" s="7">
        <f>H122</f>
        <v>0</v>
      </c>
    </row>
    <row r="123" outlineLevel="1">
      <c r="A123" t="str">
        <f>G123</f>
        <v>Cancelado</v>
      </c>
      <c r="B123">
        <f>IF(I123&lt;=-1,1,IF(I123&lt;=5,2,IF(I123&lt;=15,3,IF(H123&lt;=60,4))))</f>
        <v>3</v>
      </c>
      <c r="C123" t="str">
        <v>FEWP-6740</v>
      </c>
      <c r="D123" t="str">
        <v>WORKPLACE SOLUTIONS GROUP SAS (SPACIO) Alquiler sala de juntas 10 Personas</v>
      </c>
      <c r="E123" s="2">
        <v>399119</v>
      </c>
      <c r="F123" s="1">
        <v>46101</v>
      </c>
      <c r="G123" t="str">
        <v>Cancelado</v>
      </c>
      <c r="H123">
        <f>IF(OR(G123="Sin pagar",G123="Pagar"),NETWORKDAYS($J$99,F123,'Festivos Colombia'!$A$3:$A$22),0)</f>
        <v>0</v>
      </c>
      <c r="I123">
        <f>NETWORKDAYS($J$99,F123,'Festivos Colombia'!$A$3:$A$22)</f>
        <v>15</v>
      </c>
      <c r="J123" s="7">
        <f>H123</f>
        <v>0</v>
      </c>
    </row>
    <row r="124" outlineLevel="1">
      <c r="A124" t="str">
        <f>G124</f>
        <v>Cancelado</v>
      </c>
      <c r="B124">
        <f>IF(I124&lt;=-1,1,IF(I124&lt;=5,2,IF(I124&lt;=15,3,IF(H124&lt;=60,4))))</f>
        <v>3</v>
      </c>
      <c r="C124">
        <v>37</v>
      </c>
      <c r="D124" t="str">
        <v>Dario Mendez</v>
      </c>
      <c r="E124" s="2">
        <v>1100000</v>
      </c>
      <c r="F124" s="1">
        <v>46101</v>
      </c>
      <c r="G124" t="str">
        <v>Cancelado</v>
      </c>
      <c r="H124">
        <f>IF(OR(G124="Sin pagar",G124="Pagar"),NETWORKDAYS($J$99,F124,'Festivos Colombia'!$A$3:$A$22),0)</f>
        <v>0</v>
      </c>
      <c r="I124">
        <f>NETWORKDAYS($J$99,F124,'Festivos Colombia'!$A$3:$A$22)</f>
        <v>15</v>
      </c>
      <c r="J124" s="7">
        <f>H124</f>
        <v>0</v>
      </c>
    </row>
    <row r="125" outlineLevel="1">
      <c r="A125" t="str">
        <f>G125</f>
        <v>Cancelado</v>
      </c>
      <c r="B125">
        <f>IF(I125&lt;=-1,1,IF(I125&lt;=5,2,IF(I125&lt;=15,3,IF(H125&lt;=60,4))))</f>
        <v>3</v>
      </c>
      <c r="C125">
        <v>64</v>
      </c>
      <c r="D125" t="str">
        <v>Rafael Mier (arriendo Bodega para S&amp;P)</v>
      </c>
      <c r="E125" s="2">
        <v>180000</v>
      </c>
      <c r="F125" s="1">
        <v>46101</v>
      </c>
      <c r="G125" t="str">
        <v>Cancelado</v>
      </c>
      <c r="H125">
        <f>IF(OR(G125="Sin pagar",G125="Pagar"),NETWORKDAYS($J$99,F125,'Festivos Colombia'!$A$3:$A$22),0)</f>
        <v>0</v>
      </c>
      <c r="I125">
        <f>NETWORKDAYS($J$99,F125,'Festivos Colombia'!$A$3:$A$22)</f>
        <v>15</v>
      </c>
      <c r="J125" s="7">
        <f>H125</f>
        <v>0</v>
      </c>
    </row>
    <row r="126" outlineLevel="1">
      <c r="A126" t="str">
        <f>G126</f>
        <v>Cancelado</v>
      </c>
      <c r="B126">
        <f>IF(I126&lt;=-1,1,IF(I126&lt;=5,2,IF(I126&lt;=15,3,IF(H126&lt;=60,4))))</f>
        <v>3</v>
      </c>
      <c r="C126" s="4" t="str">
        <v>003 -292523658</v>
      </c>
      <c r="D126" t="str">
        <v>Claro Office 365</v>
      </c>
      <c r="E126" s="2">
        <v>1504416</v>
      </c>
      <c r="F126" s="1">
        <v>46101</v>
      </c>
      <c r="G126" t="str">
        <v>Cancelado</v>
      </c>
      <c r="H126">
        <f>IF(OR(G126="Sin pagar",G126="Pagar"),NETWORKDAYS($J$99,F126,'Festivos Colombia'!$A$3:$A$22),0)</f>
        <v>0</v>
      </c>
      <c r="I126">
        <f>NETWORKDAYS($J$99,F126,'Festivos Colombia'!$A$3:$A$22)</f>
        <v>15</v>
      </c>
      <c r="J126" s="7">
        <f>H126</f>
        <v>0</v>
      </c>
    </row>
    <row r="127" outlineLevel="1">
      <c r="A127" t="str">
        <f>G127</f>
        <v>Cancelado</v>
      </c>
      <c r="B127">
        <f>IF(I127&lt;=-1,1,IF(I127&lt;=5,2,IF(I127&lt;=15,3,IF(H127&lt;=60,4))))</f>
        <v>3</v>
      </c>
      <c r="C127">
        <v>6038761603</v>
      </c>
      <c r="D127" t="str">
        <v>Claro-Telefonia</v>
      </c>
      <c r="E127" s="2">
        <v>810543.9</v>
      </c>
      <c r="F127" s="1">
        <v>46101</v>
      </c>
      <c r="G127" t="str">
        <v>Cancelado</v>
      </c>
      <c r="H127">
        <f>IF(OR(G127="Sin pagar",G127="Pagar"),NETWORKDAYS($J$99,F127,'Festivos Colombia'!$A$3:$A$22),0)</f>
        <v>0</v>
      </c>
      <c r="I127">
        <f>NETWORKDAYS($J$99,F127,'Festivos Colombia'!$A$3:$A$22)</f>
        <v>15</v>
      </c>
      <c r="J127" s="7">
        <f>H127</f>
        <v>0</v>
      </c>
    </row>
    <row r="128" outlineLevel="1">
      <c r="A128" t="str">
        <f>G128</f>
        <v>Cancelado</v>
      </c>
      <c r="B128">
        <f>IF(I128&lt;=-1,1,IF(I128&lt;=5,2,IF(I128&lt;=15,3,IF(H128&lt;=60,4))))</f>
        <v>4</v>
      </c>
      <c r="C128" t="str">
        <v>FEWP-6744</v>
      </c>
      <c r="D128" t="str">
        <v>WORKPLACE SOLUTIONS GROUP SAS (SPACIO) Alquiler sala de juntas</v>
      </c>
      <c r="E128" s="2">
        <v>227700</v>
      </c>
      <c r="F128" s="1">
        <v>46108</v>
      </c>
      <c r="G128" t="str">
        <v>Cancelado</v>
      </c>
      <c r="H128">
        <f>IF(OR(G128="Sin pagar",G128="Pagar"),NETWORKDAYS($J$99,F128,'Festivos Colombia'!$A$3:$A$22),0)</f>
        <v>0</v>
      </c>
      <c r="I128">
        <f>NETWORKDAYS($J$99,F128,'Festivos Colombia'!$A$3:$A$22)</f>
        <v>19</v>
      </c>
      <c r="J128" s="7">
        <f>H128</f>
        <v>0</v>
      </c>
    </row>
    <row r="129" outlineLevel="1">
      <c r="A129" t="str">
        <f>G129</f>
        <v>Cancelado</v>
      </c>
      <c r="B129">
        <f>IF(I129&lt;=-1,1,IF(I129&lt;=5,2,IF(I129&lt;=15,3,IF(H129&lt;=60,4))))</f>
        <v>4</v>
      </c>
      <c r="C129">
        <v>1</v>
      </c>
      <c r="D129" t="str">
        <v>David Alejandro Aguilar Suarez - Custodia de computadores</v>
      </c>
      <c r="E129" s="2">
        <v>300000</v>
      </c>
      <c r="F129" s="1">
        <v>46108</v>
      </c>
      <c r="G129" t="str">
        <v>Cancelado</v>
      </c>
      <c r="H129">
        <f>IF(OR(G129="Sin pagar",G129="Pagar"),NETWORKDAYS($J$99,F129,'Festivos Colombia'!$A$3:$A$22),0)</f>
        <v>0</v>
      </c>
      <c r="I129">
        <f>NETWORKDAYS($J$99,F129,'Festivos Colombia'!$A$3:$A$22)</f>
        <v>19</v>
      </c>
      <c r="J129" s="7">
        <f>H129</f>
        <v>0</v>
      </c>
    </row>
    <row r="130" outlineLevel="1">
      <c r="A130" t="str">
        <f>G130</f>
        <v>Cancelado</v>
      </c>
      <c r="B130">
        <f>IF(I130&lt;=-1,1,IF(I130&lt;=5,2,IF(I130&lt;=15,3,IF(H130&lt;=60,4))))</f>
        <v>4</v>
      </c>
      <c r="C130" s="4" t="str">
        <v>BEC515175284</v>
      </c>
      <c r="D130" t="str">
        <v>Movistar Telefonía</v>
      </c>
      <c r="E130" s="2">
        <v>936519</v>
      </c>
      <c r="F130" s="1">
        <v>46108</v>
      </c>
      <c r="G130" t="str">
        <v>Cancelado</v>
      </c>
      <c r="H130">
        <f>IF(OR(G130="Sin pagar",G130="Pagar"),NETWORKDAYS($J$99,F130,'Festivos Colombia'!$A$3:$A$22),0)</f>
        <v>0</v>
      </c>
      <c r="I130">
        <f>NETWORKDAYS($J$99,F130,'Festivos Colombia'!$A$3:$A$22)</f>
        <v>19</v>
      </c>
      <c r="J130" s="7">
        <f>H130</f>
        <v>0</v>
      </c>
    </row>
    <row r="131" ht="14.25" customHeight="1" outlineLevel="1">
      <c r="A131" t="str">
        <f>G131</f>
        <v>Cancelado</v>
      </c>
      <c r="B131">
        <f>IF(I131&lt;=-1,1,IF(I131&lt;=5,2,IF(I131&lt;=15,3,IF(H131&lt;=60,4))))</f>
        <v>4</v>
      </c>
      <c r="C131" s="4" t="str">
        <v>193</v>
      </c>
      <c r="D131" t="str">
        <v>Caja menor</v>
      </c>
      <c r="E131" s="2">
        <v>66000</v>
      </c>
      <c r="F131" s="1">
        <v>46111</v>
      </c>
      <c r="G131" t="str">
        <v>Cancelado</v>
      </c>
      <c r="H131">
        <f>IF(OR(G131="Sin pagar",G131="Pagar"),NETWORKDAYS($J$99,F131,'Festivos Colombia'!$A$3:$A$22),0)</f>
        <v>0</v>
      </c>
      <c r="I131">
        <f>NETWORKDAYS($J$99,F131,'Festivos Colombia'!$A$3:$A$22)</f>
        <v>20</v>
      </c>
      <c r="J131" s="7">
        <f>H131</f>
        <v>0</v>
      </c>
    </row>
    <row r="132" ht="14.25" customHeight="1" outlineLevel="1">
      <c r="A132" t="str">
        <f>G132</f>
        <v>Cancelado</v>
      </c>
      <c r="B132">
        <f>IF(I132&lt;=-1,1,IF(I132&lt;=5,2,IF(I132&lt;=15,3,IF(H132&lt;=60,4))))</f>
        <v>4</v>
      </c>
      <c r="C132" s="4" t="str">
        <v>014F18743905</v>
      </c>
      <c r="D132" t="str">
        <v>Seguros mundial -Póliza cumplimiento  100016141 Anexo 3. Certificado 130090786</v>
      </c>
      <c r="E132" s="2">
        <v>252011.48</v>
      </c>
      <c r="F132" s="1">
        <v>46118</v>
      </c>
      <c r="G132" t="str">
        <v>Cancelado</v>
      </c>
      <c r="H132">
        <f>IF(OR(G132="Sin pagar",G132="Pagar"),NETWORKDAYS($J$99,F132,'Festivos Colombia'!$A$3:$A$22),0)</f>
        <v>0</v>
      </c>
      <c r="I132">
        <f>NETWORKDAYS($J$99,F132,'Festivos Colombia'!$A$3:$A$22)</f>
        <v>23</v>
      </c>
      <c r="J132" s="7">
        <f>H132</f>
        <v>0</v>
      </c>
    </row>
    <row r="133" outlineLevel="1">
      <c r="A133" t="str">
        <f>G133</f>
        <v>Sin Pagar</v>
      </c>
      <c r="B133">
        <f>IF(I133&lt;=-1,1,IF(I133&lt;=5,2,IF(I133&lt;=15,3,IF(H133&lt;=60,4))))</f>
        <v>4</v>
      </c>
      <c r="C133" t="str">
        <v>FEWP-6810</v>
      </c>
      <c r="D133" t="str">
        <v>WORKPLACE SOLUTIONS GROUP SAS (SPACIO)</v>
      </c>
      <c r="E133" s="2">
        <f>358066.76*0</f>
        <v>0</v>
      </c>
      <c r="F133" s="1">
        <v>46122</v>
      </c>
      <c r="G133" t="str">
        <v>Sin Pagar</v>
      </c>
      <c r="H133">
        <f>IF(OR(G133="Sin pagar",G133="Pagar"),NETWORKDAYS($J$99,F133,'Festivos Colombia'!$A$3:$A$22),0)</f>
        <v>27</v>
      </c>
      <c r="I133">
        <f>NETWORKDAYS($J$99,F133,'Festivos Colombia'!$A$3:$A$22)</f>
        <v>27</v>
      </c>
      <c r="J133" s="7">
        <f>H133</f>
        <v>27</v>
      </c>
    </row>
    <row r="134" outlineLevel="1">
      <c r="A134" t="str">
        <f>G134</f>
        <v>Sin Pagar</v>
      </c>
      <c r="B134">
        <f>IF(I134&lt;=-1,1,IF(I134&lt;=5,2,IF(I134&lt;=15,3,IF(H134&lt;=60,4))))</f>
        <v>4</v>
      </c>
      <c r="C134">
        <v>28184</v>
      </c>
      <c r="D134" t="str">
        <v>Parking remofirst</v>
      </c>
      <c r="E134" s="2">
        <f>634400*0</f>
        <v>0</v>
      </c>
      <c r="F134" s="1">
        <v>46122</v>
      </c>
      <c r="G134" t="str">
        <v>Sin Pagar</v>
      </c>
      <c r="H134">
        <f>IF(OR(G134="Sin pagar",G134="Pagar"),NETWORKDAYS($J$99,F134,'Festivos Colombia'!$A$3:$A$22),0)</f>
        <v>27</v>
      </c>
      <c r="I134">
        <f>NETWORKDAYS($J$99,F134,'Festivos Colombia'!$A$3:$A$22)</f>
        <v>27</v>
      </c>
      <c r="J134" s="7">
        <f>H134</f>
        <v>27</v>
      </c>
    </row>
    <row r="135" outlineLevel="1">
      <c r="A135" t="str">
        <f>G135</f>
        <v>Sin Pagar</v>
      </c>
      <c r="B135">
        <f>IF(I135&lt;=-1,1,IF(I135&lt;=5,2,IF(I135&lt;=15,3,IF(H135&lt;=60,4))))</f>
        <v>4</v>
      </c>
      <c r="C135" s="4" t="str">
        <v>580831444002</v>
      </c>
      <c r="D135" t="str">
        <v>Movistar Office 365</v>
      </c>
      <c r="E135" s="2">
        <f>362715*0</f>
        <v>0</v>
      </c>
      <c r="F135" s="1">
        <v>46123</v>
      </c>
      <c r="G135" t="str">
        <v>Sin Pagar</v>
      </c>
      <c r="H135">
        <f>IF(OR(G135="Sin pagar",G135="Pagar"),NETWORKDAYS($J$99,F135,'Festivos Colombia'!$A$3:$A$22),0)</f>
        <v>27</v>
      </c>
      <c r="I135">
        <f>NETWORKDAYS($J$99,F135,'Festivos Colombia'!$A$3:$A$22)</f>
        <v>27</v>
      </c>
      <c r="J135" s="7">
        <f>H135</f>
        <v>27</v>
      </c>
    </row>
    <row r="136" ht="15.75" customHeight="1" outlineLevel="1">
      <c r="A136" t="str">
        <f>G136</f>
        <v>Sin Pagar</v>
      </c>
      <c r="B136">
        <f>IF(I136&lt;=-1,1,IF(I136&lt;=5,2,IF(I136&lt;=15,3,IF(H136&lt;=60,4))))</f>
        <v>4</v>
      </c>
      <c r="C136" s="4" t="str">
        <v>BEV24903802</v>
      </c>
      <c r="D136" t="str">
        <v>Movistar Office 365- Linea nueva de SG</v>
      </c>
      <c r="E136" s="2">
        <f>110900*0</f>
        <v>0</v>
      </c>
      <c r="F136" s="1">
        <v>46129</v>
      </c>
      <c r="G136" t="str">
        <v>Sin Pagar</v>
      </c>
      <c r="H136">
        <f>IF(OR(G136="Sin pagar",G136="Pagar"),NETWORKDAYS($J$99,F136,'Festivos Colombia'!$A$3:$A$22),0)</f>
        <v>32</v>
      </c>
      <c r="I136">
        <f>NETWORKDAYS($J$99,F136,'Festivos Colombia'!$A$3:$A$22)</f>
        <v>32</v>
      </c>
      <c r="J136" s="7">
        <f>H136</f>
        <v>32</v>
      </c>
    </row>
    <row r="137" ht="16.5" customHeight="1">
      <c r="D137" t="str">
        <v>PLANES COMPLEMENTARIOS Y PREPAGADAS</v>
      </c>
      <c r="E137" s="2">
        <f>SUBTOTAL(9,E138:E139)</f>
        <v>1868879</v>
      </c>
    </row>
    <row r="138" ht="14.25" customHeight="1" outlineLevel="1">
      <c r="A138" t="str">
        <f>G138</f>
        <v>Cancelado</v>
      </c>
      <c r="B138">
        <f>IF(I138&lt;=-1,1,IF(I138&lt;=5,2,IF(I138&lt;=15,3,IF(H138&lt;=60,4))))</f>
        <v>4</v>
      </c>
      <c r="C138" t="str">
        <v>SD01 17795173</v>
      </c>
      <c r="D138" t="str">
        <v>Plan medicina prepagada Eduard Forero</v>
      </c>
      <c r="E138" s="2">
        <v>1064823</v>
      </c>
      <c r="F138" s="1">
        <v>46108</v>
      </c>
      <c r="G138" t="str">
        <v>Cancelado</v>
      </c>
      <c r="H138">
        <f>IF(OR(G138="Sin pagar",G138="Pagar"),NETWORKDAYS($J$99,F138,'Festivos Colombia'!$A$3:$A$22),0)</f>
        <v>0</v>
      </c>
      <c r="I138">
        <f>NETWORKDAYS($J$99,F138,'Festivos Colombia'!$A$3:$A$22)</f>
        <v>19</v>
      </c>
      <c r="J138" s="7">
        <f>H138</f>
        <v>0</v>
      </c>
    </row>
    <row r="139" ht="15.75" customHeight="1" outlineLevel="1">
      <c r="A139" t="str">
        <f>G139</f>
        <v>Cancelado</v>
      </c>
      <c r="B139">
        <f>IF(I139&lt;=-1,1,IF(I139&lt;=5,2,IF(I139&lt;=15,3,IF(H139&lt;=60,4))))</f>
        <v>4</v>
      </c>
      <c r="C139" s="4" t="str">
        <v>219912177994</v>
      </c>
      <c r="D139" t="str">
        <v>Plan complementario Ricardo Arambulo</v>
      </c>
      <c r="E139" s="2">
        <f>804056</f>
        <v>804056</v>
      </c>
      <c r="F139" s="1">
        <v>46108</v>
      </c>
      <c r="G139" t="str">
        <v>Cancelado</v>
      </c>
      <c r="H139">
        <f>IF(OR(G139="Sin pagar",G139="Pagar"),NETWORKDAYS($J$99,F139,'Festivos Colombia'!$A$3:$A$22),0)</f>
        <v>0</v>
      </c>
      <c r="I139">
        <f>NETWORKDAYS($J$99,F139,'Festivos Colombia'!$A$3:$A$22)</f>
        <v>19</v>
      </c>
      <c r="J139" s="7">
        <f>H139</f>
        <v>0</v>
      </c>
      <c r="K139" t="str">
        <v>Sin radicar</v>
      </c>
    </row>
    <row r="140" ht="16.5" customHeight="1">
      <c r="D140" t="str">
        <v>PÓLIZAS Y SEGUROS</v>
      </c>
      <c r="E140" s="2">
        <f>SUBTOTAL(9,E141:E143)</f>
        <v>10622309</v>
      </c>
    </row>
    <row r="141" outlineLevel="1">
      <c r="A141" t="str">
        <f>G141</f>
        <v>Cancelado</v>
      </c>
      <c r="B141">
        <f>IF(I141&lt;=-1,1,IF(I141&lt;=5,2,IF(I141&lt;=15,3,IF(H141&lt;=60,4))))</f>
        <v>3</v>
      </c>
      <c r="C141" s="4" t="str">
        <v xml:space="preserve"> 208333411030</v>
      </c>
      <c r="D141" t="str">
        <v>Poliza Suramericana Póliza #  083004098664</v>
      </c>
      <c r="E141" s="2">
        <f>668368</f>
        <v>668368</v>
      </c>
      <c r="F141" s="1">
        <v>46093</v>
      </c>
      <c r="G141" t="str">
        <v>Cancelado</v>
      </c>
      <c r="H141">
        <f>IF(OR(G141="Sin pagar",G141="Pagar"),NETWORKDAYS($J$99,F141,'Festivos Colombia'!$A$3:$A$22),0)</f>
        <v>0</v>
      </c>
      <c r="I141">
        <f>NETWORKDAYS($J$99,F141,'Festivos Colombia'!$A$3:$A$22)</f>
        <v>9</v>
      </c>
      <c r="J141" s="7">
        <f>H141</f>
        <v>0</v>
      </c>
    </row>
    <row r="142" outlineLevel="1">
      <c r="A142" t="str">
        <f>G142</f>
        <v>Cancelado</v>
      </c>
      <c r="B142">
        <f>IF(I142&lt;=-1,1,IF(I142&lt;=5,2,IF(I142&lt;=15,3,IF(H142&lt;=60,4))))</f>
        <v>3</v>
      </c>
      <c r="C142" s="4" t="str">
        <v>20833429964</v>
      </c>
      <c r="D142" t="str">
        <v>Poliza Suramericana Póliza #  083004098664</v>
      </c>
      <c r="E142" s="2">
        <v>58149</v>
      </c>
      <c r="F142" s="1">
        <v>46093</v>
      </c>
      <c r="G142" t="str">
        <v>Cancelado</v>
      </c>
      <c r="H142">
        <f>IF(OR(G142="Sin pagar",G142="Pagar"),NETWORKDAYS($J$99,F142,'Festivos Colombia'!$A$3:$A$22),0)</f>
        <v>0</v>
      </c>
      <c r="I142">
        <f>NETWORKDAYS($J$99,F142,'Festivos Colombia'!$A$3:$A$22)</f>
        <v>9</v>
      </c>
      <c r="J142" s="7">
        <f>H142</f>
        <v>0</v>
      </c>
    </row>
    <row r="143" ht="15.75" customHeight="1" outlineLevel="1">
      <c r="A143" t="str">
        <f>G143</f>
        <v>Cancelado</v>
      </c>
      <c r="B143">
        <f>IF(I143&lt;=-1,1,IF(I143&lt;=5,2,IF(I143&lt;=15,3,IF(H143&lt;=60,4))))</f>
        <v>4</v>
      </c>
      <c r="C143">
        <v>20911218363</v>
      </c>
      <c r="D143" t="str">
        <v>Poliza Suramericana Póliza #  091000808492</v>
      </c>
      <c r="E143" s="2">
        <f>9895792</f>
        <v>9895792</v>
      </c>
      <c r="F143" s="1">
        <v>46111</v>
      </c>
      <c r="G143" t="str">
        <v>Cancelado</v>
      </c>
      <c r="H143">
        <f>IF(OR(G143="Sin pagar",G143="Pagar"),NETWORKDAYS($J$99,F143,'Festivos Colombia'!$A$3:$A$22),0)</f>
        <v>0</v>
      </c>
      <c r="I143">
        <f>NETWORKDAYS($J$99,F143,'Festivos Colombia'!$A$3:$A$22)</f>
        <v>20</v>
      </c>
      <c r="J143" s="7">
        <f>H143</f>
        <v>0</v>
      </c>
    </row>
    <row r="144" ht="16.5" customHeight="1">
      <c r="D144" t="str">
        <v>SERVICIOS DE MENSAJERÍA</v>
      </c>
      <c r="E144" s="2">
        <f>SUBTOTAL(9,E145:E151)</f>
        <v>758000</v>
      </c>
    </row>
    <row r="145" outlineLevel="1">
      <c r="A145" t="str">
        <f>G145</f>
        <v>Cancelado</v>
      </c>
      <c r="B145">
        <f>IF(I145&lt;=-1,1,IF(I145&lt;=5,2,IF(I145&lt;=15,3,IF(H145&lt;=60,4))))</f>
        <v>2</v>
      </c>
      <c r="C145">
        <v>21</v>
      </c>
      <c r="D145" t="str">
        <v>Mundo express</v>
      </c>
      <c r="E145" s="2">
        <f>78000</f>
        <v>78000</v>
      </c>
      <c r="F145" s="1">
        <v>46087</v>
      </c>
      <c r="G145" t="str">
        <v>Cancelado</v>
      </c>
      <c r="H145">
        <f>IF(OR(G145="Sin pagar",G145="Pagar"),NETWORKDAYS($J$99,F145,'Festivos Colombia'!$A$3:$A$22),0)</f>
        <v>0</v>
      </c>
      <c r="I145">
        <f>NETWORKDAYS($J$99,F145,'Festivos Colombia'!$A$3:$A$22)</f>
        <v>5</v>
      </c>
      <c r="J145" s="7">
        <f>H145</f>
        <v>0</v>
      </c>
    </row>
    <row r="146" outlineLevel="1">
      <c r="A146" t="str">
        <f>G146</f>
        <v>Cancelado</v>
      </c>
      <c r="B146">
        <f>IF(I146&lt;=-1,1,IF(I146&lt;=5,2,IF(I146&lt;=15,3,IF(H146&lt;=60,4))))</f>
        <v>2</v>
      </c>
      <c r="C146">
        <v>61</v>
      </c>
      <c r="D146" t="str">
        <v>Yecid Martin</v>
      </c>
      <c r="E146" s="2">
        <v>39000</v>
      </c>
      <c r="F146" s="1">
        <v>46087</v>
      </c>
      <c r="G146" t="str">
        <v>Cancelado</v>
      </c>
      <c r="H146">
        <f>IF(OR(G146="Sin pagar",G146="Pagar"),NETWORKDAYS($J$99,F146,'Festivos Colombia'!$A$3:$A$22),0)</f>
        <v>0</v>
      </c>
      <c r="I146">
        <f>NETWORKDAYS($J$99,F146,'Festivos Colombia'!$A$3:$A$22)</f>
        <v>5</v>
      </c>
      <c r="J146" s="7">
        <f>H146</f>
        <v>0</v>
      </c>
    </row>
    <row r="147" outlineLevel="1">
      <c r="A147" t="str">
        <f>G147</f>
        <v>Cancelado</v>
      </c>
      <c r="B147">
        <f>IF(I147&lt;=-1,1,IF(I147&lt;=5,2,IF(I147&lt;=15,3,IF(H147&lt;=60,4))))</f>
        <v>3</v>
      </c>
      <c r="C147">
        <v>62</v>
      </c>
      <c r="D147" t="str">
        <v>Yecid Martin</v>
      </c>
      <c r="E147" s="2">
        <v>91000</v>
      </c>
      <c r="F147" s="1">
        <v>46094</v>
      </c>
      <c r="G147" t="str">
        <v>Cancelado</v>
      </c>
      <c r="H147">
        <f>IF(OR(G147="Sin pagar",G147="Pagar"),NETWORKDAYS($J$99,F147,'Festivos Colombia'!$A$3:$A$22),0)</f>
        <v>0</v>
      </c>
      <c r="I147">
        <f>NETWORKDAYS($J$99,F147,'Festivos Colombia'!$A$3:$A$22)</f>
        <v>10</v>
      </c>
      <c r="J147" s="7">
        <f>H147</f>
        <v>0</v>
      </c>
    </row>
    <row r="148" outlineLevel="1">
      <c r="A148" t="str">
        <f>G148</f>
        <v>Cancelado</v>
      </c>
      <c r="B148">
        <f>IF(I148&lt;=-1,1,IF(I148&lt;=5,2,IF(I148&lt;=15,3,IF(H148&lt;=60,4))))</f>
        <v>3</v>
      </c>
      <c r="C148">
        <v>22</v>
      </c>
      <c r="D148" t="str">
        <v>Mundo express</v>
      </c>
      <c r="E148" s="2">
        <v>81000</v>
      </c>
      <c r="F148" s="1">
        <v>46101</v>
      </c>
      <c r="G148" t="str">
        <v>Cancelado</v>
      </c>
      <c r="H148">
        <f>IF(OR(G148="Sin pagar",G148="Pagar"),NETWORKDAYS($J$99,F148,'Festivos Colombia'!$A$3:$A$22),0)</f>
        <v>0</v>
      </c>
      <c r="I148">
        <f>NETWORKDAYS($J$99,F148,'Festivos Colombia'!$A$3:$A$22)</f>
        <v>15</v>
      </c>
      <c r="J148" s="7">
        <f>H148</f>
        <v>0</v>
      </c>
    </row>
    <row r="149" outlineLevel="1">
      <c r="A149" t="str">
        <f>G149</f>
        <v>Cancelado</v>
      </c>
      <c r="B149">
        <f>IF(I149&lt;=-1,1,IF(I149&lt;=5,2,IF(I149&lt;=15,3,IF(H149&lt;=60,4))))</f>
        <v>3</v>
      </c>
      <c r="C149">
        <v>63</v>
      </c>
      <c r="D149" t="str">
        <v>Yecid Martin</v>
      </c>
      <c r="E149" s="2">
        <v>69000</v>
      </c>
      <c r="F149" s="1">
        <v>46101</v>
      </c>
      <c r="G149" t="str">
        <v>Cancelado</v>
      </c>
      <c r="H149">
        <f>IF(OR(G149="Sin pagar",G149="Pagar"),NETWORKDAYS($J$99,F149,'Festivos Colombia'!$A$3:$A$22),0)</f>
        <v>0</v>
      </c>
      <c r="I149">
        <f>NETWORKDAYS($J$99,F149,'Festivos Colombia'!$A$3:$A$22)</f>
        <v>15</v>
      </c>
      <c r="J149" s="7">
        <f>H149</f>
        <v>0</v>
      </c>
    </row>
    <row r="150" outlineLevel="1">
      <c r="A150" t="str">
        <f>G150</f>
        <v>Cancelado</v>
      </c>
      <c r="B150">
        <f>IF(I150&lt;=-1,1,IF(I150&lt;=5,2,IF(I150&lt;=15,3,IF(H150&lt;=60,4))))</f>
        <v>4</v>
      </c>
      <c r="C150">
        <v>64</v>
      </c>
      <c r="D150" t="str">
        <v>Yecid Martin</v>
      </c>
      <c r="E150" s="2">
        <v>301000</v>
      </c>
      <c r="F150" s="1">
        <v>46108</v>
      </c>
      <c r="G150" t="str">
        <v>Cancelado</v>
      </c>
      <c r="H150">
        <f>IF(OR(G150="Sin pagar",G150="Pagar"),NETWORKDAYS($J$99,F150,'Festivos Colombia'!$A$3:$A$22),0)</f>
        <v>0</v>
      </c>
      <c r="I150">
        <f>NETWORKDAYS($J$99,F150,'Festivos Colombia'!$A$3:$A$22)</f>
        <v>19</v>
      </c>
      <c r="J150" s="7">
        <f>H150</f>
        <v>0</v>
      </c>
    </row>
    <row r="151" ht="15.75" customHeight="1" outlineLevel="1">
      <c r="A151" t="str">
        <f>G151</f>
        <v>Cancelado</v>
      </c>
      <c r="B151">
        <f>IF(I151&lt;=-1,1,IF(I151&lt;=5,2,IF(I151&lt;=15,3,IF(H151&lt;=60,4))))</f>
        <v>4</v>
      </c>
      <c r="C151">
        <v>65</v>
      </c>
      <c r="D151" t="str">
        <v>Yecid Martin</v>
      </c>
      <c r="E151" s="2">
        <v>99000</v>
      </c>
      <c r="F151" s="1">
        <v>46112</v>
      </c>
      <c r="G151" t="str">
        <v>Cancelado</v>
      </c>
      <c r="H151">
        <f>IF(OR(G151="Sin pagar",G151="Pagar"),NETWORKDAYS($J$99,F151,'Festivos Colombia'!$A$3:$A$22),0)</f>
        <v>0</v>
      </c>
      <c r="I151">
        <f>NETWORKDAYS($J$99,F151,'Festivos Colombia'!$A$3:$A$22)</f>
        <v>21</v>
      </c>
      <c r="J151" s="7">
        <f>H151</f>
        <v>0</v>
      </c>
    </row>
    <row r="152" ht="15.75" customHeight="1">
      <c r="D152" t="str">
        <v>REEMBOLSO SAIPEM</v>
      </c>
      <c r="E152" s="2">
        <f>SUBTOTAL(9,E153:E153)</f>
        <v>0</v>
      </c>
    </row>
    <row r="153" ht="15.75" customHeight="1" outlineLevel="1">
      <c r="E153" s="2">
        <v>0</v>
      </c>
      <c r="F153" s="1">
        <v>46112</v>
      </c>
      <c r="G153" t="str">
        <v>Cancelado</v>
      </c>
      <c r="H153">
        <f>IF(OR(G153="Sin pagar",G153="Pagar"),NETWORKDAYS($J$99,F153,'Festivos Colombia'!$A$3:$A$22),0)</f>
        <v>0</v>
      </c>
      <c r="I153">
        <f>NETWORKDAYS($J$99,F153,'Festivos Colombia'!$A$3:$A$22)</f>
        <v>21</v>
      </c>
      <c r="J153" s="7">
        <f>H153</f>
        <v>0</v>
      </c>
    </row>
    <row r="154" ht="16.5" customHeight="1">
      <c r="D154" t="str">
        <v>EXAMENES MÉDICOS SAIPEM y OTROS</v>
      </c>
      <c r="E154" s="2">
        <f>SUBTOTAL(9,E155:E155)</f>
        <v>0</v>
      </c>
    </row>
    <row r="155" ht="15.75" customHeight="1" outlineLevel="1">
      <c r="D155" t="str">
        <v>Examenes Previsto - SAIPEM</v>
      </c>
      <c r="E155" s="2">
        <v>0</v>
      </c>
      <c r="F155" s="1">
        <v>46112</v>
      </c>
      <c r="G155" t="str">
        <v>Cancelado</v>
      </c>
      <c r="H155">
        <f>IF(OR(G155="Sin pagar",G155="Pagar"),NETWORKDAYS($J$99,F155,'Festivos Colombia'!$A$3:$A$22),0)</f>
        <v>0</v>
      </c>
      <c r="I155">
        <f>NETWORKDAYS($J$99,F155,'Festivos Colombia'!$A$3:$A$22)</f>
        <v>21</v>
      </c>
      <c r="J155" s="7">
        <f>H155</f>
        <v>0</v>
      </c>
    </row>
    <row r="156" ht="16.5" customHeight="1">
      <c r="D156" t="str">
        <v>TIQUETES AÉREOS , HOTELES SAIPEM-AECID - ROOT CAPITAL</v>
      </c>
      <c r="E156" s="2">
        <f>SUBTOTAL(9,E157:E158)</f>
        <v>2096104</v>
      </c>
    </row>
    <row r="157" outlineLevel="1">
      <c r="D157" t="str">
        <v>Tiquete Cristhian Guapacha Root capital -Bogota pitalito y vsa</v>
      </c>
      <c r="E157" s="2">
        <v>864650</v>
      </c>
      <c r="F157" s="1">
        <v>46090</v>
      </c>
      <c r="G157" t="str">
        <v>Cancelado</v>
      </c>
      <c r="H157">
        <f>IF(OR(G157="Sin pagar",G157="Pagar"),NETWORKDAYS($J$99,F157,'Festivos Colombia'!$A$3:$A$22),0)</f>
        <v>0</v>
      </c>
      <c r="I157">
        <f>NETWORKDAYS($J$99,F157,'Festivos Colombia'!$A$3:$A$22)</f>
        <v>6</v>
      </c>
      <c r="J157" s="7">
        <f>H157</f>
        <v>0</v>
      </c>
    </row>
    <row r="158" ht="15.75" customHeight="1" outlineLevel="1">
      <c r="D158" t="str">
        <v>Tiquetes Capachero Hotel y tiquete Bogota Monteria y VSA Saipem</v>
      </c>
      <c r="E158" s="2">
        <v>1231454</v>
      </c>
      <c r="F158" s="1">
        <v>46093</v>
      </c>
      <c r="G158" t="str">
        <v>Cancelado</v>
      </c>
      <c r="H158">
        <f>IF(OR(G158="Sin pagar",G158="Pagar"),NETWORKDAYS($J$99,F158,'Festivos Colombia'!$A$3:$A$22),0)</f>
        <v>0</v>
      </c>
      <c r="I158">
        <f>NETWORKDAYS($J$99,F158,'Festivos Colombia'!$A$3:$A$22)</f>
        <v>9</v>
      </c>
      <c r="J158" s="7">
        <f>H158</f>
        <v>0</v>
      </c>
    </row>
    <row r="159" ht="16.5" customHeight="1">
      <c r="D159" t="str">
        <v>REEMBOLSOS REMOFIRST-YON YOU-AECID</v>
      </c>
      <c r="E159" s="2">
        <f>SUBTOTAL(9,E160:E179)</f>
        <v>29002421.68</v>
      </c>
    </row>
    <row r="160" outlineLevel="1">
      <c r="A160" t="str">
        <f>G160</f>
        <v>Cancelado</v>
      </c>
      <c r="B160">
        <f>IF(I160&lt;=-1,1,IF(I160&lt;=5,2,IF(I160&lt;=15,3,IF(H160&lt;=60,4))))</f>
        <v>2</v>
      </c>
      <c r="D160" t="str">
        <v>Reembolso Sandra de los Rios comisón 24-25  febrero Guajira  - AECID</v>
      </c>
      <c r="E160" s="2">
        <v>1060011</v>
      </c>
      <c r="F160" s="1">
        <v>46087</v>
      </c>
      <c r="G160" t="str">
        <v>Cancelado</v>
      </c>
      <c r="H160">
        <f>IF(OR(G160="Sin pagar",G160="Pagar"),NETWORKDAYS($J$99,F160,'Festivos Colombia'!$A$3:$A$22),0)</f>
        <v>0</v>
      </c>
      <c r="I160">
        <f>NETWORKDAYS($J$99,F160,'Festivos Colombia'!$A$3:$A$22)</f>
        <v>5</v>
      </c>
      <c r="J160" s="7">
        <f>H160</f>
        <v>0</v>
      </c>
    </row>
    <row r="161" outlineLevel="1">
      <c r="A161" t="str">
        <f>G161</f>
        <v>Cancelado</v>
      </c>
      <c r="B161">
        <f>IF(I161&lt;=-1,1,IF(I161&lt;=5,2,IF(I161&lt;=15,3,IF(H161&lt;=60,4))))</f>
        <v>2</v>
      </c>
      <c r="C161" t="str">
        <v>FPP457805</v>
      </c>
      <c r="D161" t="str">
        <v>Reembolso people pass Sandra Rios comisón 24-25  feb Guajira  - AECID ( Hospedaje)</v>
      </c>
      <c r="E161" s="2">
        <v>147989</v>
      </c>
      <c r="F161" s="1">
        <v>46087</v>
      </c>
      <c r="G161" t="str">
        <v>Cancelado</v>
      </c>
      <c r="H161">
        <f>IF(OR(G161="Sin pagar",G161="Pagar"),NETWORKDAYS($J$99,F161,'Festivos Colombia'!$A$3:$A$22),0)</f>
        <v>0</v>
      </c>
      <c r="I161">
        <f>NETWORKDAYS($J$99,F161,'Festivos Colombia'!$A$3:$A$22)</f>
        <v>5</v>
      </c>
      <c r="J161" s="7">
        <f>H161</f>
        <v>0</v>
      </c>
    </row>
    <row r="162" outlineLevel="1">
      <c r="A162" t="str">
        <f>G162</f>
        <v>Cancelado</v>
      </c>
      <c r="B162">
        <f>IF(I162&lt;=-1,1,IF(I162&lt;=5,2,IF(I162&lt;=15,3,IF(H162&lt;=60,4))))</f>
        <v>3</v>
      </c>
      <c r="C162" t="str">
        <v>FPP457805</v>
      </c>
      <c r="D162" t="str">
        <v xml:space="preserve">Reembolso Mercedes Alvarez comisón 10 al 13  feb Pasto Nariño - AECID </v>
      </c>
      <c r="E162" s="2">
        <v>1482252.41</v>
      </c>
      <c r="F162" s="1">
        <v>46094</v>
      </c>
      <c r="G162" t="str">
        <v>Cancelado</v>
      </c>
      <c r="H162">
        <f>IF(OR(G162="Sin pagar",G162="Pagar"),NETWORKDAYS($J$99,F162,'Festivos Colombia'!$A$3:$A$22),0)</f>
        <v>0</v>
      </c>
      <c r="I162">
        <f>NETWORKDAYS($J$99,F162,'Festivos Colombia'!$A$3:$A$22)</f>
        <v>10</v>
      </c>
      <c r="J162" s="7">
        <f>H162</f>
        <v>0</v>
      </c>
    </row>
    <row r="163" outlineLevel="1">
      <c r="A163" t="str">
        <f>G163</f>
        <v>Cancelado</v>
      </c>
      <c r="B163">
        <f>IF(I163&lt;=-1,1,IF(I163&lt;=5,2,IF(I163&lt;=15,3,IF(H163&lt;=60,4))))</f>
        <v>4</v>
      </c>
      <c r="D163" t="str">
        <v>Reembolso Paula Alejandra Moreno Navarro   - Yon Yuo</v>
      </c>
      <c r="E163" s="2">
        <v>2005655</v>
      </c>
      <c r="F163" s="1">
        <v>46108</v>
      </c>
      <c r="G163" t="str">
        <v>Cancelado</v>
      </c>
      <c r="H163">
        <f>IF(OR(G163="Sin pagar",G163="Pagar"),NETWORKDAYS($J$99,F163,'Festivos Colombia'!$A$3:$A$22),0)</f>
        <v>0</v>
      </c>
      <c r="I163">
        <f>NETWORKDAYS($J$99,F163,'Festivos Colombia'!$A$3:$A$22)</f>
        <v>19</v>
      </c>
      <c r="J163" s="7">
        <f>H163</f>
        <v>0</v>
      </c>
    </row>
    <row r="164" outlineLevel="1">
      <c r="A164" t="str">
        <f>G164</f>
        <v>Cancelado</v>
      </c>
      <c r="B164">
        <f>IF(I164&lt;=-1,1,IF(I164&lt;=5,2,IF(I164&lt;=15,3,IF(H164&lt;=60,4))))</f>
        <v>4</v>
      </c>
      <c r="D164" t="str">
        <v>Reembolso Sonia Rocio Quintanilla Quintero Moreno Navarro   - Yon Yuo</v>
      </c>
      <c r="E164" s="2">
        <v>2750991.27</v>
      </c>
      <c r="F164" s="1">
        <v>46108</v>
      </c>
      <c r="G164" t="str">
        <v>Cancelado</v>
      </c>
      <c r="H164">
        <f>IF(OR(G164="Sin pagar",G164="Pagar"),NETWORKDAYS($J$99,F164,'Festivos Colombia'!$A$3:$A$22),0)</f>
        <v>0</v>
      </c>
      <c r="I164">
        <f>NETWORKDAYS($J$99,F164,'Festivos Colombia'!$A$3:$A$22)</f>
        <v>19</v>
      </c>
      <c r="J164" s="7">
        <f>H164</f>
        <v>0</v>
      </c>
    </row>
    <row r="165" outlineLevel="1">
      <c r="A165" t="str">
        <f>G165</f>
        <v>Cancelado</v>
      </c>
      <c r="B165">
        <f>IF(I165&lt;=-1,1,IF(I165&lt;=5,2,IF(I165&lt;=15,3,IF(H165&lt;=60,4))))</f>
        <v>4</v>
      </c>
      <c r="D165" t="str">
        <v>Reembolso Eduardo Andres Santos Contreras - Yon Yuo</v>
      </c>
      <c r="E165" s="2">
        <v>306000</v>
      </c>
      <c r="F165" s="1">
        <v>46108</v>
      </c>
      <c r="G165" t="str">
        <v>Cancelado</v>
      </c>
      <c r="H165">
        <f>IF(OR(G165="Sin pagar",G165="Pagar"),NETWORKDAYS($J$99,F165,'Festivos Colombia'!$A$3:$A$22),0)</f>
        <v>0</v>
      </c>
      <c r="I165">
        <f>NETWORKDAYS($J$99,F165,'Festivos Colombia'!$A$3:$A$22)</f>
        <v>19</v>
      </c>
      <c r="J165" s="7">
        <f>H165</f>
        <v>0</v>
      </c>
    </row>
    <row r="166" outlineLevel="1">
      <c r="A166" t="str">
        <f>G166</f>
        <v>Cancelado</v>
      </c>
      <c r="B166">
        <f>IF(I166&lt;=-1,1,IF(I166&lt;=5,2,IF(I166&lt;=15,3,IF(H166&lt;=60,4))))</f>
        <v>4</v>
      </c>
      <c r="D166" t="str">
        <v>Reembolso  agudelo durango yessela - 660 - Remofirst - Insigthful</v>
      </c>
      <c r="E166" s="2">
        <v>408753</v>
      </c>
      <c r="F166" s="1">
        <v>46108</v>
      </c>
      <c r="G166" t="str">
        <v>Cancelado</v>
      </c>
      <c r="H166">
        <f>IF(OR(G166="Sin pagar",G166="Pagar"),NETWORKDAYS($J$99,F166,'Festivos Colombia'!$A$3:$A$22),0)</f>
        <v>0</v>
      </c>
      <c r="I166">
        <f>NETWORKDAYS($J$99,F166,'Festivos Colombia'!$A$3:$A$22)</f>
        <v>19</v>
      </c>
      <c r="J166" s="7">
        <f>H166</f>
        <v>0</v>
      </c>
    </row>
    <row r="167" outlineLevel="1">
      <c r="A167" t="str">
        <f>G167</f>
        <v>Cancelado</v>
      </c>
      <c r="B167">
        <f>IF(I167&lt;=-1,1,IF(I167&lt;=5,2,IF(I167&lt;=15,3,IF(H167&lt;=60,4))))</f>
        <v>4</v>
      </c>
      <c r="D167" t="str">
        <v>Reembolso  agudelo magalhaes monica maria - 3787 - Remofirst - Remote Medicine, Inc</v>
      </c>
      <c r="E167" s="2">
        <v>49900</v>
      </c>
      <c r="F167" s="1">
        <v>46108</v>
      </c>
      <c r="G167" t="str">
        <v>Cancelado</v>
      </c>
      <c r="H167">
        <f>IF(OR(G167="Sin pagar",G167="Pagar"),NETWORKDAYS($J$99,F167,'Festivos Colombia'!$A$3:$A$22),0)</f>
        <v>0</v>
      </c>
      <c r="I167">
        <f>NETWORKDAYS($J$99,F167,'Festivos Colombia'!$A$3:$A$22)</f>
        <v>19</v>
      </c>
      <c r="J167" s="7">
        <f>H167</f>
        <v>0</v>
      </c>
    </row>
    <row r="168" outlineLevel="1">
      <c r="A168" t="str">
        <f>G168</f>
        <v>Cancelado</v>
      </c>
      <c r="B168">
        <f>IF(I168&lt;=-1,1,IF(I168&lt;=5,2,IF(I168&lt;=15,3,IF(H168&lt;=60,4))))</f>
        <v>4</v>
      </c>
      <c r="D168" t="str">
        <v>Reembolso  ashook castro luz angela - 629 - Remofirst - Brit Ai Web Solutions Llc</v>
      </c>
      <c r="E168" s="2">
        <v>90000</v>
      </c>
      <c r="F168" s="1">
        <v>46108</v>
      </c>
      <c r="G168" t="str">
        <v>Cancelado</v>
      </c>
      <c r="H168">
        <f>IF(OR(G168="Sin pagar",G168="Pagar"),NETWORKDAYS($J$99,F168,'Festivos Colombia'!$A$3:$A$22),0)</f>
        <v>0</v>
      </c>
      <c r="I168">
        <f>NETWORKDAYS($J$99,F168,'Festivos Colombia'!$A$3:$A$22)</f>
        <v>19</v>
      </c>
      <c r="J168" s="7">
        <f>H168</f>
        <v>0</v>
      </c>
    </row>
    <row r="169" outlineLevel="1">
      <c r="A169" t="str">
        <f>G169</f>
        <v>Cancelado</v>
      </c>
      <c r="B169">
        <f>IF(I169&lt;=-1,1,IF(I169&lt;=5,2,IF(I169&lt;=15,3,IF(H169&lt;=60,4))))</f>
        <v>4</v>
      </c>
      <c r="D169" t="str">
        <v>Reembolso  barreto ruiz jonathan javier - 5888 - Remofirst - Islamic Relief</v>
      </c>
      <c r="E169" s="2">
        <v>1236327</v>
      </c>
      <c r="F169" s="1">
        <v>46108</v>
      </c>
      <c r="G169" t="str">
        <v>Cancelado</v>
      </c>
      <c r="H169">
        <f>IF(OR(G169="Sin pagar",G169="Pagar"),NETWORKDAYS($J$99,F169,'Festivos Colombia'!$A$3:$A$22),0)</f>
        <v>0</v>
      </c>
      <c r="I169">
        <f>NETWORKDAYS($J$99,F169,'Festivos Colombia'!$A$3:$A$22)</f>
        <v>19</v>
      </c>
      <c r="J169" s="7">
        <f>H169</f>
        <v>0</v>
      </c>
    </row>
    <row r="170" outlineLevel="1">
      <c r="A170" t="str">
        <f>G170</f>
        <v>Cancelado</v>
      </c>
      <c r="B170">
        <f>IF(I170&lt;=-1,1,IF(I170&lt;=5,2,IF(I170&lt;=15,3,IF(H170&lt;=60,4))))</f>
        <v>4</v>
      </c>
      <c r="D170" t="str">
        <v>Reembolso  bonil romero sara - 5888 - Remofirst - Islamic Relief</v>
      </c>
      <c r="E170" s="2">
        <v>58300</v>
      </c>
      <c r="F170" s="1">
        <v>46108</v>
      </c>
      <c r="G170" t="str">
        <v>Cancelado</v>
      </c>
      <c r="H170">
        <f>IF(OR(G170="Sin pagar",G170="Pagar"),NETWORKDAYS($J$99,F170,'Festivos Colombia'!$A$3:$A$22),0)</f>
        <v>0</v>
      </c>
      <c r="I170">
        <f>NETWORKDAYS($J$99,F170,'Festivos Colombia'!$A$3:$A$22)</f>
        <v>19</v>
      </c>
      <c r="J170" s="7">
        <f>H170</f>
        <v>0</v>
      </c>
    </row>
    <row r="171" outlineLevel="1">
      <c r="A171" t="str">
        <f>G171</f>
        <v>Cancelado</v>
      </c>
      <c r="B171">
        <f>IF(I171&lt;=-1,1,IF(I171&lt;=5,2,IF(I171&lt;=15,3,IF(H171&lt;=60,4))))</f>
        <v>4</v>
      </c>
      <c r="D171" t="str">
        <v>Reembolso  coyer  nicolas hugues - 3436 - Remofirst - Coop Edgar</v>
      </c>
      <c r="E171" s="2">
        <v>328579</v>
      </c>
      <c r="F171" s="1">
        <v>46108</v>
      </c>
      <c r="G171" t="str">
        <v>Cancelado</v>
      </c>
      <c r="H171">
        <f>IF(OR(G171="Sin pagar",G171="Pagar"),NETWORKDAYS($J$99,F171,'Festivos Colombia'!$A$3:$A$22),0)</f>
        <v>0</v>
      </c>
      <c r="I171">
        <f>NETWORKDAYS($J$99,F171,'Festivos Colombia'!$A$3:$A$22)</f>
        <v>19</v>
      </c>
      <c r="J171" s="7">
        <f>H171</f>
        <v>0</v>
      </c>
    </row>
    <row r="172" outlineLevel="1">
      <c r="A172" t="str">
        <f>G172</f>
        <v>Cancelado</v>
      </c>
      <c r="B172">
        <f>IF(I172&lt;=-1,1,IF(I172&lt;=5,2,IF(I172&lt;=15,3,IF(H172&lt;=60,4))))</f>
        <v>4</v>
      </c>
      <c r="D172" t="str">
        <v>Reembolso  franco mejía lisset cristina - 225 - Remofirst - Prometryx, Inc</v>
      </c>
      <c r="E172" s="2">
        <v>57217</v>
      </c>
      <c r="F172" s="1">
        <v>46108</v>
      </c>
      <c r="G172" t="str">
        <v>Cancelado</v>
      </c>
      <c r="H172">
        <f>IF(OR(G172="Sin pagar",G172="Pagar"),NETWORKDAYS($J$99,F172,'Festivos Colombia'!$A$3:$A$22),0)</f>
        <v>0</v>
      </c>
      <c r="I172">
        <f>NETWORKDAYS($J$99,F172,'Festivos Colombia'!$A$3:$A$22)</f>
        <v>19</v>
      </c>
      <c r="J172" s="7">
        <f>H172</f>
        <v>0</v>
      </c>
    </row>
    <row r="173" outlineLevel="1">
      <c r="A173" t="str">
        <f>G173</f>
        <v>Cancelado</v>
      </c>
      <c r="B173">
        <f>IF(I173&lt;=-1,1,IF(I173&lt;=5,2,IF(I173&lt;=15,3,IF(H173&lt;=60,4))))</f>
        <v>4</v>
      </c>
      <c r="D173" t="str">
        <v>Reembolso  klerlein  mary eleanor - 606 - Remofirst - Spitfire Strategies Llc</v>
      </c>
      <c r="E173" s="2">
        <v>16061003</v>
      </c>
      <c r="F173" s="1">
        <v>46108</v>
      </c>
      <c r="G173" t="str">
        <v>Cancelado</v>
      </c>
      <c r="H173">
        <f>IF(OR(G173="Sin pagar",G173="Pagar"),NETWORKDAYS($J$99,F173,'Festivos Colombia'!$A$3:$A$22),0)</f>
        <v>0</v>
      </c>
      <c r="I173">
        <f>NETWORKDAYS($J$99,F173,'Festivos Colombia'!$A$3:$A$22)</f>
        <v>19</v>
      </c>
      <c r="J173" s="7">
        <f>H173</f>
        <v>0</v>
      </c>
    </row>
    <row r="174" outlineLevel="1">
      <c r="A174" t="str">
        <f>G174</f>
        <v>Cancelado</v>
      </c>
      <c r="B174">
        <f>IF(I174&lt;=-1,1,IF(I174&lt;=5,2,IF(I174&lt;=15,3,IF(H174&lt;=60,4))))</f>
        <v>4</v>
      </c>
      <c r="D174" t="str">
        <v>Reembolso  pabon aranguren maria alejandra - 5888 - Remofirst - Islamic Relief</v>
      </c>
      <c r="E174" s="2">
        <v>505900</v>
      </c>
      <c r="F174" s="1">
        <v>46108</v>
      </c>
      <c r="G174" t="str">
        <v>Cancelado</v>
      </c>
      <c r="H174">
        <f>IF(OR(G174="Sin pagar",G174="Pagar"),NETWORKDAYS($J$99,F174,'Festivos Colombia'!$A$3:$A$22),0)</f>
        <v>0</v>
      </c>
      <c r="I174">
        <f>NETWORKDAYS($J$99,F174,'Festivos Colombia'!$A$3:$A$22)</f>
        <v>19</v>
      </c>
      <c r="J174" s="7">
        <f>H174</f>
        <v>0</v>
      </c>
    </row>
    <row r="175" outlineLevel="1">
      <c r="A175" t="str">
        <f>G175</f>
        <v>Cancelado</v>
      </c>
      <c r="B175">
        <f>IF(I175&lt;=-1,1,IF(I175&lt;=5,2,IF(I175&lt;=15,3,IF(H175&lt;=60,4))))</f>
        <v>4</v>
      </c>
      <c r="D175" t="str">
        <v>Reembolso  rojas navarrete emma soraya - 5888 - Remofirst - Islamic Relief</v>
      </c>
      <c r="E175" s="2">
        <v>67548</v>
      </c>
      <c r="F175" s="1">
        <v>46108</v>
      </c>
      <c r="G175" t="str">
        <v>Cancelado</v>
      </c>
      <c r="H175">
        <f>IF(OR(G175="Sin pagar",G175="Pagar"),NETWORKDAYS($J$99,F175,'Festivos Colombia'!$A$3:$A$22),0)</f>
        <v>0</v>
      </c>
      <c r="I175">
        <f>NETWORKDAYS($J$99,F175,'Festivos Colombia'!$A$3:$A$22)</f>
        <v>19</v>
      </c>
      <c r="J175" s="7">
        <f>H175</f>
        <v>0</v>
      </c>
    </row>
    <row r="176" outlineLevel="1">
      <c r="A176" t="str">
        <f>G176</f>
        <v>Cancelado</v>
      </c>
      <c r="B176">
        <f>IF(I176&lt;=-1,1,IF(I176&lt;=5,2,IF(I176&lt;=15,3,IF(H176&lt;=60,4))))</f>
        <v>4</v>
      </c>
      <c r="D176" t="str">
        <v>Reembolso  saldaña martinez liliana maria - 5888 - Remofirst - Islamic Relief</v>
      </c>
      <c r="E176" s="2">
        <v>66516</v>
      </c>
      <c r="F176" s="1">
        <v>46108</v>
      </c>
      <c r="G176" t="str">
        <v>Cancelado</v>
      </c>
      <c r="H176">
        <f>IF(OR(G176="Sin pagar",G176="Pagar"),NETWORKDAYS($J$99,F176,'Festivos Colombia'!$A$3:$A$22),0)</f>
        <v>0</v>
      </c>
      <c r="I176">
        <f>NETWORKDAYS($J$99,F176,'Festivos Colombia'!$A$3:$A$22)</f>
        <v>19</v>
      </c>
      <c r="J176" s="7">
        <f>H176</f>
        <v>0</v>
      </c>
    </row>
    <row r="177" outlineLevel="1">
      <c r="A177" t="str">
        <f>G177</f>
        <v>Cancelado</v>
      </c>
      <c r="B177">
        <f>IF(I177&lt;=-1,1,IF(I177&lt;=5,2,IF(I177&lt;=15,3,IF(H177&lt;=60,4))))</f>
        <v>4</v>
      </c>
      <c r="D177" t="str">
        <v>Reembolso  varela velasquez guillermo de jesus - 225 - Remofirst - Prometryx, Inc</v>
      </c>
      <c r="E177" s="2">
        <v>2319480</v>
      </c>
      <c r="F177" s="1">
        <v>46108</v>
      </c>
      <c r="G177" t="str">
        <v>Cancelado</v>
      </c>
      <c r="H177">
        <f>IF(OR(G177="Sin pagar",G177="Pagar"),NETWORKDAYS($J$99,F177,'Festivos Colombia'!$A$3:$A$22),0)</f>
        <v>0</v>
      </c>
      <c r="I177">
        <f>NETWORKDAYS($J$99,F177,'Festivos Colombia'!$A$3:$A$22)</f>
        <v>19</v>
      </c>
      <c r="J177" s="7">
        <f>H177</f>
        <v>0</v>
      </c>
    </row>
    <row r="178" outlineLevel="1">
      <c r="A178" t="str">
        <f>G178</f>
        <v>Sin Pagar</v>
      </c>
      <c r="B178">
        <f>IF(I178&lt;=-1,1,IF(I178&lt;=5,2,IF(I178&lt;=15,3,IF(H178&lt;=60,4))))</f>
        <v>4</v>
      </c>
      <c r="D178" t="str">
        <v>Reembolso Mercedes Alvarez Comisión 19 al 21 de febrero 2026-Toribio Cauca - AECID</v>
      </c>
      <c r="E178" s="2">
        <f>430000*0</f>
        <v>0</v>
      </c>
      <c r="F178" s="1">
        <v>46122</v>
      </c>
      <c r="G178" t="str">
        <v>Sin Pagar</v>
      </c>
      <c r="H178">
        <f>IF(OR(G178="Sin pagar",G178="Pagar"),NETWORKDAYS($J$99,F178,'Festivos Colombia'!$A$3:$A$22),0)</f>
        <v>27</v>
      </c>
      <c r="I178">
        <f>NETWORKDAYS($J$99,F178,'Festivos Colombia'!$A$3:$A$22)</f>
        <v>27</v>
      </c>
      <c r="J178" s="7">
        <f>H178</f>
        <v>27</v>
      </c>
    </row>
    <row r="179" ht="15.75" customHeight="1" outlineLevel="1">
      <c r="A179" t="str">
        <f>G179</f>
        <v>Sin Pagar</v>
      </c>
      <c r="B179">
        <f>IF(I179&lt;=-1,1,IF(I179&lt;=5,2,IF(I179&lt;=15,3,IF(H179&lt;=60,4))))</f>
        <v>4</v>
      </c>
      <c r="D179" t="str">
        <v>Reembolso Mercedes Alvarez Comisión 16 al 19 de marzo 2026 - AECID</v>
      </c>
      <c r="E179" s="2">
        <f>2690000*0</f>
        <v>0</v>
      </c>
      <c r="F179" s="1">
        <v>46122</v>
      </c>
      <c r="G179" t="str">
        <v>Sin Pagar</v>
      </c>
      <c r="H179">
        <f>IF(OR(G179="Sin pagar",G179="Pagar"),NETWORKDAYS($J$99,F179,'Festivos Colombia'!$A$3:$A$22),0)</f>
        <v>27</v>
      </c>
      <c r="I179">
        <f>NETWORKDAYS($J$99,F179,'Festivos Colombia'!$A$3:$A$22)</f>
        <v>27</v>
      </c>
      <c r="J179" s="7">
        <f>H179</f>
        <v>27</v>
      </c>
    </row>
    <row r="180" ht="16.5" customHeight="1">
      <c r="D180" t="str">
        <v>REEMBOLSOS INSIDER</v>
      </c>
      <c r="E180" s="2">
        <f>SUBTOTAL(9,E181:E186)</f>
        <v>8287043.970000001</v>
      </c>
    </row>
    <row r="181" outlineLevel="1">
      <c r="A181" t="str">
        <f>G181</f>
        <v>Cancelado</v>
      </c>
      <c r="B181">
        <f>IF(I181&lt;=-1,1,IF(I181&lt;=5,2,IF(I181&lt;=15,3,IF(H181&lt;=60,4))))</f>
        <v>3</v>
      </c>
      <c r="D181" t="str">
        <v>Reembolso  Alejandra  Carrillo Cambas C1029 - Insider</v>
      </c>
      <c r="E181" s="2">
        <v>4246351</v>
      </c>
      <c r="F181" s="1">
        <v>46098</v>
      </c>
      <c r="G181" t="str">
        <v>Cancelado</v>
      </c>
      <c r="H181">
        <f>IF(OR(G181="Sin pagar",G181="Pagar"),NETWORKDAYS($J$99,F181,'Festivos Colombia'!$A$3:$A$22),0)</f>
        <v>0</v>
      </c>
      <c r="I181">
        <f>NETWORKDAYS($J$99,F181,'Festivos Colombia'!$A$3:$A$22)</f>
        <v>12</v>
      </c>
      <c r="J181" s="7">
        <f>H181</f>
        <v>0</v>
      </c>
    </row>
    <row r="182" outlineLevel="1">
      <c r="A182" t="str">
        <f>G182</f>
        <v>Cancelado</v>
      </c>
      <c r="B182">
        <f>IF(I182&lt;=-1,1,IF(I182&lt;=5,2,IF(I182&lt;=15,3,IF(H182&lt;=60,4))))</f>
        <v>3</v>
      </c>
      <c r="D182" t="str">
        <v>Reembolso  Carlos Andres Salamanca Buitrago C1029 - Insider</v>
      </c>
      <c r="E182" s="2">
        <v>1024000</v>
      </c>
      <c r="F182" s="1">
        <v>46098</v>
      </c>
      <c r="G182" t="str">
        <v>Cancelado</v>
      </c>
      <c r="H182">
        <f>IF(OR(G182="Sin pagar",G182="Pagar"),NETWORKDAYS($J$99,F182,'Festivos Colombia'!$A$3:$A$22),0)</f>
        <v>0</v>
      </c>
      <c r="I182">
        <f>NETWORKDAYS($J$99,F182,'Festivos Colombia'!$A$3:$A$22)</f>
        <v>12</v>
      </c>
      <c r="J182" s="7">
        <f>H182</f>
        <v>0</v>
      </c>
    </row>
    <row r="183" outlineLevel="1">
      <c r="A183" t="str">
        <f>G183</f>
        <v>Cancelado</v>
      </c>
      <c r="B183">
        <f>IF(I183&lt;=-1,1,IF(I183&lt;=5,2,IF(I183&lt;=15,3,IF(H183&lt;=60,4))))</f>
        <v>3</v>
      </c>
      <c r="D183" t="str">
        <v>Reembolso  Edgar Felipe Chaves Rodriguez C1029 - Insider</v>
      </c>
      <c r="E183" s="2">
        <v>843033</v>
      </c>
      <c r="F183" s="1">
        <v>46098</v>
      </c>
      <c r="G183" t="str">
        <v>Cancelado</v>
      </c>
      <c r="H183">
        <f>IF(OR(G183="Sin pagar",G183="Pagar"),NETWORKDAYS($J$99,F183,'Festivos Colombia'!$A$3:$A$22),0)</f>
        <v>0</v>
      </c>
      <c r="I183">
        <f>NETWORKDAYS($J$99,F183,'Festivos Colombia'!$A$3:$A$22)</f>
        <v>12</v>
      </c>
      <c r="J183" s="7">
        <f>H183</f>
        <v>0</v>
      </c>
    </row>
    <row r="184" outlineLevel="1">
      <c r="A184" t="str">
        <f>G184</f>
        <v>Cancelado</v>
      </c>
      <c r="B184">
        <f>IF(I184&lt;=-1,1,IF(I184&lt;=5,2,IF(I184&lt;=15,3,IF(H184&lt;=60,4))))</f>
        <v>3</v>
      </c>
      <c r="D184" t="str">
        <v>Reembolso  Jenifer Paola Galindo Villegas C1029 - Insider</v>
      </c>
      <c r="E184" s="2">
        <v>685250.24</v>
      </c>
      <c r="F184" s="1">
        <v>46098</v>
      </c>
      <c r="G184" t="str">
        <v>Cancelado</v>
      </c>
      <c r="H184">
        <f>IF(OR(G184="Sin pagar",G184="Pagar"),NETWORKDAYS($J$99,F184,'Festivos Colombia'!$A$3:$A$22),0)</f>
        <v>0</v>
      </c>
      <c r="I184">
        <f>NETWORKDAYS($J$99,F184,'Festivos Colombia'!$A$3:$A$22)</f>
        <v>12</v>
      </c>
      <c r="J184" s="7">
        <f>H184</f>
        <v>0</v>
      </c>
    </row>
    <row r="185" outlineLevel="1">
      <c r="A185" t="str">
        <f>G185</f>
        <v>Cancelado</v>
      </c>
      <c r="B185">
        <f>IF(I185&lt;=-1,1,IF(I185&lt;=5,2,IF(I185&lt;=15,3,IF(H185&lt;=60,4))))</f>
        <v>3</v>
      </c>
      <c r="D185" t="str">
        <v>Reembolso  Pablo Roberto Pinzon Cabrera C1029 - Insider</v>
      </c>
      <c r="E185" s="2">
        <v>797956.79</v>
      </c>
      <c r="F185" s="1">
        <v>46098</v>
      </c>
      <c r="G185" t="str">
        <v>Cancelado</v>
      </c>
      <c r="H185">
        <f>IF(OR(G185="Sin pagar",G185="Pagar"),NETWORKDAYS($J$99,F185,'Festivos Colombia'!$A$3:$A$22),0)</f>
        <v>0</v>
      </c>
      <c r="I185">
        <f>NETWORKDAYS($J$99,F185,'Festivos Colombia'!$A$3:$A$22)</f>
        <v>12</v>
      </c>
      <c r="J185" s="7">
        <f>H185</f>
        <v>0</v>
      </c>
    </row>
    <row r="186" ht="15.75" customHeight="1" outlineLevel="1">
      <c r="A186" t="str">
        <f>G186</f>
        <v>Cancelado</v>
      </c>
      <c r="B186">
        <f>IF(I186&lt;=-1,1,IF(I186&lt;=5,2,IF(I186&lt;=15,3,IF(H186&lt;=60,4))))</f>
        <v>3</v>
      </c>
      <c r="D186" t="str">
        <v>Reembolso  Silvia  Pardo Sanchez C1029 - Insider</v>
      </c>
      <c r="E186" s="2">
        <v>690452.94</v>
      </c>
      <c r="F186" s="1">
        <v>46098</v>
      </c>
      <c r="G186" t="str">
        <v>Cancelado</v>
      </c>
      <c r="H186">
        <f>IF(OR(G186="Sin pagar",G186="Pagar"),NETWORKDAYS($J$99,F186,'Festivos Colombia'!$A$3:$A$22),0)</f>
        <v>0</v>
      </c>
      <c r="I186">
        <f>NETWORKDAYS($J$99,F186,'Festivos Colombia'!$A$3:$A$22)</f>
        <v>12</v>
      </c>
      <c r="J186" s="7">
        <f>H186</f>
        <v>0</v>
      </c>
    </row>
    <row r="187" ht="15.75" customHeight="1">
      <c r="D187" t="str">
        <v>ASESORÍAS</v>
      </c>
      <c r="E187" s="2">
        <f>SUBTOTAL(9,E188:E218)</f>
        <v>48938386.57222</v>
      </c>
    </row>
    <row r="188" outlineLevel="1">
      <c r="A188" t="str">
        <f>G188</f>
        <v>Cancelado</v>
      </c>
      <c r="B188">
        <f>IF(I188&lt;=-1,1,IF(I188&lt;=5,2,IF(I188&lt;=15,3,IF(H188&lt;=60,4))))</f>
        <v>2</v>
      </c>
      <c r="C188" t="str">
        <v>EMPR62186</v>
      </c>
      <c r="D188" t="str">
        <v>Compensar bienestar a la carta diciembre 2025</v>
      </c>
      <c r="E188" s="2">
        <f>1219000</f>
        <v>1219000</v>
      </c>
      <c r="F188" s="1">
        <v>46087</v>
      </c>
      <c r="G188" t="str">
        <v>Cancelado</v>
      </c>
      <c r="H188">
        <f>IF(OR(G188="Sin pagar",G188="Pagar"),NETWORKDAYS($J$99,F188,'Festivos Colombia'!$A$3:$A$22),0)</f>
        <v>0</v>
      </c>
      <c r="I188">
        <f>NETWORKDAYS($J$99,F188,'Festivos Colombia'!$A$3:$A$22)</f>
        <v>5</v>
      </c>
      <c r="J188" s="7">
        <f>H188</f>
        <v>0</v>
      </c>
    </row>
    <row r="189" ht="13.5" customHeight="1" outlineLevel="1">
      <c r="A189" t="str">
        <f>G189</f>
        <v>Cancelado</v>
      </c>
      <c r="B189">
        <f>IF(I189&lt;=-1,1,IF(I189&lt;=5,2,IF(I189&lt;=15,3,IF(H189&lt;=60,4))))</f>
        <v>2</v>
      </c>
      <c r="C189" t="str">
        <v>BPA 6759</v>
      </c>
      <c r="D189" t="str">
        <v>Barrera Palacios</v>
      </c>
      <c r="E189" s="2">
        <f>1723309.31</f>
        <v>1723309.31</v>
      </c>
      <c r="F189" s="1">
        <v>46087</v>
      </c>
      <c r="G189" t="str">
        <v>Cancelado</v>
      </c>
      <c r="H189">
        <f>IF(OR(G189="Sin pagar",G189="Pagar"),NETWORKDAYS($J$99,F189,'Festivos Colombia'!$A$3:$A$22),0)</f>
        <v>0</v>
      </c>
      <c r="I189">
        <f>NETWORKDAYS($J$99,F189,'Festivos Colombia'!$A$3:$A$22)</f>
        <v>5</v>
      </c>
      <c r="J189" s="7">
        <f>H189</f>
        <v>0</v>
      </c>
    </row>
    <row r="190" ht="14.25" customHeight="1" outlineLevel="1">
      <c r="A190" t="str">
        <f>G190</f>
        <v>Cancelado</v>
      </c>
      <c r="B190">
        <f>IF(I190&lt;=-1,1,IF(I190&lt;=5,2,IF(I190&lt;=15,3,IF(H190&lt;=60,4))))</f>
        <v>2</v>
      </c>
      <c r="C190" t="str">
        <v>FEV-1-96</v>
      </c>
      <c r="D190" t="str">
        <v>Yoana Forero Servicios profesionales -Costa Rica</v>
      </c>
      <c r="E190" s="2">
        <f>774025.2</f>
        <v>774025.2</v>
      </c>
      <c r="F190" s="1">
        <v>46087</v>
      </c>
      <c r="G190" t="str">
        <v>Cancelado</v>
      </c>
      <c r="H190">
        <f>IF(OR(G190="Sin pagar",G190="Pagar"),NETWORKDAYS($J$99,F190,'Festivos Colombia'!$A$3:$A$22),0)</f>
        <v>0</v>
      </c>
      <c r="I190">
        <f>NETWORKDAYS($J$99,F190,'Festivos Colombia'!$A$3:$A$22)</f>
        <v>5</v>
      </c>
      <c r="J190" s="7">
        <f>H190</f>
        <v>0</v>
      </c>
    </row>
    <row r="191" outlineLevel="1">
      <c r="A191" t="str">
        <f>G191</f>
        <v>Cancelado</v>
      </c>
      <c r="B191">
        <f>IF(I191&lt;=-1,1,IF(I191&lt;=5,2,IF(I191&lt;=15,3,IF(H191&lt;=60,4))))</f>
        <v>2</v>
      </c>
      <c r="C191" t="str">
        <v>FENI-11655</v>
      </c>
      <c r="D191" t="str">
        <v>Nixcom Servicio técnico mensual</v>
      </c>
      <c r="E191" s="2">
        <v>1307380.42422</v>
      </c>
      <c r="F191" s="1">
        <v>46087</v>
      </c>
      <c r="G191" t="str">
        <v>Cancelado</v>
      </c>
      <c r="H191">
        <f>IF(OR(G191="Sin pagar",G191="Pagar"),NETWORKDAYS($J$99,F191,'Festivos Colombia'!$A$3:$A$22),0)</f>
        <v>0</v>
      </c>
      <c r="I191">
        <f>NETWORKDAYS($J$99,F191,'Festivos Colombia'!$A$3:$A$22)</f>
        <v>5</v>
      </c>
      <c r="J191" s="7">
        <f>H191</f>
        <v>0</v>
      </c>
    </row>
    <row r="192" outlineLevel="1">
      <c r="A192" t="str">
        <f>G192</f>
        <v>Cancelado</v>
      </c>
      <c r="B192">
        <f>IF(I192&lt;=-1,1,IF(I192&lt;=5,2,IF(I192&lt;=15,3,IF(H192&lt;=60,4))))</f>
        <v>2</v>
      </c>
      <c r="C192" t="str">
        <v>FENI-11656</v>
      </c>
      <c r="D192" t="str">
        <v>Nixcom Servicio técnico mensual-Sporte gestion de inventarios mes febrero 2026</v>
      </c>
      <c r="E192" s="2">
        <v>798238</v>
      </c>
      <c r="F192" s="1">
        <v>46087</v>
      </c>
      <c r="G192" t="str">
        <v>Cancelado</v>
      </c>
      <c r="H192">
        <f>IF(OR(G192="Sin pagar",G192="Pagar"),NETWORKDAYS($J$99,F192,'Festivos Colombia'!$A$3:$A$22),0)</f>
        <v>0</v>
      </c>
      <c r="I192">
        <f>NETWORKDAYS($J$99,F192,'Festivos Colombia'!$A$3:$A$22)</f>
        <v>5</v>
      </c>
      <c r="J192" s="7">
        <f>H192</f>
        <v>0</v>
      </c>
    </row>
    <row r="193" outlineLevel="1">
      <c r="A193" t="str">
        <f>G193</f>
        <v>Cancelado</v>
      </c>
      <c r="B193">
        <f>IF(I193&lt;=-1,1,IF(I193&lt;=5,2,IF(I193&lt;=15,3,IF(H193&lt;=60,4))))</f>
        <v>3</v>
      </c>
      <c r="C193" t="str">
        <v>EMPR63655</v>
      </c>
      <c r="D193" t="str">
        <v>Compensar bienestar a la carta Enero 2026</v>
      </c>
      <c r="E193" s="2">
        <v>98700</v>
      </c>
      <c r="F193" s="1">
        <v>46094</v>
      </c>
      <c r="G193" t="str">
        <v>Cancelado</v>
      </c>
      <c r="H193">
        <f>IF(OR(G193="Sin pagar",G193="Pagar"),NETWORKDAYS($J$99,F193,'Festivos Colombia'!$A$3:$A$22),0)</f>
        <v>0</v>
      </c>
      <c r="I193">
        <f>NETWORKDAYS($J$99,F193,'Festivos Colombia'!$A$3:$A$22)</f>
        <v>10</v>
      </c>
      <c r="J193" s="7">
        <f>H193</f>
        <v>0</v>
      </c>
    </row>
    <row r="194" outlineLevel="1">
      <c r="A194" t="str">
        <f>G194</f>
        <v>Cancelado</v>
      </c>
      <c r="B194">
        <f>IF(I194&lt;=-1,1,IF(I194&lt;=5,2,IF(I194&lt;=15,3,IF(H194&lt;=60,4))))</f>
        <v>3</v>
      </c>
      <c r="C194" t="str">
        <v>EACB199</v>
      </c>
      <c r="D194" t="str">
        <v>CBP Consultoria - Servicio de mercadeo oautal digital enero 2026</v>
      </c>
      <c r="E194" s="2">
        <v>1607010</v>
      </c>
      <c r="F194" s="1">
        <v>46094</v>
      </c>
      <c r="G194" t="str">
        <v>Cancelado</v>
      </c>
      <c r="H194">
        <f>IF(OR(G194="Sin pagar",G194="Pagar"),NETWORKDAYS($J$99,F194,'Festivos Colombia'!$A$3:$A$22),0)</f>
        <v>0</v>
      </c>
      <c r="I194">
        <f>NETWORKDAYS($J$99,F194,'Festivos Colombia'!$A$3:$A$22)</f>
        <v>10</v>
      </c>
      <c r="J194" s="7">
        <f>H194</f>
        <v>0</v>
      </c>
    </row>
    <row r="195" outlineLevel="1">
      <c r="A195" t="str">
        <f>G195</f>
        <v>Cancelado</v>
      </c>
      <c r="B195">
        <f>IF(I195&lt;=-1,1,IF(I195&lt;=5,2,IF(I195&lt;=15,3,IF(H195&lt;=60,4))))</f>
        <v>3</v>
      </c>
      <c r="C195" t="str">
        <v>EACB108</v>
      </c>
      <c r="D195" t="str">
        <v>CBP Consultoria - Servicio de mercadeo oautal digital febrero 2026</v>
      </c>
      <c r="E195" s="2">
        <v>1607010</v>
      </c>
      <c r="F195" s="1">
        <v>46094</v>
      </c>
      <c r="G195" t="str">
        <v>Cancelado</v>
      </c>
      <c r="H195">
        <f>IF(OR(G195="Sin pagar",G195="Pagar"),NETWORKDAYS($J$99,F195,'Festivos Colombia'!$A$3:$A$22),0)</f>
        <v>0</v>
      </c>
      <c r="I195">
        <f>NETWORKDAYS($J$99,F195,'Festivos Colombia'!$A$3:$A$22)</f>
        <v>10</v>
      </c>
      <c r="J195" s="7">
        <f>H195</f>
        <v>0</v>
      </c>
    </row>
    <row r="196" outlineLevel="1">
      <c r="A196" t="str">
        <f>G196</f>
        <v>Cancelado</v>
      </c>
      <c r="B196">
        <f>IF(I196&lt;=-1,1,IF(I196&lt;=5,2,IF(I196&lt;=15,3,IF(H196&lt;=60,4))))</f>
        <v>3</v>
      </c>
      <c r="C196" t="str">
        <v>FEV 3379</v>
      </c>
      <c r="D196" t="str">
        <v>THT Talent Systems -Venta de pruebas online plan 220 Detal informes</v>
      </c>
      <c r="E196" s="2">
        <v>1449600.208</v>
      </c>
      <c r="F196" s="1">
        <v>46094</v>
      </c>
      <c r="G196" t="str">
        <v>Cancelado</v>
      </c>
      <c r="H196">
        <f>IF(OR(G196="Sin pagar",G196="Pagar"),NETWORKDAYS($J$99,F196,'Festivos Colombia'!$A$3:$A$22),0)</f>
        <v>0</v>
      </c>
      <c r="I196">
        <f>NETWORKDAYS($J$99,F196,'Festivos Colombia'!$A$3:$A$22)</f>
        <v>10</v>
      </c>
      <c r="J196" s="7">
        <f>H196</f>
        <v>0</v>
      </c>
    </row>
    <row r="197" outlineLevel="1">
      <c r="A197" t="str">
        <f>G197</f>
        <v>Cancelado</v>
      </c>
      <c r="B197">
        <f>IF(I197&lt;=-1,1,IF(I197&lt;=5,2,IF(I197&lt;=15,3,IF(H197&lt;=60,4))))</f>
        <v>3</v>
      </c>
      <c r="C197" t="str">
        <v>FE -77</v>
      </c>
      <c r="D197" t="str">
        <v>Ibrand Marketing SAS-Servicios agencia II</v>
      </c>
      <c r="E197" s="2">
        <v>4413700</v>
      </c>
      <c r="F197" s="1">
        <v>46094</v>
      </c>
      <c r="G197" t="str">
        <v>Cancelado</v>
      </c>
      <c r="H197">
        <f>IF(OR(G197="Sin pagar",G197="Pagar"),NETWORKDAYS($J$99,F197,'Festivos Colombia'!$A$3:$A$22),0)</f>
        <v>0</v>
      </c>
      <c r="I197">
        <f>NETWORKDAYS($J$99,F197,'Festivos Colombia'!$A$3:$A$22)</f>
        <v>10</v>
      </c>
      <c r="J197" s="7">
        <f>H197</f>
        <v>0</v>
      </c>
    </row>
    <row r="198" outlineLevel="1">
      <c r="A198" t="str">
        <f>G198</f>
        <v>Cancelado</v>
      </c>
      <c r="B198">
        <f>IF(I198&lt;=-1,1,IF(I198&lt;=5,2,IF(I198&lt;=15,3,IF(H198&lt;=60,4))))</f>
        <v>3</v>
      </c>
      <c r="C198">
        <v>27</v>
      </c>
      <c r="D198" t="str">
        <v xml:space="preserve">Edward Felipe Forero Osorio </v>
      </c>
      <c r="E198" s="2">
        <v>1489471.36</v>
      </c>
      <c r="F198" s="1">
        <v>46101</v>
      </c>
      <c r="G198" t="str">
        <v>Cancelado</v>
      </c>
      <c r="H198">
        <f>IF(OR(G198="Sin pagar",G198="Pagar"),NETWORKDAYS($J$99,F198,'Festivos Colombia'!$A$3:$A$22),0)</f>
        <v>0</v>
      </c>
      <c r="I198">
        <f>NETWORKDAYS($J$99,F198,'Festivos Colombia'!$A$3:$A$22)</f>
        <v>15</v>
      </c>
      <c r="J198" s="7">
        <f>H198</f>
        <v>0</v>
      </c>
    </row>
    <row r="199" outlineLevel="1">
      <c r="A199" t="str">
        <f>G199</f>
        <v>Cancelado</v>
      </c>
      <c r="B199">
        <f>IF(I199&lt;=-1,1,IF(I199&lt;=5,2,IF(I199&lt;=15,3,IF(H199&lt;=60,4))))</f>
        <v>3</v>
      </c>
      <c r="C199">
        <v>18</v>
      </c>
      <c r="D199" t="str">
        <v xml:space="preserve">Sara Forero Osorio </v>
      </c>
      <c r="E199" s="2">
        <v>1489471.36</v>
      </c>
      <c r="F199" s="1">
        <v>46101</v>
      </c>
      <c r="G199" t="str">
        <v>Cancelado</v>
      </c>
      <c r="H199">
        <f>IF(OR(G199="Sin pagar",G199="Pagar"),NETWORKDAYS($J$99,F199,'Festivos Colombia'!$A$3:$A$22),0)</f>
        <v>0</v>
      </c>
      <c r="I199">
        <f>NETWORKDAYS($J$99,F199,'Festivos Colombia'!$A$3:$A$22)</f>
        <v>15</v>
      </c>
      <c r="J199" s="7">
        <f>H199</f>
        <v>0</v>
      </c>
    </row>
    <row r="200" outlineLevel="1">
      <c r="A200" t="str">
        <f>G200</f>
        <v>Cancelado</v>
      </c>
      <c r="B200">
        <f>IF(I200&lt;=-1,1,IF(I200&lt;=5,2,IF(I200&lt;=15,3,IF(H200&lt;=60,4))))</f>
        <v>3</v>
      </c>
      <c r="C200" t="str">
        <v>CLOA105248909</v>
      </c>
      <c r="D200" t="str">
        <v>Carvajal</v>
      </c>
      <c r="E200" s="2">
        <f>77395</f>
        <v>77395</v>
      </c>
      <c r="F200" s="1">
        <v>46101</v>
      </c>
      <c r="G200" t="str">
        <v>Cancelado</v>
      </c>
      <c r="H200">
        <f>IF(OR(G200="Sin pagar",G200="Pagar"),NETWORKDAYS($J$99,F200,'Festivos Colombia'!$A$3:$A$22),0)</f>
        <v>0</v>
      </c>
      <c r="I200">
        <f>NETWORKDAYS($J$99,F200,'Festivos Colombia'!$A$3:$A$22)</f>
        <v>15</v>
      </c>
      <c r="J200" s="7">
        <f>H200</f>
        <v>0</v>
      </c>
    </row>
    <row r="201" outlineLevel="1">
      <c r="A201" t="str">
        <f>G201</f>
        <v>Cancelado</v>
      </c>
      <c r="B201">
        <f>IF(I201&lt;=-1,1,IF(I201&lt;=5,2,IF(I201&lt;=15,3,IF(H201&lt;=60,4))))</f>
        <v>3</v>
      </c>
      <c r="C201">
        <v>260301</v>
      </c>
      <c r="D201" t="str">
        <v xml:space="preserve">Analia Lorena Di Nicola </v>
      </c>
      <c r="E201" s="2">
        <v>475363.2</v>
      </c>
      <c r="F201" s="1">
        <v>46101</v>
      </c>
      <c r="G201" t="str">
        <v>Cancelado</v>
      </c>
      <c r="H201">
        <f>IF(OR(G201="Sin pagar",G201="Pagar"),NETWORKDAYS($J$99,F201,'Festivos Colombia'!$A$3:$A$22),0)</f>
        <v>0</v>
      </c>
      <c r="I201">
        <f>NETWORKDAYS($J$99,F201,'Festivos Colombia'!$A$3:$A$22)</f>
        <v>15</v>
      </c>
      <c r="J201" s="7">
        <f>H201</f>
        <v>0</v>
      </c>
    </row>
    <row r="202" ht="14.25" customHeight="1" outlineLevel="1">
      <c r="A202" t="str">
        <f>G202</f>
        <v>Cancelado</v>
      </c>
      <c r="B202">
        <f>IF(I202&lt;=-1,1,IF(I202&lt;=5,2,IF(I202&lt;=15,3,IF(H202&lt;=60,4))))</f>
        <v>3</v>
      </c>
      <c r="C202">
        <v>10</v>
      </c>
      <c r="D202" t="str">
        <v>Sebastían Romero Espitia</v>
      </c>
      <c r="E202" s="2">
        <v>340000</v>
      </c>
      <c r="F202" s="1">
        <v>46101</v>
      </c>
      <c r="G202" t="str">
        <v>Cancelado</v>
      </c>
      <c r="H202">
        <f>IF(OR(G202="Sin pagar",G202="Pagar"),NETWORKDAYS($J$99,F202,'Festivos Colombia'!$A$3:$A$22),0)</f>
        <v>0</v>
      </c>
      <c r="I202">
        <f>NETWORKDAYS($J$99,F202,'Festivos Colombia'!$A$3:$A$22)</f>
        <v>15</v>
      </c>
      <c r="J202" s="7">
        <f>H202</f>
        <v>0</v>
      </c>
    </row>
    <row r="203" ht="16.5" customHeight="1" outlineLevel="1">
      <c r="A203" t="str">
        <f>G203</f>
        <v>Cancelado</v>
      </c>
      <c r="B203">
        <f>IF(I203&lt;=-1,1,IF(I203&lt;=5,2,IF(I203&lt;=15,3,IF(H203&lt;=60,4))))</f>
        <v>3</v>
      </c>
      <c r="C203" s="4" t="str">
        <v>02-26</v>
      </c>
      <c r="D203" t="str">
        <v>Yadira Pineda- servicios Diciembre  y mensajeria service Panamá -Pago por Panamá</v>
      </c>
      <c r="E203" s="2">
        <f>600*0</f>
        <v>0</v>
      </c>
      <c r="F203" s="1">
        <v>46101</v>
      </c>
      <c r="G203" t="str">
        <v>Cancelado</v>
      </c>
      <c r="H203">
        <f>IF(OR(G203="Sin pagar",G203="Pagar"),NETWORKDAYS($J$99,F203,'Festivos Colombia'!$A$3:$A$22),0)</f>
        <v>0</v>
      </c>
      <c r="I203">
        <f>NETWORKDAYS($J$99,F203,'Festivos Colombia'!$A$3:$A$22)</f>
        <v>15</v>
      </c>
      <c r="J203" s="7">
        <f>H203</f>
        <v>0</v>
      </c>
      <c r="K203">
        <v>0</v>
      </c>
    </row>
    <row r="204" outlineLevel="1">
      <c r="A204" t="str">
        <f>G204</f>
        <v>Cancelado</v>
      </c>
      <c r="B204">
        <f>IF(I204&lt;=-1,1,IF(I204&lt;=5,2,IF(I204&lt;=15,3,IF(H204&lt;=60,4))))</f>
        <v>4</v>
      </c>
      <c r="C204">
        <v>9</v>
      </c>
      <c r="D204" t="str">
        <v>José Joaquín Salcedo Duran ( Consultoria en seguridad información)</v>
      </c>
      <c r="E204" s="2">
        <f>3100000</f>
        <v>3100000</v>
      </c>
      <c r="F204" s="1">
        <v>46108</v>
      </c>
      <c r="G204" t="str">
        <v>Cancelado</v>
      </c>
      <c r="H204">
        <f>IF(OR(G204="Sin pagar",G204="Pagar"),NETWORKDAYS($J$99,F204,'Festivos Colombia'!$A$3:$A$22),0)</f>
        <v>0</v>
      </c>
      <c r="I204">
        <f>NETWORKDAYS($J$99,F204,'Festivos Colombia'!$A$3:$A$22)</f>
        <v>19</v>
      </c>
      <c r="J204" s="7">
        <f>H204</f>
        <v>0</v>
      </c>
    </row>
    <row r="205" outlineLevel="1">
      <c r="A205" t="str">
        <f>G205</f>
        <v>Cancelado</v>
      </c>
      <c r="B205">
        <f>IF(I205&lt;=-1,1,IF(I205&lt;=5,2,IF(I205&lt;=15,3,IF(H205&lt;=60,4))))</f>
        <v>4</v>
      </c>
      <c r="C205" t="str">
        <v>2026-003</v>
      </c>
      <c r="D205" t="str">
        <v xml:space="preserve">Pedro Pablo oviedo Cutiva- Cuenta Ricardo Arambulo </v>
      </c>
      <c r="E205" s="2">
        <v>1438893</v>
      </c>
      <c r="F205" s="1">
        <v>46108</v>
      </c>
      <c r="G205" t="str">
        <v>Cancelado</v>
      </c>
      <c r="H205">
        <f>IF(OR(G205="Sin pagar",G205="Pagar"),NETWORKDAYS($J$99,F205,'Festivos Colombia'!$A$3:$A$22),0)</f>
        <v>0</v>
      </c>
      <c r="I205">
        <f>NETWORKDAYS($J$99,F205,'Festivos Colombia'!$A$3:$A$22)</f>
        <v>19</v>
      </c>
      <c r="J205" s="7">
        <f>H205</f>
        <v>0</v>
      </c>
    </row>
    <row r="206" outlineLevel="1">
      <c r="A206" t="str">
        <f>G206</f>
        <v>Cancelado</v>
      </c>
      <c r="B206">
        <f>IF(I206&lt;=-1,1,IF(I206&lt;=5,2,IF(I206&lt;=15,3,IF(H206&lt;=60,4))))</f>
        <v>4</v>
      </c>
      <c r="C206" t="str">
        <v>2026-001</v>
      </c>
      <c r="D206" t="str">
        <v>Edgar Arambulo Rojas- Cuenta Ricardo Arambulo -Incapcidades</v>
      </c>
      <c r="E206" s="2">
        <v>4332737.5</v>
      </c>
      <c r="F206" s="1">
        <v>46108</v>
      </c>
      <c r="G206" t="str">
        <v>Cancelado</v>
      </c>
      <c r="H206">
        <f>IF(OR(G206="Sin pagar",G206="Pagar"),NETWORKDAYS($J$99,F206,'Festivos Colombia'!$A$3:$A$22),0)</f>
        <v>0</v>
      </c>
      <c r="I206">
        <f>NETWORKDAYS($J$99,F206,'Festivos Colombia'!$A$3:$A$22)</f>
        <v>19</v>
      </c>
      <c r="J206" s="7">
        <f>H206</f>
        <v>0</v>
      </c>
    </row>
    <row r="207" outlineLevel="1">
      <c r="A207" t="str">
        <f>G207</f>
        <v>Cancelado</v>
      </c>
      <c r="B207">
        <f>IF(I207&lt;=-1,1,IF(I207&lt;=5,2,IF(I207&lt;=15,3,IF(H207&lt;=60,4))))</f>
        <v>4</v>
      </c>
      <c r="C207" t="str">
        <v>2026-002</v>
      </c>
      <c r="D207" t="str">
        <v>Edgar Arambulo Rojas- Cuenta Ricardo Arambulo -Incapcidades</v>
      </c>
      <c r="E207" s="2">
        <v>4332737.5</v>
      </c>
      <c r="F207" s="1">
        <v>46108</v>
      </c>
      <c r="G207" t="str">
        <v>Cancelado</v>
      </c>
      <c r="H207">
        <f>IF(OR(G207="Sin pagar",G207="Pagar"),NETWORKDAYS($J$99,F207,'Festivos Colombia'!$A$3:$A$22),0)</f>
        <v>0</v>
      </c>
      <c r="I207">
        <f>NETWORKDAYS($J$99,F207,'Festivos Colombia'!$A$3:$A$22)</f>
        <v>19</v>
      </c>
      <c r="J207" s="7">
        <f>H207</f>
        <v>0</v>
      </c>
    </row>
    <row r="208" ht="14.25" customHeight="1" outlineLevel="1">
      <c r="A208" t="str">
        <f>G208</f>
        <v>Cancelado</v>
      </c>
      <c r="B208">
        <f>IF(I208&lt;=-1,1,IF(I208&lt;=5,2,IF(I208&lt;=15,3,IF(H208&lt;=60,4))))</f>
        <v>4</v>
      </c>
      <c r="C208" t="str">
        <v>FEV-1-97</v>
      </c>
      <c r="D208" t="str">
        <v>Yoana Forero Servicios profesionales -Costa Rica</v>
      </c>
      <c r="E208" s="2">
        <f>774025.2</f>
        <v>774025.2</v>
      </c>
      <c r="F208" s="1">
        <v>46111</v>
      </c>
      <c r="G208" t="str">
        <v>Cancelado</v>
      </c>
      <c r="H208">
        <f>IF(OR(G208="Sin pagar",G208="Pagar"),NETWORKDAYS($J$99,F208,'Festivos Colombia'!$A$3:$A$22),0)</f>
        <v>0</v>
      </c>
      <c r="I208">
        <f>NETWORKDAYS($J$99,F208,'Festivos Colombia'!$A$3:$A$22)</f>
        <v>20</v>
      </c>
      <c r="J208" s="7">
        <f>H208</f>
        <v>0</v>
      </c>
    </row>
    <row r="209" outlineLevel="1">
      <c r="A209" t="str">
        <f>G209</f>
        <v>Cancelado</v>
      </c>
      <c r="B209">
        <f>IF(I209&lt;=-1,1,IF(I209&lt;=5,2,IF(I209&lt;=15,3,IF(H209&lt;=60,4))))</f>
        <v>4</v>
      </c>
      <c r="C209" t="str">
        <v>FE 40</v>
      </c>
      <c r="D209" t="str">
        <v>Gomez Rodriguez &amp; Associados Revisoria fiscal- Febrero</v>
      </c>
      <c r="E209" s="2">
        <v>1877565</v>
      </c>
      <c r="F209" s="1">
        <v>46112</v>
      </c>
      <c r="G209" t="str">
        <v>Cancelado</v>
      </c>
      <c r="H209">
        <f>IF(OR(G209="Sin pagar",G209="Pagar"),NETWORKDAYS($J$99,F209,'Festivos Colombia'!$A$3:$A$22),0)</f>
        <v>0</v>
      </c>
      <c r="I209">
        <f>NETWORKDAYS($J$99,F209,'Festivos Colombia'!$A$3:$A$22)</f>
        <v>21</v>
      </c>
      <c r="J209" s="7">
        <f>H209</f>
        <v>0</v>
      </c>
    </row>
    <row r="210" outlineLevel="1">
      <c r="A210" t="str">
        <f>G210</f>
        <v>Cancelado</v>
      </c>
      <c r="B210">
        <f>IF(I210&lt;=-1,1,IF(I210&lt;=5,2,IF(I210&lt;=15,3,IF(H210&lt;=60,4))))</f>
        <v>4</v>
      </c>
      <c r="C210" t="str">
        <v>FE 40</v>
      </c>
      <c r="D210" t="str">
        <v>Gomez Rodriguez &amp; Associados Revisoria fiscal- Marzo</v>
      </c>
      <c r="E210" s="2">
        <v>1877565</v>
      </c>
      <c r="F210" s="1">
        <v>46112</v>
      </c>
      <c r="G210" t="str">
        <v>Cancelado</v>
      </c>
      <c r="H210">
        <f>IF(OR(G210="Sin pagar",G210="Pagar"),NETWORKDAYS($J$99,F210,'Festivos Colombia'!$A$3:$A$22),0)</f>
        <v>0</v>
      </c>
      <c r="I210">
        <f>NETWORKDAYS($J$99,F210,'Festivos Colombia'!$A$3:$A$22)</f>
        <v>21</v>
      </c>
      <c r="J210" s="7">
        <f>H210</f>
        <v>0</v>
      </c>
    </row>
    <row r="211" outlineLevel="1">
      <c r="A211" t="str">
        <f>G211</f>
        <v>Cancelado</v>
      </c>
      <c r="B211">
        <f>IF(I211&lt;=-1,1,IF(I211&lt;=5,2,IF(I211&lt;=15,3,IF(H211&lt;=60,4))))</f>
        <v>4</v>
      </c>
      <c r="C211" t="str">
        <v>FE 417</v>
      </c>
      <c r="D211" t="str">
        <v>ACT&amp;J Consultores S&amp;P febrero 2026</v>
      </c>
      <c r="E211" s="2">
        <f>4065250</f>
        <v>4065250</v>
      </c>
      <c r="F211" s="1">
        <v>46112</v>
      </c>
      <c r="G211" t="str">
        <v>Cancelado</v>
      </c>
      <c r="H211">
        <f>IF(OR(G211="Sin pagar",G211="Pagar"),NETWORKDAYS($J$99,F211,'Festivos Colombia'!$A$3:$A$22),0)</f>
        <v>0</v>
      </c>
      <c r="I211">
        <f>NETWORKDAYS($J$99,F211,'Festivos Colombia'!$A$3:$A$22)</f>
        <v>21</v>
      </c>
      <c r="J211" s="7">
        <f>H211</f>
        <v>0</v>
      </c>
    </row>
    <row r="212" outlineLevel="1">
      <c r="A212" t="str">
        <f>G212</f>
        <v>Cancelado</v>
      </c>
      <c r="B212">
        <f>IF(I212&lt;=-1,1,IF(I212&lt;=5,2,IF(I212&lt;=15,3,IF(H212&lt;=60,4))))</f>
        <v>4</v>
      </c>
      <c r="C212" t="str">
        <v>FE 418</v>
      </c>
      <c r="D212" t="str">
        <v>ACT&amp;J Consultores Global CS Colombia febrero 2026</v>
      </c>
      <c r="E212" s="2">
        <f>3665694</f>
        <v>3665694</v>
      </c>
      <c r="F212" s="1">
        <v>46112</v>
      </c>
      <c r="G212" t="str">
        <v>Cancelado</v>
      </c>
      <c r="H212">
        <f>IF(OR(G212="Sin pagar",G212="Pagar"),NETWORKDAYS($J$99,F212,'Festivos Colombia'!$A$3:$A$22),0)</f>
        <v>0</v>
      </c>
      <c r="I212">
        <f>NETWORKDAYS($J$99,F212,'Festivos Colombia'!$A$3:$A$22)</f>
        <v>21</v>
      </c>
      <c r="J212" s="7">
        <f>H212</f>
        <v>0</v>
      </c>
    </row>
    <row r="213" outlineLevel="1">
      <c r="A213" t="str">
        <f>G213</f>
        <v>Cancelado</v>
      </c>
      <c r="B213">
        <f>IF(I213&lt;=-1,1,IF(I213&lt;=5,2,IF(I213&lt;=15,3,IF(H213&lt;=60,4))))</f>
        <v>4</v>
      </c>
      <c r="C213" t="str">
        <v>FENI-11856</v>
      </c>
      <c r="D213" t="str">
        <v>Nixcom Servicio técnico mensual</v>
      </c>
      <c r="E213" s="2">
        <v>1246875</v>
      </c>
      <c r="F213" s="1">
        <v>46112</v>
      </c>
      <c r="G213" t="str">
        <v>Cancelado</v>
      </c>
      <c r="H213">
        <f>IF(OR(G213="Sin pagar",G213="Pagar"),NETWORKDAYS($J$99,F213,'Festivos Colombia'!$A$3:$A$22),0)</f>
        <v>0</v>
      </c>
      <c r="I213">
        <f>NETWORKDAYS($J$99,F213,'Festivos Colombia'!$A$3:$A$22)</f>
        <v>21</v>
      </c>
      <c r="J213" s="7">
        <f>H213</f>
        <v>0</v>
      </c>
    </row>
    <row r="214" ht="13.5" customHeight="1" outlineLevel="1">
      <c r="A214" t="str">
        <f>G214</f>
        <v>Cancelado</v>
      </c>
      <c r="B214">
        <f>IF(I214&lt;=-1,1,IF(I214&lt;=5,2,IF(I214&lt;=15,3,IF(H214&lt;=60,4))))</f>
        <v>4</v>
      </c>
      <c r="C214" t="str">
        <v>BPA 6893</v>
      </c>
      <c r="D214" t="str">
        <v>Barrera Palacios</v>
      </c>
      <c r="E214" s="2">
        <f>1723309.31</f>
        <v>1723309.31</v>
      </c>
      <c r="F214" s="1">
        <v>46112</v>
      </c>
      <c r="G214" t="str">
        <v>Cancelado</v>
      </c>
      <c r="H214">
        <f>IF(OR(G214="Sin pagar",G214="Pagar"),NETWORKDAYS($J$99,F214,'Festivos Colombia'!$A$3:$A$22),0)</f>
        <v>0</v>
      </c>
      <c r="I214">
        <f>NETWORKDAYS($J$99,F214,'Festivos Colombia'!$A$3:$A$22)</f>
        <v>21</v>
      </c>
      <c r="J214" s="7">
        <f>H214</f>
        <v>0</v>
      </c>
    </row>
    <row r="215" ht="13.5" customHeight="1" outlineLevel="1">
      <c r="A215" t="str">
        <f>G215</f>
        <v>Cancelado</v>
      </c>
      <c r="B215">
        <f>IF(I215&lt;=-1,1,IF(I215&lt;=5,2,IF(I215&lt;=15,3,IF(H215&lt;=60,4))))</f>
        <v>4</v>
      </c>
      <c r="C215">
        <v>18</v>
      </c>
      <c r="D215" t="str">
        <v>Edgardo Rafael Obredor Borja</v>
      </c>
      <c r="E215" s="2">
        <v>1634061</v>
      </c>
      <c r="F215" s="1">
        <v>46113</v>
      </c>
      <c r="G215" t="str">
        <v>Cancelado</v>
      </c>
      <c r="H215">
        <f>IF(OR(G215="Sin pagar",G215="Pagar"),NETWORKDAYS($J$99,F215,'Festivos Colombia'!$A$3:$A$22),0)</f>
        <v>0</v>
      </c>
      <c r="I215">
        <f>NETWORKDAYS($J$99,F215,'Festivos Colombia'!$A$3:$A$22)</f>
        <v>22</v>
      </c>
      <c r="J215" s="7">
        <f>H215</f>
        <v>0</v>
      </c>
    </row>
    <row r="216" outlineLevel="1">
      <c r="A216" t="str">
        <f>G216</f>
        <v>Sin Pagar</v>
      </c>
      <c r="B216">
        <f>IF(I216&lt;=-1,1,IF(I216&lt;=5,2,IF(I216&lt;=15,3,IF(H216&lt;=60,4))))</f>
        <v>4</v>
      </c>
      <c r="C216">
        <v>12051</v>
      </c>
      <c r="D216" t="str">
        <v>Nixcom Servicio técnico mensual</v>
      </c>
      <c r="E216" s="2">
        <f>1301175*0</f>
        <v>0</v>
      </c>
      <c r="F216" s="1">
        <v>46142</v>
      </c>
      <c r="G216" t="str">
        <v>Sin Pagar</v>
      </c>
      <c r="H216">
        <f>IF(OR(G216="Sin pagar",G216="Pagar"),NETWORKDAYS($J$99,F216,'Festivos Colombia'!$A$3:$A$22),0)</f>
        <v>41</v>
      </c>
      <c r="I216">
        <f>NETWORKDAYS($J$99,F216,'Festivos Colombia'!$A$3:$A$22)</f>
        <v>41</v>
      </c>
      <c r="J216" s="7">
        <f>H216</f>
        <v>41</v>
      </c>
    </row>
    <row r="217" outlineLevel="1">
      <c r="A217" t="str">
        <f>G217</f>
        <v>Sin Pagar</v>
      </c>
      <c r="B217">
        <f>IF(I217&lt;=-1,1,IF(I217&lt;=5,2,IF(I217&lt;=15,3,IF(H217&lt;=60,4))))</f>
        <v>4</v>
      </c>
      <c r="C217" t="str">
        <v>CLOA105256994</v>
      </c>
      <c r="D217" t="str">
        <v>Carvajal</v>
      </c>
      <c r="E217" s="2">
        <f>77395*0</f>
        <v>0</v>
      </c>
      <c r="F217" s="1">
        <v>46136</v>
      </c>
      <c r="G217" t="str">
        <v>Sin Pagar</v>
      </c>
      <c r="H217">
        <f>IF(OR(G217="Sin pagar",G217="Pagar"),NETWORKDAYS($J$99,F217,'Festivos Colombia'!$A$3:$A$22),0)</f>
        <v>37</v>
      </c>
      <c r="I217">
        <f>NETWORKDAYS($J$99,F217,'Festivos Colombia'!$A$3:$A$22)</f>
        <v>37</v>
      </c>
      <c r="J217" s="7">
        <f>H217</f>
        <v>37</v>
      </c>
    </row>
    <row r="218" ht="15.75" customHeight="1" outlineLevel="1">
      <c r="A218" t="str">
        <f>G218</f>
        <v>Sin Pagar</v>
      </c>
      <c r="B218">
        <f>IF(I218&lt;=-1,1,IF(I218&lt;=5,2,IF(I218&lt;=15,3,IF(H218&lt;=60,4))))</f>
        <v>4</v>
      </c>
      <c r="C218" t="str">
        <v>FE -77</v>
      </c>
      <c r="D218" t="str">
        <v xml:space="preserve">Ibrand Marketing SAS-Servicios agencia mes de abril </v>
      </c>
      <c r="E218" s="2">
        <f>3800000*0</f>
        <v>0</v>
      </c>
      <c r="F218" s="1">
        <v>46129</v>
      </c>
      <c r="G218" t="str">
        <v>Sin Pagar</v>
      </c>
      <c r="H218">
        <f>IF(OR(G218="Sin pagar",G218="Pagar"),NETWORKDAYS($J$99,F218,'Festivos Colombia'!$A$3:$A$22),0)</f>
        <v>32</v>
      </c>
      <c r="I218">
        <f>NETWORKDAYS($J$99,F218,'Festivos Colombia'!$A$3:$A$22)</f>
        <v>32</v>
      </c>
      <c r="J218" s="7">
        <f>H218</f>
        <v>32</v>
      </c>
    </row>
    <row r="219" ht="15.75" customHeight="1">
      <c r="D219" t="str">
        <v xml:space="preserve">COSTOS FINANCIEROS </v>
      </c>
      <c r="E219" s="2">
        <f>SUBTOTAL(9,E220:E220)</f>
        <v>16446896.25</v>
      </c>
    </row>
    <row r="220" ht="15.75" customHeight="1" outlineLevel="1">
      <c r="A220" t="str">
        <f>G220</f>
        <v>Cancelado</v>
      </c>
      <c r="B220">
        <f>IF(I220&lt;=-1,1,IF(I220&lt;=5,2,IF(I220&lt;=15,3,IF(H220&lt;=60,4))))</f>
        <v>4</v>
      </c>
      <c r="D220" t="str">
        <v>Costos financieros (Cuentas S&amp;P)</v>
      </c>
      <c r="E220" s="2">
        <f>13715337.25+2731559</f>
        <v>16446896.25</v>
      </c>
      <c r="F220" s="1">
        <v>46112</v>
      </c>
      <c r="G220" t="str">
        <v>Cancelado</v>
      </c>
      <c r="H220">
        <f>IF(OR(G220="Sin pagar",G220="Pagar"),NETWORKDAYS($J$99,F220,'Festivos Colombia'!$A$3:$A$22),0)</f>
        <v>0</v>
      </c>
      <c r="I220">
        <f>NETWORKDAYS($J$99,F220,'Festivos Colombia'!$A$3:$A$22)</f>
        <v>21</v>
      </c>
      <c r="J220" s="7">
        <f>H220</f>
        <v>0</v>
      </c>
    </row>
    <row r="221" ht="16.5" customHeight="1">
      <c r="D221" t="str">
        <v>CRÉDITOS-LIBRANZAS</v>
      </c>
      <c r="E221" s="2">
        <f>SUBTOTAL(9,E222:E223)</f>
        <v>5171996</v>
      </c>
    </row>
    <row r="222" outlineLevel="1">
      <c r="A222" t="str">
        <f>G222</f>
        <v>Cancelado</v>
      </c>
      <c r="B222">
        <f>IF(I222&lt;=-1,1,IF(I222&lt;=5,2,IF(I222&lt;=15,3,IF(H222&lt;=60,4))))</f>
        <v>4</v>
      </c>
      <c r="D222" t="str">
        <v>Libranza Compensar</v>
      </c>
      <c r="E222" s="2">
        <v>4633173</v>
      </c>
      <c r="F222" s="1">
        <v>46108</v>
      </c>
      <c r="G222" t="str">
        <v>Cancelado</v>
      </c>
      <c r="H222">
        <f>IF(OR(G222="Sin pagar",G222="Pagar"),NETWORKDAYS($J$99,F222,'Festivos Colombia'!$A$3:$A$22),0)</f>
        <v>0</v>
      </c>
      <c r="I222">
        <f>NETWORKDAYS($J$99,F222,'Festivos Colombia'!$A$3:$A$22)</f>
        <v>19</v>
      </c>
      <c r="J222" s="7">
        <f>H222</f>
        <v>0</v>
      </c>
    </row>
    <row r="223" ht="15.75" customHeight="1" outlineLevel="1">
      <c r="A223" t="str">
        <f>G223</f>
        <v>Cancelado</v>
      </c>
      <c r="B223">
        <f>IF(I223&lt;=-1,1,IF(I223&lt;=5,2,IF(I223&lt;=15,3,IF(H223&lt;=60,4))))</f>
        <v>4</v>
      </c>
      <c r="D223" t="str">
        <v>Libranza Comfenalco Lisset Franco REMOFIRST</v>
      </c>
      <c r="E223" s="2">
        <v>538823</v>
      </c>
      <c r="F223" s="1">
        <v>46111</v>
      </c>
      <c r="G223" t="str">
        <v>Cancelado</v>
      </c>
      <c r="H223">
        <f>IF(OR(G223="Sin pagar",G223="Pagar"),NETWORKDAYS($J$99,F223,'Festivos Colombia'!$A$3:$A$22),0)</f>
        <v>0</v>
      </c>
      <c r="I223">
        <f>NETWORKDAYS($J$99,F223,'Festivos Colombia'!$A$3:$A$22)</f>
        <v>20</v>
      </c>
      <c r="J223" s="7">
        <f>H223</f>
        <v>0</v>
      </c>
    </row>
    <row r="224" ht="16.5" customHeight="1">
      <c r="D224" t="str">
        <v>TARJETAS DE CRÉDITO</v>
      </c>
      <c r="E224" s="2">
        <f>SUBTOTAL(9,E225:E228)</f>
        <v>17286981.42</v>
      </c>
    </row>
    <row r="225" outlineLevel="1">
      <c r="A225" t="str">
        <f>G225</f>
        <v>Cancelado</v>
      </c>
      <c r="B225">
        <f>IF(I225&lt;=-1,1,IF(I225&lt;=5,2,IF(I225&lt;=15,3,IF(H225&lt;=60,4))))</f>
        <v>3</v>
      </c>
      <c r="D225" t="str">
        <v>TC Bancolombia-Ramon Esteban Cardona Salazar TC 5996</v>
      </c>
      <c r="E225" s="2">
        <v>12712349</v>
      </c>
      <c r="F225" s="1">
        <v>46097</v>
      </c>
      <c r="G225" t="str">
        <v>Cancelado</v>
      </c>
      <c r="H225">
        <f>IF(OR(G225="Sin pagar",G225="Pagar"),NETWORKDAYS($J$99,F225,'Festivos Colombia'!$A$3:$A$22),0)</f>
        <v>0</v>
      </c>
      <c r="I225">
        <f>NETWORKDAYS($J$99,F225,'Festivos Colombia'!$A$3:$A$22)</f>
        <v>11</v>
      </c>
      <c r="J225" s="7">
        <f>H225</f>
        <v>0</v>
      </c>
    </row>
    <row r="226" outlineLevel="1">
      <c r="A226" t="str">
        <f>G226</f>
        <v>Cancelado</v>
      </c>
      <c r="B226">
        <f>IF(I226&lt;=-1,1,IF(I226&lt;=5,2,IF(I226&lt;=15,3,IF(H226&lt;=60,4))))</f>
        <v>4</v>
      </c>
      <c r="D226" t="str">
        <v>TC Bancolombia Dolares TC 4853</v>
      </c>
      <c r="E226" s="2">
        <f>(582*3675.81)</f>
        <v>2139321.42</v>
      </c>
      <c r="F226" s="1">
        <v>46118</v>
      </c>
      <c r="G226" t="str">
        <v>Cancelado</v>
      </c>
      <c r="H226">
        <f>IF(OR(G226="Sin pagar",G226="Pagar"),NETWORKDAYS($J$128,F226,'Festivos Colombia'!$A$3:$A$22),0)</f>
        <v>0</v>
      </c>
      <c r="I226">
        <f>NETWORKDAYS($J$128,F226,'Festivos Colombia'!$A$3:$A$22)</f>
        <v>32936</v>
      </c>
      <c r="J226" s="7">
        <f>H226</f>
        <v>0</v>
      </c>
    </row>
    <row r="227" outlineLevel="1">
      <c r="A227" t="str">
        <f>G227</f>
        <v>Cancelado</v>
      </c>
      <c r="B227">
        <f>IF(I227&lt;=-1,1,IF(I227&lt;=5,2,IF(I227&lt;=15,3,IF(H227&lt;=60,4))))</f>
        <v>4</v>
      </c>
      <c r="D227" t="str">
        <v>TC Bancolombia Pesos TC 4853</v>
      </c>
      <c r="E227" s="2">
        <v>2435311</v>
      </c>
      <c r="F227" s="1">
        <v>46118</v>
      </c>
      <c r="G227" t="str">
        <v>Cancelado</v>
      </c>
      <c r="H227">
        <f>IF(OR(G227="Sin pagar",G227="Pagar"),NETWORKDAYS($J$128,F227,'Festivos Colombia'!$A$3:$A$22),0)</f>
        <v>0</v>
      </c>
      <c r="I227">
        <f>NETWORKDAYS($J$128,F227,'Festivos Colombia'!$A$3:$A$22)</f>
        <v>32936</v>
      </c>
      <c r="J227" s="7">
        <f>H227</f>
        <v>0</v>
      </c>
    </row>
    <row r="228" ht="15.75" customHeight="1" outlineLevel="1">
      <c r="A228" t="str">
        <f>G228</f>
        <v>Sin Pagar</v>
      </c>
      <c r="B228">
        <f>IF(I228&lt;=-1,1,IF(I228&lt;=5,2,IF(I228&lt;=15,3,IF(H228&lt;=60,4))))</f>
        <v>4</v>
      </c>
      <c r="D228" t="str">
        <v>TC Bancolombia-Ramon Esteban Cardona Salazar TC 5996</v>
      </c>
      <c r="E228" s="2">
        <f>21127878*0</f>
        <v>0</v>
      </c>
      <c r="F228" s="1">
        <v>46128</v>
      </c>
      <c r="G228" t="str">
        <v>Sin Pagar</v>
      </c>
      <c r="H228">
        <f>IF(OR(G228="Sin pagar",G228="Pagar"),NETWORKDAYS($J$99,F228,'Festivos Colombia'!$A$3:$A$22),0)</f>
        <v>31</v>
      </c>
      <c r="I228">
        <f>NETWORKDAYS($J$99,F228,'Festivos Colombia'!$A$3:$A$22)</f>
        <v>31</v>
      </c>
      <c r="J228" s="7">
        <f>H228</f>
        <v>31</v>
      </c>
    </row>
    <row r="229" ht="16.5" customHeight="1">
      <c r="D229" t="str">
        <v>ESTUDIOS DE SEGURIDAD Y EXAMENES OCUPACIONALES</v>
      </c>
      <c r="E229" s="2">
        <f>SUBTOTAL(9,E230:E243)</f>
        <v>3572686.06</v>
      </c>
    </row>
    <row r="230" ht="15.75" customHeight="1" outlineLevel="1">
      <c r="A230" t="str">
        <f>G230</f>
        <v>Cancelado</v>
      </c>
      <c r="B230">
        <f>IF(I230&lt;=-1,1,IF(I230&lt;=5,2,IF(I230&lt;=15,3,IF(H230&lt;=60,4))))</f>
        <v>2</v>
      </c>
      <c r="C230">
        <v>6910</v>
      </c>
      <c r="D230" t="str">
        <v xml:space="preserve">EMASOC </v>
      </c>
      <c r="E230" s="2">
        <v>341000</v>
      </c>
      <c r="F230" s="1">
        <v>46087</v>
      </c>
      <c r="G230" t="str">
        <v>Cancelado</v>
      </c>
      <c r="H230">
        <f>IF(OR(G230="Sin pagar",G230="Pagar"),NETWORKDAYS($J$99,F230,'Festivos Colombia'!$A$3:$A$22),0)</f>
        <v>0</v>
      </c>
      <c r="I230">
        <f>NETWORKDAYS($J$99,F230,'Festivos Colombia'!$A$3:$A$22)</f>
        <v>5</v>
      </c>
      <c r="J230" s="7">
        <f>H230</f>
        <v>0</v>
      </c>
    </row>
    <row r="231" ht="15.75" customHeight="1" outlineLevel="1">
      <c r="A231" t="str">
        <f>G231</f>
        <v>Cancelado</v>
      </c>
      <c r="B231">
        <f>IF(I231&lt;=-1,1,IF(I231&lt;=5,2,IF(I231&lt;=15,3,IF(H231&lt;=60,4))))</f>
        <v>2</v>
      </c>
      <c r="C231">
        <v>6914</v>
      </c>
      <c r="D231" t="str">
        <v xml:space="preserve">EMASOC </v>
      </c>
      <c r="E231" s="2">
        <f>509500</f>
        <v>509500</v>
      </c>
      <c r="F231" s="1">
        <v>46087</v>
      </c>
      <c r="G231" t="str">
        <v>Cancelado</v>
      </c>
      <c r="H231">
        <f>IF(OR(G231="Sin pagar",G231="Pagar"),NETWORKDAYS($J$99,F231,'Festivos Colombia'!$A$3:$A$22),0)</f>
        <v>0</v>
      </c>
      <c r="I231">
        <f>NETWORKDAYS($J$99,F231,'Festivos Colombia'!$A$3:$A$22)</f>
        <v>5</v>
      </c>
      <c r="J231" s="7">
        <f>H231</f>
        <v>0</v>
      </c>
    </row>
    <row r="232" ht="15.75" customHeight="1" outlineLevel="1">
      <c r="A232" t="str">
        <f>G232</f>
        <v>Cancelado</v>
      </c>
      <c r="B232">
        <f>IF(I232&lt;=-1,1,IF(I232&lt;=5,2,IF(I232&lt;=15,3,IF(H232&lt;=60,4))))</f>
        <v>3</v>
      </c>
      <c r="C232">
        <v>6917</v>
      </c>
      <c r="D232" t="str">
        <v xml:space="preserve">EMASOC </v>
      </c>
      <c r="E232" s="2">
        <f>205000</f>
        <v>205000</v>
      </c>
      <c r="F232" s="1">
        <v>46094</v>
      </c>
      <c r="G232" t="str">
        <v>Cancelado</v>
      </c>
      <c r="H232">
        <f>IF(OR(G232="Sin pagar",G232="Pagar"),NETWORKDAYS($J$99,F232,'Festivos Colombia'!$A$3:$A$22),0)</f>
        <v>0</v>
      </c>
      <c r="I232">
        <f>NETWORKDAYS($J$99,F232,'Festivos Colombia'!$A$3:$A$22)</f>
        <v>10</v>
      </c>
      <c r="J232" s="7">
        <f>H232</f>
        <v>0</v>
      </c>
    </row>
    <row r="233" ht="15.75" customHeight="1" outlineLevel="1">
      <c r="A233" t="str">
        <f>G233</f>
        <v>Cancelado</v>
      </c>
      <c r="B233">
        <f>IF(I233&lt;=-1,1,IF(I233&lt;=5,2,IF(I233&lt;=15,3,IF(H233&lt;=60,4))))</f>
        <v>3</v>
      </c>
      <c r="C233">
        <v>6929</v>
      </c>
      <c r="D233" t="str">
        <v xml:space="preserve">EMASOC </v>
      </c>
      <c r="E233" s="2">
        <f>567500</f>
        <v>567500</v>
      </c>
      <c r="F233" s="1">
        <v>46094</v>
      </c>
      <c r="G233" t="str">
        <v>Cancelado</v>
      </c>
      <c r="H233">
        <f>IF(OR(G233="Sin pagar",G233="Pagar"),NETWORKDAYS($J$99,F233,'Festivos Colombia'!$A$3:$A$22),0)</f>
        <v>0</v>
      </c>
      <c r="I233">
        <f>NETWORKDAYS($J$99,F233,'Festivos Colombia'!$A$3:$A$22)</f>
        <v>10</v>
      </c>
      <c r="J233" s="7">
        <f>H233</f>
        <v>0</v>
      </c>
    </row>
    <row r="234" ht="15.75" customHeight="1" outlineLevel="1">
      <c r="A234" t="str">
        <f>G234</f>
        <v>Cancelado</v>
      </c>
      <c r="B234">
        <f>IF(I234&lt;=-1,1,IF(I234&lt;=5,2,IF(I234&lt;=15,3,IF(H234&lt;=60,4))))</f>
        <v>3</v>
      </c>
      <c r="C234">
        <v>6932</v>
      </c>
      <c r="D234" t="str">
        <v xml:space="preserve">EMASOC </v>
      </c>
      <c r="E234" s="2">
        <f>225000</f>
        <v>225000</v>
      </c>
      <c r="F234" s="1">
        <v>46101</v>
      </c>
      <c r="G234" t="str">
        <v>Cancelado</v>
      </c>
      <c r="H234">
        <f>IF(OR(G234="Sin pagar",G234="Pagar"),NETWORKDAYS($J$99,F234,'Festivos Colombia'!$A$3:$A$22),0)</f>
        <v>0</v>
      </c>
      <c r="I234">
        <f>NETWORKDAYS($J$99,F234,'Festivos Colombia'!$A$3:$A$22)</f>
        <v>15</v>
      </c>
      <c r="J234" s="7">
        <f>H234</f>
        <v>0</v>
      </c>
    </row>
    <row r="235" ht="15.75" customHeight="1" outlineLevel="1">
      <c r="A235" t="str">
        <f>G235</f>
        <v>Cancelado</v>
      </c>
      <c r="B235">
        <f>IF(I235&lt;=-1,1,IF(I235&lt;=5,2,IF(I235&lt;=15,3,IF(H235&lt;=60,4))))</f>
        <v>4</v>
      </c>
      <c r="C235">
        <v>6940</v>
      </c>
      <c r="D235" t="str">
        <v xml:space="preserve">EMASOC </v>
      </c>
      <c r="E235" s="2">
        <f>807500</f>
        <v>807500</v>
      </c>
      <c r="F235" s="1">
        <v>46108</v>
      </c>
      <c r="G235" t="str">
        <v>Cancelado</v>
      </c>
      <c r="H235">
        <f>IF(OR(G235="Sin pagar",G235="Pagar"),NETWORKDAYS($J$99,F235,'Festivos Colombia'!$A$3:$A$22),0)</f>
        <v>0</v>
      </c>
      <c r="I235">
        <f>NETWORKDAYS($J$99,F235,'Festivos Colombia'!$A$3:$A$22)</f>
        <v>19</v>
      </c>
      <c r="J235" s="7">
        <f>H235</f>
        <v>0</v>
      </c>
    </row>
    <row r="236" ht="15.75" customHeight="1" outlineLevel="1">
      <c r="A236" t="str">
        <f>G236</f>
        <v>Cancelado</v>
      </c>
      <c r="B236">
        <f>IF(I236&lt;=-1,1,IF(I236&lt;=5,2,IF(I236&lt;=15,3,IF(H236&lt;=60,4))))</f>
        <v>4</v>
      </c>
      <c r="C236">
        <v>6950</v>
      </c>
      <c r="D236" t="str">
        <v xml:space="preserve">EMASOC </v>
      </c>
      <c r="E236" s="2">
        <f>342500</f>
        <v>342500</v>
      </c>
      <c r="F236" s="1">
        <v>46108</v>
      </c>
      <c r="G236" t="str">
        <v>Cancelado</v>
      </c>
      <c r="H236">
        <f>IF(OR(G236="Sin pagar",G236="Pagar"),NETWORKDAYS($J$99,F236,'Festivos Colombia'!$A$3:$A$22),0)</f>
        <v>0</v>
      </c>
      <c r="I236">
        <f>NETWORKDAYS($J$99,F236,'Festivos Colombia'!$A$3:$A$22)</f>
        <v>19</v>
      </c>
      <c r="J236" s="7">
        <f>H236</f>
        <v>0</v>
      </c>
    </row>
    <row r="237" ht="15.75" customHeight="1" outlineLevel="1">
      <c r="A237" t="str">
        <f>G237</f>
        <v>Sin Pagar</v>
      </c>
      <c r="B237">
        <f>IF(I237&lt;=-1,1,IF(I237&lt;=5,2,IF(I237&lt;=15,3,IF(H237&lt;=60,4))))</f>
        <v>4</v>
      </c>
      <c r="C237">
        <v>6955</v>
      </c>
      <c r="D237" t="str">
        <v xml:space="preserve">EMASOC </v>
      </c>
      <c r="E237" s="2">
        <f>671000*0</f>
        <v>0</v>
      </c>
      <c r="F237" s="1">
        <v>46122</v>
      </c>
      <c r="G237" t="str">
        <v>Sin Pagar</v>
      </c>
      <c r="H237">
        <f>IF(OR(G237="Sin pagar",G237="Pagar"),NETWORKDAYS($J$99,F237,'Festivos Colombia'!$A$3:$A$22),0)</f>
        <v>27</v>
      </c>
      <c r="I237">
        <f>NETWORKDAYS($J$99,F237,'Festivos Colombia'!$A$3:$A$22)</f>
        <v>27</v>
      </c>
      <c r="J237" s="7">
        <f>H237</f>
        <v>27</v>
      </c>
    </row>
    <row r="238" ht="15.75" customHeight="1" outlineLevel="1">
      <c r="A238" t="str">
        <f>G238</f>
        <v>Sin Pagar</v>
      </c>
      <c r="B238">
        <f>IF(I238&lt;=-1,1,IF(I238&lt;=5,2,IF(I238&lt;=15,3,IF(H238&lt;=60,4))))</f>
        <v>4</v>
      </c>
      <c r="C238">
        <v>6967</v>
      </c>
      <c r="D238" t="str">
        <v xml:space="preserve">EMASOC </v>
      </c>
      <c r="E238" s="2">
        <f>684500*0</f>
        <v>0</v>
      </c>
      <c r="F238" s="1">
        <v>46122</v>
      </c>
      <c r="G238" t="str">
        <v>Sin Pagar</v>
      </c>
      <c r="H238">
        <f>IF(OR(G238="Sin pagar",G238="Pagar"),NETWORKDAYS($J$99,F238,'Festivos Colombia'!$A$3:$A$22),0)</f>
        <v>27</v>
      </c>
      <c r="I238">
        <f>NETWORKDAYS($J$99,F238,'Festivos Colombia'!$A$3:$A$22)</f>
        <v>27</v>
      </c>
      <c r="J238" s="7">
        <f>H238</f>
        <v>27</v>
      </c>
    </row>
    <row r="239" ht="15.75" customHeight="1" outlineLevel="1">
      <c r="A239" t="str">
        <f>G239</f>
        <v>Sin Pagar</v>
      </c>
      <c r="B239">
        <f>IF(I239&lt;=-1,1,IF(I239&lt;=5,2,IF(I239&lt;=15,3,IF(H239&lt;=60,4))))</f>
        <v>4</v>
      </c>
      <c r="C239">
        <v>6988</v>
      </c>
      <c r="D239" t="str">
        <v xml:space="preserve">EMASOC </v>
      </c>
      <c r="E239" s="2">
        <f>340500*0</f>
        <v>0</v>
      </c>
      <c r="F239" s="1">
        <v>46129</v>
      </c>
      <c r="G239" t="str">
        <v>Sin Pagar</v>
      </c>
      <c r="H239">
        <f>IF(OR(G239="Sin pagar",G239="Pagar"),NETWORKDAYS($J$99,F239,'Festivos Colombia'!$A$3:$A$22),0)</f>
        <v>32</v>
      </c>
      <c r="I239">
        <f>NETWORKDAYS($J$99,F239,'Festivos Colombia'!$A$3:$A$22)</f>
        <v>32</v>
      </c>
      <c r="J239" s="7">
        <f>H239</f>
        <v>32</v>
      </c>
    </row>
    <row r="240" ht="15.75" customHeight="1" outlineLevel="1">
      <c r="A240" t="str">
        <f>G240</f>
        <v>Sin Pagar</v>
      </c>
      <c r="B240">
        <f>IF(I240&lt;=-1,1,IF(I240&lt;=5,2,IF(I240&lt;=15,3,IF(H240&lt;=60,4))))</f>
        <v>4</v>
      </c>
      <c r="C240">
        <v>6994</v>
      </c>
      <c r="D240" t="str">
        <v xml:space="preserve">EMASOC </v>
      </c>
      <c r="E240" s="2">
        <f>235000*0</f>
        <v>0</v>
      </c>
      <c r="F240" s="1">
        <v>46136</v>
      </c>
      <c r="G240" t="str">
        <v>Sin Pagar</v>
      </c>
      <c r="H240">
        <f>IF(OR(G240="Sin pagar",G240="Pagar"),NETWORKDAYS($J$99,F240,'Festivos Colombia'!$A$3:$A$22),0)</f>
        <v>37</v>
      </c>
      <c r="I240">
        <f>NETWORKDAYS($J$99,F240,'Festivos Colombia'!$A$3:$A$22)</f>
        <v>37</v>
      </c>
      <c r="J240" s="7">
        <f>H240</f>
        <v>37</v>
      </c>
    </row>
    <row r="241" ht="15.75" customHeight="1" outlineLevel="1">
      <c r="A241" t="str">
        <f>G241</f>
        <v>Sin Pagar</v>
      </c>
      <c r="B241">
        <f>IF(I241&lt;=-1,1,IF(I241&lt;=5,2,IF(I241&lt;=15,3,IF(H241&lt;=60,4))))</f>
        <v>4</v>
      </c>
      <c r="C241">
        <v>7004</v>
      </c>
      <c r="D241" t="str">
        <v xml:space="preserve">EMASOC </v>
      </c>
      <c r="E241" s="2">
        <f>235000*0</f>
        <v>0</v>
      </c>
      <c r="F241" s="1">
        <v>46139</v>
      </c>
      <c r="G241" t="str">
        <v>Sin Pagar</v>
      </c>
      <c r="H241">
        <f>IF(OR(G241="Sin pagar",G241="Pagar"),NETWORKDAYS($J$99,F241,'Festivos Colombia'!$A$3:$A$22),0)</f>
        <v>38</v>
      </c>
      <c r="I241">
        <f>NETWORKDAYS($J$99,F241,'Festivos Colombia'!$A$3:$A$22)</f>
        <v>38</v>
      </c>
      <c r="J241" s="7">
        <f>H241</f>
        <v>38</v>
      </c>
    </row>
    <row r="242" outlineLevel="1">
      <c r="A242" t="str">
        <f>G242</f>
        <v>Cancelado</v>
      </c>
      <c r="B242">
        <f>IF(I242&lt;=-1,1,IF(I242&lt;=5,2,IF(I242&lt;=15,3,IF(H242&lt;=60,4))))</f>
        <v>4</v>
      </c>
      <c r="C242">
        <v>3195</v>
      </c>
      <c r="D242" t="str">
        <v>Prosinte</v>
      </c>
      <c r="E242" s="2">
        <f>384004.68</f>
        <v>384004.68</v>
      </c>
      <c r="F242" s="1">
        <v>46108</v>
      </c>
      <c r="G242" t="str">
        <v>Cancelado</v>
      </c>
      <c r="H242">
        <f>IF(OR(G242="Sin pagar",G242="Pagar"),NETWORKDAYS($J$99,F242,'Festivos Colombia'!$A$3:$A$22),0)</f>
        <v>0</v>
      </c>
      <c r="I242">
        <f>NETWORKDAYS($J$99,F242,'Festivos Colombia'!$A$3:$A$22)</f>
        <v>19</v>
      </c>
      <c r="J242" s="7">
        <f>H242</f>
        <v>0</v>
      </c>
    </row>
    <row r="243" ht="15.75" customHeight="1" outlineLevel="1">
      <c r="A243" t="str">
        <f>G243</f>
        <v>Cancelado</v>
      </c>
      <c r="B243">
        <f>IF(I243&lt;=-1,1,IF(I243&lt;=5,2,IF(I243&lt;=15,3,IF(H243&lt;=60,4))))</f>
        <v>4</v>
      </c>
      <c r="C243">
        <v>3196</v>
      </c>
      <c r="D243" t="str">
        <v>Prosinte</v>
      </c>
      <c r="E243" s="2">
        <f>190681.38</f>
        <v>190681.38</v>
      </c>
      <c r="F243" s="1">
        <v>46108</v>
      </c>
      <c r="G243" t="str">
        <v>Cancelado</v>
      </c>
      <c r="H243">
        <f>IF(OR(G243="Sin pagar",G243="Pagar"),NETWORKDAYS($J$99,F243,'Festivos Colombia'!$A$3:$A$22),0)</f>
        <v>0</v>
      </c>
      <c r="I243">
        <f>NETWORKDAYS($J$99,F243,'Festivos Colombia'!$A$3:$A$22)</f>
        <v>19</v>
      </c>
      <c r="J243" s="7">
        <f>H243</f>
        <v>0</v>
      </c>
    </row>
    <row r="244" ht="16.5" customHeight="1">
      <c r="D244" t="str">
        <v>SOFTWARE NÓMINA</v>
      </c>
      <c r="E244" s="2">
        <f>SUBTOTAL(9,E245:E249)</f>
        <v>7246002.19208</v>
      </c>
    </row>
    <row r="245" outlineLevel="1">
      <c r="A245" t="str">
        <f>G245</f>
        <v>Cancelado</v>
      </c>
      <c r="B245">
        <f>IF(I245&lt;=-1,1,IF(I245&lt;=5,2,IF(I245&lt;=15,3,IF(H245&lt;=60,4))))</f>
        <v>3</v>
      </c>
      <c r="C245" t="str">
        <v>PX44893</v>
      </c>
      <c r="D245" t="str">
        <v>Servidores ( hosting) y/ o computación en la nuble cloud Enero</v>
      </c>
      <c r="E245" s="2">
        <v>1498061.01128</v>
      </c>
      <c r="F245" s="1">
        <v>46094</v>
      </c>
      <c r="G245" t="str">
        <v>Cancelado</v>
      </c>
      <c r="H245">
        <f>IF(OR(G245="Sin pagar",G245="Pagar"),NETWORKDAYS($J$99,F245,'Festivos Colombia'!$A$3:$A$22),0)</f>
        <v>0</v>
      </c>
      <c r="I245">
        <f>NETWORKDAYS($J$99,F245,'Festivos Colombia'!$A$3:$A$22)</f>
        <v>10</v>
      </c>
      <c r="J245" s="7">
        <f>H245</f>
        <v>0</v>
      </c>
    </row>
    <row r="246" outlineLevel="1">
      <c r="A246" t="str">
        <f>G246</f>
        <v>Cancelado</v>
      </c>
      <c r="B246">
        <f>IF(I246&lt;=-1,1,IF(I246&lt;=5,2,IF(I246&lt;=15,3,IF(H246&lt;=60,4))))</f>
        <v>3</v>
      </c>
      <c r="C246" t="str">
        <v>PX44892</v>
      </c>
      <c r="D246" t="str">
        <v>Transmision nomina electronica</v>
      </c>
      <c r="E246" s="2">
        <v>241804.18079999997</v>
      </c>
      <c r="F246" s="1">
        <v>46094</v>
      </c>
      <c r="G246" t="str">
        <v>Cancelado</v>
      </c>
      <c r="H246">
        <f>IF(OR(G246="Sin pagar",G246="Pagar"),NETWORKDAYS($J$99,F246,'Festivos Colombia'!$A$3:$A$22),0)</f>
        <v>0</v>
      </c>
      <c r="I246">
        <f>NETWORKDAYS($J$99,F246,'Festivos Colombia'!$A$3:$A$22)</f>
        <v>10</v>
      </c>
      <c r="J246" s="7">
        <f>H246</f>
        <v>0</v>
      </c>
    </row>
    <row r="247" outlineLevel="1">
      <c r="A247" t="str">
        <f>G247</f>
        <v>Sin Pagar</v>
      </c>
      <c r="B247">
        <f>IF(I247&lt;=-1,1,IF(I247&lt;=5,2,IF(I247&lt;=15,3,IF(H247&lt;=60,4))))</f>
        <v>4</v>
      </c>
      <c r="C247" t="str">
        <v>PX45392</v>
      </c>
      <c r="D247" t="str">
        <v>Transmision nomina electronica</v>
      </c>
      <c r="E247" s="2">
        <f>197076*0</f>
        <v>0</v>
      </c>
      <c r="F247" s="1">
        <v>46125</v>
      </c>
      <c r="G247" t="str">
        <v>Sin Pagar</v>
      </c>
      <c r="H247">
        <f>IF(OR(G247="Sin pagar",G247="Pagar"),NETWORKDAYS($J$99,F247,'Festivos Colombia'!$A$3:$A$22),0)</f>
        <v>28</v>
      </c>
      <c r="I247">
        <f>NETWORKDAYS($J$99,F247,'Festivos Colombia'!$A$3:$A$22)</f>
        <v>28</v>
      </c>
      <c r="J247" s="7">
        <f>H247</f>
        <v>28</v>
      </c>
    </row>
    <row r="248" outlineLevel="1">
      <c r="A248" t="str">
        <f>G248</f>
        <v>Sin Pagar</v>
      </c>
      <c r="B248">
        <f>IF(I248&lt;=-1,1,IF(I248&lt;=5,2,IF(I248&lt;=15,3,IF(H248&lt;=60,4))))</f>
        <v>4</v>
      </c>
      <c r="C248" t="str">
        <v>PX45217</v>
      </c>
      <c r="D248" t="str">
        <v>Servidores ( hosting) y/ o computación en la nuble cloud Febrero</v>
      </c>
      <c r="E248" s="2">
        <f>1563888*0</f>
        <v>0</v>
      </c>
      <c r="F248" s="1">
        <v>46128</v>
      </c>
      <c r="G248" t="str">
        <v>Sin Pagar</v>
      </c>
      <c r="H248">
        <f>IF(OR(G248="Sin pagar",G248="Pagar"),NETWORKDAYS($J$99,F248,'Festivos Colombia'!$A$3:$A$22),0)</f>
        <v>31</v>
      </c>
      <c r="I248">
        <f>NETWORKDAYS($J$99,F248,'Festivos Colombia'!$A$3:$A$22)</f>
        <v>31</v>
      </c>
      <c r="J248" s="7">
        <f>H248</f>
        <v>31</v>
      </c>
    </row>
    <row r="249" ht="15.75" customHeight="1" outlineLevel="1">
      <c r="A249" t="str">
        <f>G249</f>
        <v>Cancelado</v>
      </c>
      <c r="B249">
        <f>IF(I249&lt;=-1,1,IF(I249&lt;=5,2,IF(I249&lt;=15,3,IF(H249&lt;=60,4))))</f>
        <v>3</v>
      </c>
      <c r="C249" t="str">
        <v>GFE60050</v>
      </c>
      <c r="D249" t="str">
        <v>Novasoft-Servicio hosting Web-19 Usuarios-29 Bases de datos Enero</v>
      </c>
      <c r="E249" s="2">
        <f>5506137</f>
        <v>5506137</v>
      </c>
      <c r="F249" s="1">
        <v>46101</v>
      </c>
      <c r="G249" t="str">
        <v>Cancelado</v>
      </c>
      <c r="H249">
        <f>IF(OR(G249="Sin pagar",G249="Pagar"),NETWORKDAYS($J$99,F249,'Festivos Colombia'!$A$3:$A$22),0)</f>
        <v>0</v>
      </c>
      <c r="I249">
        <f>NETWORKDAYS($J$99,F249,'Festivos Colombia'!$A$3:$A$22)</f>
        <v>15</v>
      </c>
      <c r="J249" s="7">
        <f>H249</f>
        <v>0</v>
      </c>
    </row>
    <row r="250" ht="16.5" customHeight="1">
      <c r="D250" t="str">
        <v>NÓMINAS Y ABONO A TARJETAS PEOPLE PASS</v>
      </c>
      <c r="E250" s="2">
        <f>SUBTOTAL(9,E251:E273)</f>
        <v>1562338371</v>
      </c>
    </row>
    <row r="251" outlineLevel="1">
      <c r="A251" t="str">
        <f>G251</f>
        <v>Cancelado</v>
      </c>
      <c r="B251">
        <f>IF(I251&lt;=-1,1,IF(I251&lt;=5,2,IF(I251&lt;=15,3,IF(H251&lt;=60,4))))</f>
        <v>3</v>
      </c>
      <c r="C251" s="2" t="str">
        <v>1 Registro</v>
      </c>
      <c r="D251" t="str">
        <v>Anticipo nómina Viviana Martinez</v>
      </c>
      <c r="E251" s="2">
        <v>1000000</v>
      </c>
      <c r="F251" s="1">
        <v>46100</v>
      </c>
      <c r="G251" t="str">
        <v>Cancelado</v>
      </c>
      <c r="H251">
        <f>IF(OR(G251="Sin pagar",G251="Pagar"),NETWORKDAYS($J$99,F251,'Festivos Colombia'!$A$3:$A$22),0)</f>
        <v>0</v>
      </c>
      <c r="I251">
        <f>NETWORKDAYS($J$99,F251,'Festivos Colombia'!$A$3:$A$22)</f>
        <v>14</v>
      </c>
      <c r="J251" s="7">
        <f>H251</f>
        <v>0</v>
      </c>
    </row>
    <row r="252" outlineLevel="1">
      <c r="A252" t="str">
        <f>G252</f>
        <v>Cancelado</v>
      </c>
      <c r="B252">
        <f>IF(I252&lt;=-1,1,IF(I252&lt;=5,2,IF(I252&lt;=15,3,IF(H252&lt;=60,4))))</f>
        <v>4</v>
      </c>
      <c r="C252" s="2" t="str">
        <v>58 registros</v>
      </c>
      <c r="D252" t="str">
        <v>Nómina S&amp;P</v>
      </c>
      <c r="E252" s="2">
        <v>172530460</v>
      </c>
      <c r="F252" s="1">
        <v>46108</v>
      </c>
      <c r="G252" t="str">
        <v>Cancelado</v>
      </c>
      <c r="H252">
        <f>IF(OR(G252="Sin pagar",G252="Pagar"),NETWORKDAYS($J$99,F252,'Festivos Colombia'!$A$3:$A$22),0)</f>
        <v>0</v>
      </c>
      <c r="I252">
        <f>NETWORKDAYS($J$99,F252,'Festivos Colombia'!$A$3:$A$22)</f>
        <v>19</v>
      </c>
      <c r="J252" s="7">
        <f>H252</f>
        <v>0</v>
      </c>
    </row>
    <row r="253" outlineLevel="1">
      <c r="D253" t="str">
        <v>C1007 - NZD</v>
      </c>
      <c r="E253" s="2">
        <v>28736036</v>
      </c>
      <c r="F253" s="1">
        <v>46108</v>
      </c>
      <c r="G253" t="str">
        <v>Cancelado</v>
      </c>
      <c r="H253">
        <f>IF(OR(G253="Sin pagar",G253="Pagar"),NETWORKDAYS($J$99,F253,'Festivos Colombia'!$A$3:$A$22),0)</f>
        <v>0</v>
      </c>
      <c r="I253">
        <f>NETWORKDAYS($J$99,F253,'Festivos Colombia'!$A$3:$A$22)</f>
        <v>19</v>
      </c>
      <c r="J253" s="7">
        <f>H253</f>
        <v>0</v>
      </c>
    </row>
    <row r="254" outlineLevel="1">
      <c r="D254" t="str">
        <v>C1022 - Root Capital</v>
      </c>
      <c r="E254" s="2">
        <v>13247564</v>
      </c>
      <c r="F254" s="1">
        <v>46108</v>
      </c>
      <c r="G254" t="str">
        <v>Cancelado</v>
      </c>
      <c r="H254">
        <f>IF(OR(G254="Sin pagar",G254="Pagar"),NETWORKDAYS($J$99,F254,'Festivos Colombia'!$A$3:$A$22),0)</f>
        <v>0</v>
      </c>
      <c r="I254">
        <f>NETWORKDAYS($J$99,F254,'Festivos Colombia'!$A$3:$A$22)</f>
        <v>19</v>
      </c>
      <c r="J254" s="7">
        <f>H254</f>
        <v>0</v>
      </c>
    </row>
    <row r="255" outlineLevel="1">
      <c r="D255" t="str">
        <v>C1024 - MKD</v>
      </c>
      <c r="E255" s="2">
        <v>2842696</v>
      </c>
      <c r="F255" s="1">
        <v>46108</v>
      </c>
      <c r="G255" t="str">
        <v>Cancelado</v>
      </c>
      <c r="H255">
        <f>IF(OR(G255="Sin pagar",G255="Pagar"),NETWORKDAYS($J$99,F255,'Festivos Colombia'!$A$3:$A$22),0)</f>
        <v>0</v>
      </c>
      <c r="I255">
        <f>NETWORKDAYS($J$99,F255,'Festivos Colombia'!$A$3:$A$22)</f>
        <v>19</v>
      </c>
      <c r="J255" s="7">
        <f>H255</f>
        <v>0</v>
      </c>
    </row>
    <row r="256" outlineLevel="1">
      <c r="D256" t="str">
        <v>C1029 - INSIDER</v>
      </c>
      <c r="E256" s="2">
        <f>292487078</f>
        <v>292487078</v>
      </c>
      <c r="F256" s="1">
        <v>46108</v>
      </c>
      <c r="G256" t="str">
        <v>Cancelado</v>
      </c>
      <c r="H256">
        <f>IF(OR(G256="Sin pagar",G256="Pagar"),NETWORKDAYS($J$99,F256,'Festivos Colombia'!$A$3:$A$22),0)</f>
        <v>0</v>
      </c>
      <c r="I256">
        <f>NETWORKDAYS($J$99,F256,'Festivos Colombia'!$A$3:$A$22)</f>
        <v>19</v>
      </c>
      <c r="J256" s="7">
        <f>H256</f>
        <v>0</v>
      </c>
    </row>
    <row r="257" outlineLevel="1">
      <c r="D257" t="str">
        <v>C1032 - FLEXCO</v>
      </c>
      <c r="E257" s="2">
        <v>7338849</v>
      </c>
      <c r="F257" s="1">
        <v>46108</v>
      </c>
      <c r="G257" t="str">
        <v>Cancelado</v>
      </c>
      <c r="H257">
        <f>IF(OR(G257="Sin pagar",G257="Pagar"),NETWORKDAYS($J$99,F257,'Festivos Colombia'!$A$3:$A$22),0)</f>
        <v>0</v>
      </c>
      <c r="I257">
        <f>NETWORKDAYS($J$99,F257,'Festivos Colombia'!$A$3:$A$22)</f>
        <v>19</v>
      </c>
      <c r="J257" s="7">
        <f>H257</f>
        <v>0</v>
      </c>
    </row>
    <row r="258" outlineLevel="1">
      <c r="D258" t="str">
        <v>C1037 - REMOFIRST</v>
      </c>
      <c r="E258" s="2">
        <f>785005821+3264128</f>
        <v>788269949</v>
      </c>
      <c r="F258" s="1">
        <v>46108</v>
      </c>
      <c r="G258" t="str">
        <v>Cancelado</v>
      </c>
      <c r="H258">
        <f>IF(OR(G258="Sin pagar",G258="Pagar"),NETWORKDAYS($J$99,F258,'Festivos Colombia'!$A$3:$A$22),0)</f>
        <v>0</v>
      </c>
      <c r="I258">
        <f>NETWORKDAYS($J$99,F258,'Festivos Colombia'!$A$3:$A$22)</f>
        <v>19</v>
      </c>
      <c r="J258" s="7">
        <f>H258</f>
        <v>0</v>
      </c>
    </row>
    <row r="259" outlineLevel="1">
      <c r="D259" t="str">
        <v>C1038 - ONCEHUB</v>
      </c>
      <c r="E259" s="2">
        <v>9259167</v>
      </c>
      <c r="F259" s="1">
        <v>46108</v>
      </c>
      <c r="G259" t="str">
        <v>Cancelado</v>
      </c>
      <c r="H259">
        <f>IF(OR(G259="Sin pagar",G259="Pagar"),NETWORKDAYS($J$99,F259,'Festivos Colombia'!$A$3:$A$22),0)</f>
        <v>0</v>
      </c>
      <c r="I259">
        <f>NETWORKDAYS($J$99,F259,'Festivos Colombia'!$A$3:$A$22)</f>
        <v>19</v>
      </c>
      <c r="J259" s="7">
        <f>H259</f>
        <v>0</v>
      </c>
    </row>
    <row r="260" outlineLevel="1">
      <c r="D260" t="str">
        <v>C1041 - EDRINGTON</v>
      </c>
      <c r="E260" s="2">
        <v>19151707</v>
      </c>
      <c r="F260" s="1">
        <v>46108</v>
      </c>
      <c r="G260" t="str">
        <v>Cancelado</v>
      </c>
      <c r="H260">
        <f>IF(OR(G260="Sin pagar",G260="Pagar"),NETWORKDAYS($J$99,F260,'Festivos Colombia'!$A$3:$A$22),0)</f>
        <v>0</v>
      </c>
      <c r="I260">
        <f>NETWORKDAYS($J$99,F260,'Festivos Colombia'!$A$3:$A$22)</f>
        <v>19</v>
      </c>
      <c r="J260" s="7">
        <f>H260</f>
        <v>0</v>
      </c>
    </row>
    <row r="261" outlineLevel="1">
      <c r="D261" t="str">
        <v>C1042 - EPDM</v>
      </c>
      <c r="E261" s="2">
        <v>6495192</v>
      </c>
      <c r="F261" s="1">
        <v>46108</v>
      </c>
      <c r="G261" t="str">
        <v>Cancelado</v>
      </c>
      <c r="H261">
        <f>IF(OR(G261="Sin pagar",G261="Pagar"),NETWORKDAYS($J$99,F261,'Festivos Colombia'!$A$3:$A$22),0)</f>
        <v>0</v>
      </c>
      <c r="I261">
        <f>NETWORKDAYS($J$99,F261,'Festivos Colombia'!$A$3:$A$22)</f>
        <v>19</v>
      </c>
      <c r="J261" s="7">
        <f>H261</f>
        <v>0</v>
      </c>
    </row>
    <row r="262" outlineLevel="1">
      <c r="D262" t="str">
        <v>C1043 - NEO</v>
      </c>
      <c r="E262" s="2">
        <v>47285365</v>
      </c>
      <c r="F262" s="1">
        <v>46108</v>
      </c>
      <c r="G262" t="str">
        <v>Cancelado</v>
      </c>
      <c r="H262">
        <f>IF(OR(G262="Sin pagar",G262="Pagar"),NETWORKDAYS($J$99,F262,'Festivos Colombia'!$A$3:$A$22),0)</f>
        <v>0</v>
      </c>
      <c r="I262">
        <f>NETWORKDAYS($J$99,F262,'Festivos Colombia'!$A$3:$A$22)</f>
        <v>19</v>
      </c>
      <c r="J262" s="7">
        <f>H262</f>
        <v>0</v>
      </c>
    </row>
    <row r="263" outlineLevel="1">
      <c r="D263" t="str">
        <v>C1050 - HEMMERSBACH</v>
      </c>
      <c r="E263" s="2">
        <v>12323248</v>
      </c>
      <c r="F263" s="1">
        <v>46108</v>
      </c>
      <c r="G263" t="str">
        <v>Cancelado</v>
      </c>
      <c r="H263">
        <f>IF(OR(G263="Sin pagar",G263="Pagar"),NETWORKDAYS($J$99,F263,'Festivos Colombia'!$A$3:$A$22),0)</f>
        <v>0</v>
      </c>
      <c r="I263">
        <f>NETWORKDAYS($J$99,F263,'Festivos Colombia'!$A$3:$A$22)</f>
        <v>19</v>
      </c>
      <c r="J263" s="7">
        <f>H263</f>
        <v>0</v>
      </c>
    </row>
    <row r="264" outlineLevel="1">
      <c r="D264" t="str">
        <v>C1051 - YONYOU</v>
      </c>
      <c r="E264" s="2">
        <f>26050177-3264128</f>
        <v>22786049</v>
      </c>
      <c r="F264" s="1">
        <v>46108</v>
      </c>
      <c r="G264" t="str">
        <v>Cancelado</v>
      </c>
      <c r="H264">
        <f>IF(OR(G264="Sin pagar",G264="Pagar"),NETWORKDAYS($J$99,F264,'Festivos Colombia'!$A$3:$A$22),0)</f>
        <v>0</v>
      </c>
      <c r="I264">
        <f>NETWORKDAYS($J$99,F264,'Festivos Colombia'!$A$3:$A$22)</f>
        <v>19</v>
      </c>
      <c r="J264" s="7">
        <f>H264</f>
        <v>0</v>
      </c>
    </row>
    <row r="265" outlineLevel="1">
      <c r="D265" t="str">
        <v>C1052 - BUBBLE BPM INC</v>
      </c>
      <c r="E265" s="2">
        <v>3264128</v>
      </c>
      <c r="F265" s="1">
        <v>46108</v>
      </c>
      <c r="G265" t="str">
        <v>Cancelado</v>
      </c>
      <c r="H265">
        <f>IF(OR(G265="Sin pagar",G265="Pagar"),NETWORKDAYS($J$99,F265,'Festivos Colombia'!$A$3:$A$22),0)</f>
        <v>0</v>
      </c>
      <c r="I265">
        <f>NETWORKDAYS($J$99,F265,'Festivos Colombia'!$A$3:$A$22)</f>
        <v>19</v>
      </c>
      <c r="J265" s="7">
        <f>H265</f>
        <v>0</v>
      </c>
    </row>
    <row r="266" outlineLevel="1">
      <c r="D266" t="str">
        <v>C1053 - GLOBAL EXPANSION</v>
      </c>
      <c r="E266" s="2">
        <v>1280000</v>
      </c>
      <c r="F266" s="1">
        <v>46108</v>
      </c>
      <c r="G266" t="str">
        <v>Cancelado</v>
      </c>
      <c r="H266">
        <f>IF(OR(G266="Sin pagar",G266="Pagar"),NETWORKDAYS($J$99,F266,'Festivos Colombia'!$A$3:$A$22),0)</f>
        <v>0</v>
      </c>
      <c r="I266">
        <f>NETWORKDAYS($J$99,F266,'Festivos Colombia'!$A$3:$A$22)</f>
        <v>19</v>
      </c>
      <c r="J266" s="7">
        <f>H266</f>
        <v>0</v>
      </c>
    </row>
    <row r="267" outlineLevel="1">
      <c r="D267" t="str">
        <v>C1055 - RIVERMATE</v>
      </c>
      <c r="E267" s="2">
        <v>44310885</v>
      </c>
      <c r="F267" s="1">
        <v>46108</v>
      </c>
      <c r="G267" t="str">
        <v>Cancelado</v>
      </c>
      <c r="H267">
        <f>IF(OR(G267="Sin pagar",G267="Pagar"),NETWORKDAYS($J$99,F267,'Festivos Colombia'!$A$3:$A$22),0)</f>
        <v>0</v>
      </c>
      <c r="I267">
        <f>NETWORKDAYS($J$99,F267,'Festivos Colombia'!$A$3:$A$22)</f>
        <v>19</v>
      </c>
      <c r="J267" s="7">
        <f>H267</f>
        <v>0</v>
      </c>
    </row>
    <row r="268" outlineLevel="1">
      <c r="D268" t="str">
        <v>C1056 - EUROPORTAGE</v>
      </c>
      <c r="E268" s="2">
        <v>59228852</v>
      </c>
      <c r="F268" s="1">
        <v>46108</v>
      </c>
      <c r="G268" t="str">
        <v>Cancelado</v>
      </c>
      <c r="H268">
        <f>IF(OR(G268="Sin pagar",G268="Pagar"),NETWORKDAYS($J$99,F268,'Festivos Colombia'!$A$3:$A$22),0)</f>
        <v>0</v>
      </c>
      <c r="I268">
        <f>NETWORKDAYS($J$99,F268,'Festivos Colombia'!$A$3:$A$22)</f>
        <v>19</v>
      </c>
      <c r="J268" s="7">
        <f>H268</f>
        <v>0</v>
      </c>
    </row>
    <row r="269" outlineLevel="1">
      <c r="D269" t="str">
        <v>C1058 - POC PHARMA</v>
      </c>
      <c r="E269" s="2">
        <v>11074092</v>
      </c>
      <c r="F269" s="1">
        <v>46108</v>
      </c>
      <c r="G269" t="str">
        <v>Cancelado</v>
      </c>
      <c r="H269">
        <f>IF(OR(G269="Sin pagar",G269="Pagar"),NETWORKDAYS($J$99,F269,'Festivos Colombia'!$A$3:$A$22),0)</f>
        <v>0</v>
      </c>
      <c r="I269">
        <f>NETWORKDAYS($J$99,F269,'Festivos Colombia'!$A$3:$A$22)</f>
        <v>19</v>
      </c>
      <c r="J269" s="7">
        <f>H269</f>
        <v>0</v>
      </c>
    </row>
    <row r="270" outlineLevel="1">
      <c r="D270" t="str">
        <v>C1059 - SIFFI</v>
      </c>
      <c r="E270" s="2">
        <v>5336000</v>
      </c>
      <c r="F270" s="1">
        <v>46108</v>
      </c>
      <c r="G270" t="str">
        <v>Cancelado</v>
      </c>
      <c r="H270">
        <f>IF(OR(G270="Sin pagar",G270="Pagar"),NETWORKDAYS($J$99,F270,'Festivos Colombia'!$A$3:$A$22),0)</f>
        <v>0</v>
      </c>
      <c r="I270">
        <f>NETWORKDAYS($J$99,F270,'Festivos Colombia'!$A$3:$A$22)</f>
        <v>19</v>
      </c>
      <c r="J270" s="7">
        <f>H270</f>
        <v>0</v>
      </c>
    </row>
    <row r="271" ht="14.25" customHeight="1" outlineLevel="1">
      <c r="A271" t="str">
        <f>G271</f>
        <v>Cancelado</v>
      </c>
      <c r="B271">
        <f>IF(I271&lt;=-1,1,IF(I271&lt;=5,2,IF(I271&lt;=15,3,IF(H271&lt;=60,4))))</f>
        <v>4</v>
      </c>
      <c r="C271" s="2" t="str">
        <v>1 registro</v>
      </c>
      <c r="D271" t="str">
        <v xml:space="preserve">Embargo Fabian Morales- Banco Agrario </v>
      </c>
      <c r="E271" s="2">
        <v>1112000</v>
      </c>
      <c r="F271" s="1">
        <v>46108</v>
      </c>
      <c r="G271" t="str">
        <v>Cancelado</v>
      </c>
      <c r="H271">
        <f>IF(OR(G271="Sin pagar",G271="Pagar"),NETWORKDAYS($J$99,F271,'Festivos Colombia'!$A$3:$A$22),0)</f>
        <v>0</v>
      </c>
      <c r="I271">
        <f>NETWORKDAYS($J$99,F271,'Festivos Colombia'!$A$3:$A$22)</f>
        <v>19</v>
      </c>
      <c r="J271" s="7">
        <f>H271</f>
        <v>0</v>
      </c>
    </row>
    <row r="272" outlineLevel="1">
      <c r="A272" t="str">
        <f>G272</f>
        <v>Cancelado</v>
      </c>
      <c r="B272">
        <f>IF(I272&lt;=-1,1,IF(I272&lt;=5,2,IF(I272&lt;=15,3,IF(H272&lt;=60,4))))</f>
        <v>4</v>
      </c>
      <c r="C272" t="str">
        <v>FPP464606</v>
      </c>
      <c r="D272" t="str">
        <v xml:space="preserve">People Pass </v>
      </c>
      <c r="E272" s="2">
        <v>12097393</v>
      </c>
      <c r="F272" s="1">
        <v>46108</v>
      </c>
      <c r="G272" t="str">
        <v>Cancelado</v>
      </c>
      <c r="H272">
        <f>IF(OR(G272="Sin pagar",G272="Pagar"),NETWORKDAYS($J$99,F272,'Festivos Colombia'!$A$3:$A$22),0)</f>
        <v>0</v>
      </c>
      <c r="I272">
        <f>NETWORKDAYS($J$99,F272,'Festivos Colombia'!$A$3:$A$22)</f>
        <v>19</v>
      </c>
      <c r="J272" s="7">
        <f>H272</f>
        <v>0</v>
      </c>
    </row>
    <row r="273" ht="15.75" customHeight="1" outlineLevel="1">
      <c r="A273" t="str">
        <f>G273</f>
        <v>Cancelado</v>
      </c>
      <c r="B273">
        <f>IF(I273&lt;=-1,1,IF(I273&lt;=5,2,IF(I273&lt;=15,3,IF(H273&lt;=60,4))))</f>
        <v>4</v>
      </c>
      <c r="D273" t="str">
        <v>Pago vaciones en dinero German Hincapie</v>
      </c>
      <c r="E273" s="2">
        <v>881661</v>
      </c>
      <c r="F273" s="1">
        <v>46111</v>
      </c>
      <c r="G273" t="str">
        <v>Cancelado</v>
      </c>
      <c r="H273">
        <f>IF(OR(G273="Sin pagar",G273="Pagar"),NETWORKDAYS($J$99,F273,'Festivos Colombia'!$A$3:$A$22),0)</f>
        <v>0</v>
      </c>
      <c r="I273">
        <f>NETWORKDAYS($J$99,F273,'Festivos Colombia'!$A$3:$A$22)</f>
        <v>20</v>
      </c>
      <c r="J273" s="7">
        <f>H273</f>
        <v>0</v>
      </c>
    </row>
    <row r="274" ht="16.5" customHeight="1">
      <c r="D274" t="str">
        <v xml:space="preserve">LIQUIDACIONES </v>
      </c>
      <c r="E274" s="2">
        <f>SUBTOTAL(9,E275:E281)</f>
        <v>163292993</v>
      </c>
    </row>
    <row r="275" outlineLevel="1">
      <c r="A275" t="e">
        <f>#REF!</f>
        <v>#REF!</v>
      </c>
      <c r="B275">
        <f>IF(I275&lt;=-1,1,IF(I275&lt;=5,2,IF(I275&lt;=15,3,IF(H275&lt;=60,4))))</f>
        <v>2</v>
      </c>
      <c r="D275" t="str">
        <v>Liquidación Santiago posada Remofirst</v>
      </c>
      <c r="E275" s="2">
        <v>6235813</v>
      </c>
      <c r="F275" s="1">
        <v>46082</v>
      </c>
      <c r="G275" t="str">
        <v>Cancelado</v>
      </c>
      <c r="H275">
        <f>IF(OR(G275="Sin pagar",G275="Pagar"),NETWORKDAYS($J$99,F275,'Festivos Colombia'!$A$3:$A$22),0)</f>
        <v>0</v>
      </c>
      <c r="I275">
        <f>NETWORKDAYS($J$99,F275,'Festivos Colombia'!$A$3:$A$22)</f>
        <v>0</v>
      </c>
      <c r="J275" s="7">
        <f>H275</f>
        <v>0</v>
      </c>
    </row>
    <row r="276" outlineLevel="1">
      <c r="A276" t="e">
        <f>#REF!</f>
        <v>#REF!</v>
      </c>
      <c r="B276">
        <f>IF(I276&lt;=-1,1,IF(I276&lt;=5,2,IF(I276&lt;=15,3,IF(H276&lt;=60,4))))</f>
        <v>3</v>
      </c>
      <c r="D276" t="str">
        <v>Liquidación Laura Gómez Diaz -S&amp;P</v>
      </c>
      <c r="E276" s="2">
        <v>3589219</v>
      </c>
      <c r="F276" s="1">
        <v>46094</v>
      </c>
      <c r="G276" t="str">
        <v>Cancelado</v>
      </c>
      <c r="H276">
        <f>IF(OR(G276="Sin pagar",G276="Pagar"),NETWORKDAYS($J$99,F276,'Festivos Colombia'!$A$3:$A$22),0)</f>
        <v>0</v>
      </c>
      <c r="I276">
        <f>NETWORKDAYS($J$99,F276,'Festivos Colombia'!$A$3:$A$22)</f>
        <v>10</v>
      </c>
      <c r="J276" s="7">
        <f>H276</f>
        <v>0</v>
      </c>
    </row>
    <row r="277" outlineLevel="1">
      <c r="A277" t="e">
        <f>#REF!</f>
        <v>#REF!</v>
      </c>
      <c r="B277">
        <f>IF(I277&lt;=-1,1,IF(I277&lt;=5,2,IF(I277&lt;=15,3,IF(H277&lt;=60,4))))</f>
        <v>3</v>
      </c>
      <c r="D277" t="str">
        <v xml:space="preserve">ReLiquidación José Luis Sepulveda Forero-Neo </v>
      </c>
      <c r="E277" s="2">
        <v>1862000</v>
      </c>
      <c r="F277" s="1">
        <v>46101</v>
      </c>
      <c r="G277" t="str">
        <v>Cancelado</v>
      </c>
      <c r="H277">
        <f>IF(OR(G277="Sin pagar",G277="Pagar"),NETWORKDAYS($J$99,F277,'Festivos Colombia'!$A$3:$A$22),0)</f>
        <v>0</v>
      </c>
      <c r="I277">
        <f>NETWORKDAYS($J$99,F277,'Festivos Colombia'!$A$3:$A$22)</f>
        <v>15</v>
      </c>
      <c r="J277" s="7">
        <f>H277</f>
        <v>0</v>
      </c>
    </row>
    <row r="278" outlineLevel="1">
      <c r="A278" t="e">
        <f>#REF!</f>
        <v>#REF!</v>
      </c>
      <c r="B278">
        <f>IF(I278&lt;=-1,1,IF(I278&lt;=5,2,IF(I278&lt;=15,3,IF(H278&lt;=60,4))))</f>
        <v>4</v>
      </c>
      <c r="D278" t="str">
        <v>Liquidación Luis Fernando Coronado- S&amp;P</v>
      </c>
      <c r="E278" s="2">
        <v>1167961</v>
      </c>
      <c r="F278" s="1">
        <v>46108</v>
      </c>
      <c r="G278" t="str">
        <v>Cancelado</v>
      </c>
      <c r="H278">
        <f>IF(OR(G278="Sin pagar",G278="Pagar"),NETWORKDAYS($J$99,F278,'Festivos Colombia'!$A$3:$A$22),0)</f>
        <v>0</v>
      </c>
      <c r="I278">
        <f>NETWORKDAYS($J$99,F278,'Festivos Colombia'!$A$3:$A$22)</f>
        <v>19</v>
      </c>
      <c r="J278" s="7">
        <f>H278</f>
        <v>0</v>
      </c>
    </row>
    <row r="279" outlineLevel="1">
      <c r="A279" t="e">
        <f>#REF!</f>
        <v>#REF!</v>
      </c>
      <c r="B279">
        <f>IF(I279&lt;=-1,1,IF(I279&lt;=5,2,IF(I279&lt;=15,3,IF(H279&lt;=60,4))))</f>
        <v>4</v>
      </c>
      <c r="D279" t="str">
        <v>Liquidación Stiven Smith Narvaez Ortiz- S&amp;P</v>
      </c>
      <c r="E279" s="2">
        <v>8890544</v>
      </c>
      <c r="F279" s="1">
        <v>46108</v>
      </c>
      <c r="G279" t="str">
        <v>Cancelado</v>
      </c>
      <c r="H279">
        <f>IF(OR(G279="Sin pagar",G279="Pagar"),NETWORKDAYS($J$99,F279,'Festivos Colombia'!$A$3:$A$22),0)</f>
        <v>0</v>
      </c>
      <c r="I279">
        <f>NETWORKDAYS($J$99,F279,'Festivos Colombia'!$A$3:$A$22)</f>
        <v>19</v>
      </c>
      <c r="J279" s="7">
        <f>H279</f>
        <v>0</v>
      </c>
    </row>
    <row r="280" outlineLevel="1">
      <c r="A280" t="e">
        <f>#REF!</f>
        <v>#REF!</v>
      </c>
      <c r="B280">
        <f>IF(I280&lt;=-1,1,IF(I280&lt;=5,2,IF(I280&lt;=15,3,IF(H280&lt;=60,4))))</f>
        <v>4</v>
      </c>
      <c r="D280" t="str">
        <v>Liquidación Juan Pablo Chaves Parra-Remofrist</v>
      </c>
      <c r="E280" s="2">
        <v>2568864</v>
      </c>
      <c r="F280" s="1">
        <v>46112</v>
      </c>
      <c r="G280" t="str">
        <v>Cancelado</v>
      </c>
      <c r="H280">
        <f>IF(OR(G280="Sin pagar",G280="Pagar"),NETWORKDAYS($J$99,F280,'Festivos Colombia'!$A$3:$A$22),0)</f>
        <v>0</v>
      </c>
      <c r="I280">
        <f>NETWORKDAYS($J$99,F280,'Festivos Colombia'!$A$3:$A$22)</f>
        <v>21</v>
      </c>
      <c r="J280" s="7">
        <f>H280</f>
        <v>0</v>
      </c>
    </row>
    <row r="281" ht="15.75" customHeight="1" outlineLevel="1">
      <c r="A281" t="e">
        <f>#REF!</f>
        <v>#REF!</v>
      </c>
      <c r="B281">
        <f>IF(I281&lt;=-1,1,IF(I281&lt;=5,2,IF(I281&lt;=15,3,IF(H281&lt;=60,4))))</f>
        <v>4</v>
      </c>
      <c r="D281" t="str">
        <v>Liquidación Edgar Felipe Chaves Rodriguez</v>
      </c>
      <c r="E281" s="2">
        <v>138978592</v>
      </c>
      <c r="F281" s="1">
        <v>46118</v>
      </c>
      <c r="G281" t="str">
        <v>Cancelado</v>
      </c>
      <c r="H281">
        <f>IF(OR(G281="Sin pagar",G281="Pagar"),NETWORKDAYS($J$99,F281,'Festivos Colombia'!$A$3:$A$22),0)</f>
        <v>0</v>
      </c>
      <c r="I281">
        <f>NETWORKDAYS($J$99,F281,'Festivos Colombia'!$A$3:$A$22)</f>
        <v>23</v>
      </c>
      <c r="J281" s="7">
        <f>H281</f>
        <v>0</v>
      </c>
    </row>
    <row r="282" ht="16.5" customHeight="1">
      <c r="D282" t="str">
        <v>IMPREVISTO</v>
      </c>
      <c r="E282" s="2">
        <f>SUBTOTAL(9,E283:E291)</f>
        <v>6072186</v>
      </c>
    </row>
    <row r="283" ht="15" customHeight="1" outlineLevel="1">
      <c r="A283" t="str">
        <f>G283</f>
        <v>Cancelado</v>
      </c>
      <c r="B283">
        <f>IF(I283&lt;=-1,1,IF(I283&lt;=5,2,IF(I283&lt;=15,3,IF(H283&lt;=60,4))))</f>
        <v>2</v>
      </c>
      <c r="C283" s="4" t="str">
        <v>702386580</v>
      </c>
      <c r="D283" t="str">
        <v>Anticipo alba suarez- Impresiones petrobra</v>
      </c>
      <c r="E283" s="2">
        <v>250000</v>
      </c>
      <c r="F283" s="1">
        <v>46086</v>
      </c>
      <c r="G283" t="str">
        <v>Cancelado</v>
      </c>
      <c r="H283">
        <f>IF(OR(G283="Sin pagar",G283="Pagar"),NETWORKDAYS($J$99,F283,'Festivos Colombia'!$A$3:$A$22),0)</f>
        <v>0</v>
      </c>
      <c r="I283">
        <f>NETWORKDAYS($J$99,F283,'Festivos Colombia'!$A$3:$A$22)</f>
        <v>4</v>
      </c>
      <c r="J283" s="7">
        <f>H283</f>
        <v>0</v>
      </c>
    </row>
    <row r="284" ht="15" customHeight="1" outlineLevel="1">
      <c r="A284" t="str">
        <f>G284</f>
        <v>Cancelado</v>
      </c>
      <c r="B284">
        <f>IF(I284&lt;=-1,1,IF(I284&lt;=5,2,IF(I284&lt;=15,3,IF(H284&lt;=60,4))))</f>
        <v>3</v>
      </c>
      <c r="C284" s="4" t="str">
        <v>702386580</v>
      </c>
      <c r="D284" t="str">
        <v>Anticipo alba suarez- Impresiones petrobra</v>
      </c>
      <c r="E284" s="2">
        <v>307800</v>
      </c>
      <c r="F284" s="1">
        <v>46090</v>
      </c>
      <c r="G284" t="str">
        <v>Cancelado</v>
      </c>
      <c r="H284">
        <f>IF(OR(G284="Sin pagar",G284="Pagar"),NETWORKDAYS($J$99,F284,'Festivos Colombia'!$A$3:$A$22),0)</f>
        <v>0</v>
      </c>
      <c r="I284">
        <f>NETWORKDAYS($J$99,F284,'Festivos Colombia'!$A$3:$A$22)</f>
        <v>6</v>
      </c>
      <c r="J284" s="7">
        <f>H284</f>
        <v>0</v>
      </c>
    </row>
    <row r="285" ht="15" customHeight="1" outlineLevel="1">
      <c r="A285" t="str">
        <f>G285</f>
        <v>Cancelado</v>
      </c>
      <c r="B285">
        <f>IF(I285&lt;=-1,1,IF(I285&lt;=5,2,IF(I285&lt;=15,3,IF(H285&lt;=60,4))))</f>
        <v>2</v>
      </c>
      <c r="C285">
        <v>10025785</v>
      </c>
      <c r="D285" t="str">
        <v>Certificado camara de comercio S&amp;P</v>
      </c>
      <c r="E285" s="2">
        <v>12100</v>
      </c>
      <c r="F285" s="1">
        <v>46086</v>
      </c>
      <c r="G285" t="str">
        <v>Cancelado</v>
      </c>
      <c r="H285">
        <f>IF(OR(G285="Sin pagar",G285="Pagar"),NETWORKDAYS($J$99,F285,'Festivos Colombia'!$A$3:$A$22),0)</f>
        <v>0</v>
      </c>
      <c r="I285">
        <f>NETWORKDAYS($J$99,F285,'Festivos Colombia'!$A$3:$A$22)</f>
        <v>4</v>
      </c>
      <c r="J285" s="7">
        <f>H285</f>
        <v>0</v>
      </c>
    </row>
    <row r="286" ht="15" customHeight="1" outlineLevel="1">
      <c r="A286" t="str">
        <f>G286</f>
        <v>Cancelado</v>
      </c>
      <c r="B286">
        <f>IF(I286&lt;=-1,1,IF(I286&lt;=5,2,IF(I286&lt;=15,3,IF(H286&lt;=60,4))))</f>
        <v>3</v>
      </c>
      <c r="C286" t="str">
        <v>S/N</v>
      </c>
      <c r="D286" t="str">
        <v>Reembolso eduard forero por pago de la TC</v>
      </c>
      <c r="E286" s="2">
        <v>703528</v>
      </c>
      <c r="F286" s="1">
        <v>46101</v>
      </c>
      <c r="G286" t="str">
        <v>Cancelado</v>
      </c>
      <c r="H286">
        <f>IF(OR(G286="Sin pagar",G286="Pagar"),NETWORKDAYS($J$99,F286,'Festivos Colombia'!$A$3:$A$22),0)</f>
        <v>0</v>
      </c>
      <c r="I286">
        <f>NETWORKDAYS($J$99,F286,'Festivos Colombia'!$A$3:$A$22)</f>
        <v>15</v>
      </c>
      <c r="J286" s="7">
        <f>H286</f>
        <v>0</v>
      </c>
    </row>
    <row r="287" ht="15" customHeight="1" outlineLevel="1">
      <c r="A287" t="str">
        <f>G287</f>
        <v>Cancelado</v>
      </c>
      <c r="B287">
        <f>IF(I287&lt;=-1,1,IF(I287&lt;=5,2,IF(I287&lt;=15,3,IF(H287&lt;=60,4))))</f>
        <v>4</v>
      </c>
      <c r="C287" t="str">
        <v>FERA 2716</v>
      </c>
      <c r="D287" t="str">
        <v>Refri break - Almuerzo Líderes reunion 26 de marzo</v>
      </c>
      <c r="E287" s="2">
        <v>328258</v>
      </c>
      <c r="F287" s="1">
        <v>46106</v>
      </c>
      <c r="G287" t="str">
        <v>Cancelado</v>
      </c>
      <c r="H287">
        <f>IF(OR(G287="Sin pagar",G287="Pagar"),NETWORKDAYS($J$99,F287,'Festivos Colombia'!$A$3:$A$22),0)</f>
        <v>0</v>
      </c>
      <c r="I287">
        <f>NETWORKDAYS($J$99,F287,'Festivos Colombia'!$A$3:$A$22)</f>
        <v>17</v>
      </c>
      <c r="J287" s="7">
        <f>H287</f>
        <v>0</v>
      </c>
    </row>
    <row r="288" ht="15" customHeight="1" outlineLevel="1">
      <c r="A288" t="str">
        <f>G288</f>
        <v>Cancelado</v>
      </c>
      <c r="B288">
        <f>IF(I288&lt;=-1,1,IF(I288&lt;=5,2,IF(I288&lt;=15,3,IF(H288&lt;=60,4))))</f>
        <v>4</v>
      </c>
      <c r="C288" t="str">
        <v>S/N</v>
      </c>
      <c r="D288" t="str">
        <v>Reembolso de gastos Julieth bonilla por transferencia de fondos a panamá Western union</v>
      </c>
      <c r="E288" s="2">
        <v>200000</v>
      </c>
      <c r="F288" s="1">
        <v>46108</v>
      </c>
      <c r="G288" t="str">
        <v>Cancelado</v>
      </c>
      <c r="H288">
        <f>IF(OR(G288="Sin pagar",G288="Pagar"),NETWORKDAYS($J$99,F288,'Festivos Colombia'!$A$3:$A$22),0)</f>
        <v>0</v>
      </c>
      <c r="I288">
        <f>NETWORKDAYS($J$99,F288,'Festivos Colombia'!$A$3:$A$22)</f>
        <v>19</v>
      </c>
      <c r="J288" s="7">
        <f>H288</f>
        <v>0</v>
      </c>
    </row>
    <row r="289" ht="15" customHeight="1" outlineLevel="1">
      <c r="A289" t="str">
        <f>G289</f>
        <v>Cancelado</v>
      </c>
      <c r="B289">
        <f>IF(I289&lt;=-1,1,IF(I289&lt;=5,2,IF(I289&lt;=15,3,IF(H289&lt;=60,4))))</f>
        <v>4</v>
      </c>
      <c r="D289" t="str">
        <v xml:space="preserve">Renovacion cámara de comercio </v>
      </c>
      <c r="E289" s="2">
        <v>3970500</v>
      </c>
      <c r="F289" s="1">
        <v>46112</v>
      </c>
      <c r="G289" t="str">
        <v>Cancelado</v>
      </c>
      <c r="H289">
        <f>IF(OR(G289="Sin pagar",G289="Pagar"),NETWORKDAYS($J$99,F289,'Festivos Colombia'!$A$3:$A$22),0)</f>
        <v>0</v>
      </c>
      <c r="I289">
        <f>NETWORKDAYS($J$99,F289,'Festivos Colombia'!$A$3:$A$22)</f>
        <v>21</v>
      </c>
      <c r="J289" s="7">
        <f>H289</f>
        <v>0</v>
      </c>
    </row>
    <row r="290" ht="15" customHeight="1" outlineLevel="1">
      <c r="A290" t="str">
        <f>G290</f>
        <v>Cancelado</v>
      </c>
      <c r="B290">
        <f>IF(I290&lt;=-1,1,IF(I290&lt;=5,2,IF(I290&lt;=15,3,IF(H290&lt;=60,4))))</f>
        <v>4</v>
      </c>
      <c r="D290" t="str">
        <v xml:space="preserve">Devolucion de  anticipo edrington </v>
      </c>
      <c r="E290" s="2">
        <f>(89512000/2)*0</f>
        <v>0</v>
      </c>
      <c r="F290" s="1">
        <v>46112</v>
      </c>
      <c r="G290" t="str">
        <v>Cancelado</v>
      </c>
      <c r="H290">
        <f>IF(OR(G290="Sin pagar",G290="Pagar"),NETWORKDAYS($J$99,F290,'Festivos Colombia'!$A$3:$A$22),0)</f>
        <v>0</v>
      </c>
      <c r="I290">
        <f>NETWORKDAYS($J$99,F290,'Festivos Colombia'!$A$3:$A$22)</f>
        <v>21</v>
      </c>
      <c r="J290" s="7">
        <f>H290</f>
        <v>0</v>
      </c>
    </row>
    <row r="291" ht="15" customHeight="1" outlineLevel="1">
      <c r="A291" t="str">
        <f>G291</f>
        <v>Cancelado</v>
      </c>
      <c r="B291">
        <f>IF(I291&lt;=-1,1,IF(I291&lt;=5,2,IF(I291&lt;=15,3,IF(H291&lt;=60,4))))</f>
        <v>4</v>
      </c>
      <c r="D291" t="str">
        <v>Anticipo de dinero Yecid Martin</v>
      </c>
      <c r="E291" s="2">
        <v>300000</v>
      </c>
      <c r="F291" s="1">
        <v>46119</v>
      </c>
      <c r="G291" t="str">
        <v>Cancelado</v>
      </c>
      <c r="H291">
        <f>IF(OR(G291="Sin pagar",G291="Pagar"),NETWORKDAYS($J$99,F291,'Festivos Colombia'!$A$3:$A$22),0)</f>
        <v>0</v>
      </c>
      <c r="I291">
        <f>NETWORKDAYS($J$99,F291,'Festivos Colombia'!$A$3:$A$22)</f>
        <v>24</v>
      </c>
      <c r="J291" s="7">
        <f>H291</f>
        <v>0</v>
      </c>
    </row>
    <row r="292" ht="14.25" customHeight="1">
      <c r="D292" t="str">
        <v>TOTAL EGRESOS</v>
      </c>
      <c r="E292" s="2">
        <f>SUBTOTAL(9,E101:E291)</f>
        <v>2715664341.9842997</v>
      </c>
    </row>
    <row r="293" ht="15.75" customHeight="1"/>
    <row r="294" ht="15.75" customHeight="1">
      <c r="D294" t="str">
        <v>SALDO</v>
      </c>
      <c r="E294" s="2">
        <f>E96-E292</f>
        <v>772774870.7075005</v>
      </c>
    </row>
    <row r="295" ht="15.75" customHeight="1">
      <c r="D295" t="str">
        <v xml:space="preserve">% </v>
      </c>
      <c r="E295" s="8">
        <f>IF($E$96=0,0,E294/$E$96)</f>
        <v>0.22152453392220664</v>
      </c>
    </row>
    <row r="296" ht="15.75" customHeight="1"/>
    <row r="297" ht="15.75" customHeight="1">
      <c r="D297" t="str">
        <v>Nombre</v>
      </c>
    </row>
    <row r="298">
      <c r="D298" t="str">
        <v>Jerson Porras -Tarjeta 7</v>
      </c>
      <c r="E298" s="2" t="str">
        <v>Carestream</v>
      </c>
    </row>
    <row r="299">
      <c r="D299" t="str">
        <v>Monica Fabiana Hernandez Pinto - Tarjeta 8</v>
      </c>
      <c r="E299" s="2" t="str">
        <v>Root capital</v>
      </c>
    </row>
    <row r="300"/>
    <row r="301"/>
    <row r="302" ht="5.25" customHeight="1"/>
    <row r="303">
      <c r="D303" s="9" t="str">
        <v>Pagos del 23 al 31 marzo</v>
      </c>
      <c r="E303" s="2">
        <v>0</v>
      </c>
    </row>
    <row r="304" ht="15.75" customHeight="1">
      <c r="D304" t="str">
        <v xml:space="preserve">4 x mil </v>
      </c>
      <c r="E304" s="2">
        <f>(E303*4)/1000</f>
        <v>0</v>
      </c>
    </row>
    <row r="305" ht="15.75" customHeight="1">
      <c r="D305" t="str">
        <v>Gran total</v>
      </c>
      <c r="E305" s="2">
        <f>E303+E304</f>
        <v>0</v>
      </c>
    </row>
    <row r="306"/>
    <row r="307"/>
    <row r="308">
      <c r="D308" t="str">
        <v>BBVA 07/04/2026</v>
      </c>
      <c r="E308" s="2">
        <v>9189970.63</v>
      </c>
    </row>
    <row r="309" ht="15.75" customHeight="1">
      <c r="D309" s="1" t="str">
        <v>Bancolombia  07/04/2026</v>
      </c>
      <c r="E309" s="2">
        <f>763886099.63-301200</f>
        <v>763584899.63</v>
      </c>
    </row>
    <row r="310" ht="15.75" customHeight="1">
      <c r="D310" t="str">
        <v xml:space="preserve">Total Caja </v>
      </c>
      <c r="E310" s="2">
        <f>SUM(E308:E309)</f>
        <v>772774870.26</v>
      </c>
    </row>
    <row r="311" ht="14.25" customHeight="1"/>
    <row r="312">
      <c r="D312" s="9" t="str">
        <v>Superavit o Deficit</v>
      </c>
      <c r="E312" s="2">
        <f>E310-E305</f>
        <v>772774870.26</v>
      </c>
    </row>
    <row r="313"/>
    <row r="314"/>
    <row r="315"/>
    <row r="316">
      <c r="D316" t="str">
        <v>Banco Panamá S&amp;P USD 07/04/2026</v>
      </c>
      <c r="E316" s="5">
        <v>42967.01</v>
      </c>
      <c r="F316" s="5">
        <v>43246.46</v>
      </c>
      <c r="G316" s="5">
        <f>E316-F316</f>
        <v>-279.4499999999971</v>
      </c>
      <c r="K316" s="5">
        <v>2616.55</v>
      </c>
    </row>
    <row r="317">
      <c r="D317" t="str">
        <v>BAC Costa Rica  ₡ 07/04/2026</v>
      </c>
      <c r="E317" s="10">
        <v>36606225.82567004</v>
      </c>
      <c r="F317" s="5">
        <f>E317/480</f>
        <v>76262.97047014591</v>
      </c>
      <c r="G317" s="5">
        <f>F317+E318</f>
        <v>105138.20047014591</v>
      </c>
    </row>
    <row r="318">
      <c r="D318" t="str">
        <v>BAC Costa Rica  USD 07/04/2026</v>
      </c>
      <c r="E318" s="5">
        <v>28875.23</v>
      </c>
    </row>
    <row r="319">
      <c r="D319" t="str">
        <v>Banco Bibankg Guatemala QTZ 07/04/2026</v>
      </c>
      <c r="E319" s="10">
        <v>523366.30346177786</v>
      </c>
      <c r="F319" s="5">
        <f>E319/7.46</f>
        <v>70156.34094661902</v>
      </c>
      <c r="G319" s="5">
        <f>F319+E320</f>
        <v>76652.83094661901</v>
      </c>
    </row>
    <row r="320">
      <c r="D320" t="str">
        <v>Banco Bibankg Guatemala USD 07/04/2026</v>
      </c>
      <c r="E320" s="5">
        <v>6496.489999999991</v>
      </c>
    </row>
    <row r="321">
      <c r="D321" t="str">
        <v>BCP Perú Soles 07/04/2026</v>
      </c>
      <c r="E321" s="11">
        <v>382280.32127186365</v>
      </c>
      <c r="F321" s="5">
        <f>E321/3.52</f>
        <v>108602.36399768853</v>
      </c>
      <c r="G321" s="5">
        <f>F321+E322+F323+E324</f>
        <v>124251.85399004209</v>
      </c>
    </row>
    <row r="322">
      <c r="D322" t="str">
        <v>BCP Perú USD 07/04/2026</v>
      </c>
      <c r="E322" s="5">
        <v>15140.983713283786</v>
      </c>
    </row>
    <row r="323">
      <c r="D323" t="str">
        <v>BBVA Perú Soles 07/04/2026</v>
      </c>
      <c r="E323" s="11">
        <v>1714.38</v>
      </c>
      <c r="F323" s="5">
        <f>E323/3.44</f>
        <v>498.3662790697675</v>
      </c>
    </row>
    <row r="324">
      <c r="D324" t="str">
        <v>BBVA Perú USD 07/04/2026</v>
      </c>
      <c r="E324" s="5">
        <v>10.14</v>
      </c>
    </row>
    <row r="325">
      <c r="D325" t="str">
        <v>Bancolombia ACT&amp;J COPS 07/04/2026</v>
      </c>
      <c r="E325" s="2">
        <v>292927.05</v>
      </c>
    </row>
    <row r="326"/>
    <row r="327" ht="16.5" customHeight="1">
      <c r="D327" t="str">
        <v>Banco Aliado Panamá USD 30/03/2026</v>
      </c>
      <c r="E327" s="10">
        <f>51472.96*0</f>
        <v>0</v>
      </c>
      <c r="F327" s="10" t="str">
        <v>Dato Informativo no es CTA de S&amp;P</v>
      </c>
    </row>
    <row r="328"/>
    <row r="330">
      <c r="D330" t="str">
        <v>Bancos</v>
      </c>
      <c r="E330" s="2">
        <v>13</v>
      </c>
    </row>
    <row r="331">
      <c r="D331" t="str">
        <v>Cuentas</v>
      </c>
      <c r="E331" s="2">
        <v>17</v>
      </c>
    </row>
    <row r="332"/>
    <row r="334">
      <c r="E334" s="5">
        <f>18091.99+2</f>
        <v>18093.99</v>
      </c>
    </row>
    <row r="337">
      <c r="D337" t="str">
        <v>Cuenta de la hermana Yadira</v>
      </c>
      <c r="E337" s="5">
        <v>3000</v>
      </c>
      <c r="F337" t="str">
        <v>Banco</v>
      </c>
    </row>
    <row r="338">
      <c r="D338" t="str">
        <v>Cuenta del esposo</v>
      </c>
      <c r="E338" s="5">
        <v>2200</v>
      </c>
      <c r="F338" t="str">
        <v>Banco</v>
      </c>
    </row>
    <row r="339">
      <c r="D339" t="str">
        <v>Western yadira</v>
      </c>
      <c r="E339" s="5">
        <v>6000</v>
      </c>
      <c r="F339" t="str">
        <v xml:space="preserve">Usuario Alfonso </v>
      </c>
      <c r="G339" s="2">
        <v>170000</v>
      </c>
      <c r="J339" s="5">
        <f>G339/3704.87</f>
        <v>45.88555064010343</v>
      </c>
      <c r="K339" s="5">
        <f>E339+J339</f>
        <v>6045.885550640103</v>
      </c>
    </row>
    <row r="340">
      <c r="D340" t="str">
        <v>Western esposo yadira</v>
      </c>
      <c r="E340" s="5">
        <v>3894</v>
      </c>
      <c r="F340" t="str">
        <v>Mensajería</v>
      </c>
      <c r="G340" s="2">
        <f>(210084+39915.86)+100000</f>
        <v>349999.86</v>
      </c>
      <c r="J340" s="5">
        <f>G340/3704.87</f>
        <v>94.47021352975948</v>
      </c>
      <c r="K340" s="5">
        <f>E340+J340</f>
        <v>3988.4702135297593</v>
      </c>
    </row>
    <row r="341">
      <c r="D341" t="str">
        <v>Western hermana Yadira</v>
      </c>
      <c r="E341" s="5">
        <v>3000</v>
      </c>
      <c r="F341" t="str">
        <v xml:space="preserve">Mensajeria </v>
      </c>
      <c r="G341" s="2">
        <f>(210084+39915.86)+100000</f>
        <v>349999.86</v>
      </c>
      <c r="J341" s="5">
        <f>(G341/3704.87)+0.17</f>
        <v>94.64021352975948</v>
      </c>
      <c r="K341" s="5">
        <f>E341+J341</f>
        <v>3094.6402135297594</v>
      </c>
    </row>
    <row r="342">
      <c r="E342" s="5">
        <f>SUM(E337:E341)</f>
        <v>18094</v>
      </c>
      <c r="G342" s="2">
        <v>900000</v>
      </c>
      <c r="J342" s="5">
        <f>SUM(J339:J341)</f>
        <v>234.9959776996224</v>
      </c>
      <c r="K342" s="5">
        <f>SUM(K339:K341)</f>
        <v>13128.995977699622</v>
      </c>
    </row>
    <row r="345">
      <c r="E345" s="5">
        <f>SUM(E339:E341)</f>
        <v>12894</v>
      </c>
      <c r="J345" s="5">
        <f>+J342+E345</f>
        <v>13128.995977699622</v>
      </c>
    </row>
    <row r="347"/>
  </sheetData>
  <autoFilter ref="C100:K291"/>
  <mergeCells count="1">
    <mergeCell ref="D301:E301"/>
  </mergeCells>
  <pageMargins left="0.7" right="0.7" top="0.75" bottom="0.75" header="0.3" footer="0.3"/>
  <ignoredErrors>
    <ignoredError numberStoredAsText="1" sqref="A1:X347"/>
  </ignoredErrors>
  <legacyDrawing r:id="rId1"/>
</worksheet>
</file>

<file path=xl/worksheets/sheet6.xml><?xml version="1.0" encoding="utf-8"?>
<worksheet xmlns="http://schemas.openxmlformats.org/spreadsheetml/2006/main" xmlns:r="http://schemas.openxmlformats.org/officeDocument/2006/relationships">
  <dimension ref="A1:X249"/>
  <sheetViews>
    <sheetView workbookViewId="0" rightToLeft="0"/>
  </sheetViews>
  <cols>
    <col min="1" max="1" customWidth="1" width="10.140625" hidden="true"/>
    <col min="2" max="2" customWidth="1" width="6.5703125" hidden="true"/>
    <col min="3" max="3" customWidth="1" width="18.140625"/>
    <col min="4" max="4" customWidth="1" width="81.42578125"/>
    <col min="5" max="5" customWidth="1" width="24.42578125"/>
    <col min="6" max="6" customWidth="1" width="24.7109375"/>
    <col min="7" max="7" customWidth="1" width="14.7109375"/>
    <col min="8" max="8" customWidth="1" width="9.42578125" hidden="true"/>
    <col min="9" max="9" customWidth="1" width="9.42578125" hidden="true"/>
    <col min="10" max="10" customWidth="1" width="15.85546875"/>
    <col min="11" max="11" customWidth="1" width="19.5703125"/>
    <col min="12" max="12" customWidth="1" width="21.5703125"/>
    <col min="13" max="13" customWidth="1" width="15.7109375"/>
    <col min="14" max="14" customWidth="1" width="13.85546875"/>
    <col min="15" max="15" customWidth="1" width="15.85546875"/>
    <col min="16" max="16" customWidth="1" width="15.85546875"/>
    <col min="17" max="17" customWidth="1" width="15.85546875"/>
    <col min="18" max="18" customWidth="1" width="14.5703125"/>
    <col min="19" max="19" customWidth="1" width="13.140625"/>
    <col min="20" max="20" customWidth="1" width="26.140625"/>
    <col min="21" max="21" customWidth="1" width="19.28515625"/>
    <col min="22" max="22" customWidth="1" width="15.28515625"/>
    <col min="23" max="23" customWidth="1" width="14"/>
    <col min="24" max="24" customWidth="1" width="13"/>
    <col min="25" max="25" customWidth="1" width="11.42578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idden="1" ht="15" customHeight="1">
      <c r="E1" s="2">
        <v>42400</v>
      </c>
    </row>
    <row r="2">
      <c r="I2">
        <v>1</v>
      </c>
    </row>
    <row r="3">
      <c r="I3">
        <v>2</v>
      </c>
    </row>
    <row r="4" ht="15.75" customHeight="1">
      <c r="D4" t="str">
        <v>BANCOS</v>
      </c>
      <c r="E4" s="2">
        <f>SUBTOTAL(9,E5:E5)</f>
        <v>772774870.7075005</v>
      </c>
      <c r="I4">
        <v>3</v>
      </c>
    </row>
    <row r="5" outlineLevel="1">
      <c r="D5" t="str">
        <v>Bancos</v>
      </c>
      <c r="E5" s="2">
        <f>MARZO!E294</f>
        <v>772774870.7075005</v>
      </c>
      <c r="I5">
        <v>4</v>
      </c>
    </row>
    <row r="6" ht="15.75" customHeight="1">
      <c r="D6" t="str">
        <v>CLIENTES</v>
      </c>
      <c r="E6" s="2">
        <f>SUBTOTAL(9,E7:E36)</f>
        <v>277142497.66999996</v>
      </c>
    </row>
    <row r="7" ht="14.25" customHeight="1" outlineLevel="1">
      <c r="C7" s="2" t="str">
        <v>Sin Pagar</v>
      </c>
      <c r="D7" t="str">
        <v>ACT&amp;J Consultores Factura 6598</v>
      </c>
      <c r="E7" s="3">
        <v>2031584.61</v>
      </c>
    </row>
    <row r="8" ht="14.25" customHeight="1" outlineLevel="1">
      <c r="C8" s="2" t="str">
        <v>Sin Pagar</v>
      </c>
      <c r="D8" t="str">
        <v>AECID Factura # 6789</v>
      </c>
      <c r="E8" s="2">
        <v>34362712.65</v>
      </c>
    </row>
    <row r="9" ht="14.25" customHeight="1" outlineLevel="1">
      <c r="C9" s="2" t="str">
        <v>Sin Pagar</v>
      </c>
      <c r="D9" t="str">
        <v>AECID Factura # 5-262</v>
      </c>
      <c r="E9" s="2">
        <v>2104000</v>
      </c>
    </row>
    <row r="10" outlineLevel="1">
      <c r="C10" s="2" t="str">
        <v>Pagado</v>
      </c>
      <c r="D10" t="str">
        <v>Clarke Modet factura # 6790</v>
      </c>
      <c r="E10" s="2">
        <v>2804648.13</v>
      </c>
    </row>
    <row r="11" outlineLevel="1">
      <c r="C11" s="2" t="str">
        <v>Sin Pagar</v>
      </c>
      <c r="D11" t="str">
        <v>Compassion international factura # XXXX</v>
      </c>
      <c r="E11" s="2">
        <v>6766084.2</v>
      </c>
    </row>
    <row r="12" outlineLevel="1">
      <c r="C12" s="2" t="str">
        <v>Sin Pagar</v>
      </c>
      <c r="D12" t="str">
        <v>Consorcio HL-Gisaico #  6785</v>
      </c>
      <c r="E12" s="2">
        <f>3646434.25*0</f>
        <v>0</v>
      </c>
    </row>
    <row r="13" outlineLevel="1">
      <c r="C13" s="2" t="str">
        <v>Sin Pagar</v>
      </c>
      <c r="D13" t="str">
        <v>Consorcio SK - HL 6745</v>
      </c>
      <c r="E13" s="2">
        <v>252331.2</v>
      </c>
    </row>
    <row r="14" outlineLevel="1">
      <c r="C14" s="2" t="str">
        <v>Sin Pagar</v>
      </c>
      <c r="D14" t="str">
        <v>Corporación punto azul factura # 6661</v>
      </c>
      <c r="E14" s="2">
        <v>2015276.25</v>
      </c>
    </row>
    <row r="15" outlineLevel="1">
      <c r="C15" s="2" t="str">
        <v>Sin Pagar</v>
      </c>
      <c r="D15" t="str">
        <v>Deel  Facturas  # 6728-6729-6730-6731-6732-6733-6734-6735-6736 ( Por monetizar)</v>
      </c>
      <c r="E15" s="2">
        <f>'MONETIZACIONES PEND'!$R$14</f>
        <v>41243759</v>
      </c>
    </row>
    <row r="16" outlineLevel="1">
      <c r="C16" s="2" t="str">
        <v>Sin Pagar</v>
      </c>
      <c r="D16" t="str">
        <v>Deel  Facturas  # 6737-6738-6739-6740-6741 ( Por monetizar)</v>
      </c>
      <c r="E16" s="2">
        <f>'MONETIZACIONES PEND'!$R$15</f>
        <v>21043637</v>
      </c>
    </row>
    <row r="17" outlineLevel="1">
      <c r="C17" s="2" t="str">
        <v>Sin Pagar</v>
      </c>
      <c r="D17" t="str">
        <v>Deel  Facturas  # 6325 ( Por monetizar)</v>
      </c>
      <c r="E17" s="2">
        <f>'MONETIZACIONES PEND'!$R$16</f>
        <v>5300165</v>
      </c>
    </row>
    <row r="18" outlineLevel="1">
      <c r="C18" s="2" t="str">
        <v>Sin Pagar</v>
      </c>
      <c r="D18" t="str">
        <v>Dinterweb factura # 5646-5725-5805-5892-5974-6061</v>
      </c>
      <c r="E18" s="2">
        <f>7528323*0</f>
        <v>0</v>
      </c>
    </row>
    <row r="19" outlineLevel="1">
      <c r="C19" s="2" t="str">
        <v>Sin Pagar</v>
      </c>
      <c r="D19" t="str">
        <v>Distritech facturas # 6631 Llega por Panamá</v>
      </c>
      <c r="E19" s="2">
        <v>987674.51</v>
      </c>
    </row>
    <row r="20" outlineLevel="1">
      <c r="C20" s="2" t="str">
        <v>Sin Pagar</v>
      </c>
      <c r="D20" t="str">
        <v xml:space="preserve">Dream Tyme resort </v>
      </c>
      <c r="E20" s="2">
        <v>12075000.88</v>
      </c>
    </row>
    <row r="21" outlineLevel="1">
      <c r="C21" s="2" t="str">
        <v>Sin Pagar</v>
      </c>
      <c r="D21" t="str">
        <v>Ecohl facturas 6690-6691-6692-6723-6724-6780-6781-6782</v>
      </c>
      <c r="E21" s="2">
        <f>3182508.68*0</f>
        <v>0</v>
      </c>
    </row>
    <row r="22" outlineLevel="1">
      <c r="C22" s="2" t="str">
        <v>Sin Pagar</v>
      </c>
      <c r="D22" t="str">
        <v>Gilead Scense Colombia Factura # XXXX</v>
      </c>
      <c r="E22" s="2">
        <v>920132.14</v>
      </c>
    </row>
    <row r="23" outlineLevel="1">
      <c r="C23" s="2" t="str">
        <v>Sin Pagar</v>
      </c>
      <c r="D23" t="str">
        <v>Global CS Colombia SAS -factura # 6778-5-272</v>
      </c>
      <c r="E23" s="2">
        <v>20244754</v>
      </c>
    </row>
    <row r="24" ht="14.25" customHeight="1" outlineLevel="1">
      <c r="C24" s="2" t="str">
        <v>Sin Pagar</v>
      </c>
      <c r="D24" t="str">
        <v>Global Projects service AG facturas factura 6597-6663-6694-6758-221-256</v>
      </c>
      <c r="E24" s="3">
        <v>24139258</v>
      </c>
    </row>
    <row r="25" ht="14.25" customHeight="1" outlineLevel="1">
      <c r="C25" s="2" t="str">
        <v>Sin Pagar</v>
      </c>
      <c r="D25" t="str">
        <v>Global Upside Factura #  6750</v>
      </c>
      <c r="E25" s="3">
        <f>'MONETIZACIONES PEND'!$R$12</f>
        <v>6825500</v>
      </c>
    </row>
    <row r="26" outlineLevel="1">
      <c r="C26" s="2" t="str">
        <v>Sin Pagar</v>
      </c>
      <c r="D26" t="str">
        <v>HL Gestiones factura # 6395-6572</v>
      </c>
      <c r="E26" s="2">
        <f>1719065*0</f>
        <v>0</v>
      </c>
      <c r="I26">
        <v>4</v>
      </c>
    </row>
    <row r="27" outlineLevel="1">
      <c r="C27" s="2" t="str">
        <v>Sin Pagar</v>
      </c>
      <c r="D27" t="str">
        <v>HL Ingenieros factura # 6678-6757</v>
      </c>
      <c r="E27" s="2">
        <f>667948.35*0</f>
        <v>0</v>
      </c>
    </row>
    <row r="28" outlineLevel="1">
      <c r="C28" s="2" t="str">
        <v>Sin Pagar</v>
      </c>
      <c r="D28" t="str">
        <v>Hl Infraestructura factura # 6507-6512-6513-6514-6519</v>
      </c>
      <c r="E28" s="2">
        <f>24527869*0</f>
        <v>0</v>
      </c>
    </row>
    <row r="29" outlineLevel="1">
      <c r="C29" s="2" t="str">
        <v>Sin Pagar</v>
      </c>
      <c r="D29" t="str">
        <v>Inversiones el Bosque factura # 6797</v>
      </c>
      <c r="E29" s="2">
        <f>2013039</f>
        <v>2013039</v>
      </c>
    </row>
    <row r="30" outlineLevel="1">
      <c r="C30" s="2" t="str">
        <v>Pagado</v>
      </c>
      <c r="D30" t="str">
        <v>Live Systems technology factura # 6626</v>
      </c>
      <c r="E30" s="2">
        <f>1264316.04</f>
        <v>1264316.04</v>
      </c>
    </row>
    <row r="31" outlineLevel="1">
      <c r="C31" s="2" t="str">
        <v>Sin Pagar</v>
      </c>
      <c r="D31" t="str">
        <v>Monica Londoño Factura 6573</v>
      </c>
      <c r="E31" s="2">
        <f>177905</f>
        <v>177905</v>
      </c>
    </row>
    <row r="32" outlineLevel="1">
      <c r="C32" s="2" t="str">
        <v>Sin Pagar</v>
      </c>
      <c r="D32" t="str">
        <v>Ortho Clinical Diagnostics # 6794</v>
      </c>
      <c r="E32" s="2">
        <v>1451213.81</v>
      </c>
    </row>
    <row r="33" outlineLevel="1">
      <c r="C33" s="2" t="str">
        <v>Sin Pagar</v>
      </c>
      <c r="D33" t="str">
        <v>Petrobras colombia Factura # 6752</v>
      </c>
      <c r="E33" s="2">
        <v>18093866.33</v>
      </c>
    </row>
    <row r="34" outlineLevel="1">
      <c r="C34" s="2" t="str">
        <v>Sin Pagar</v>
      </c>
      <c r="D34" t="str">
        <v>TPL Logistics factura # 6796</v>
      </c>
      <c r="E34" s="2">
        <f>2033960.42</f>
        <v>2033960.42</v>
      </c>
    </row>
    <row r="35" outlineLevel="1">
      <c r="C35" s="2" t="str">
        <v>Sin Pagar</v>
      </c>
      <c r="D35" t="str">
        <v>Safeguard World Inter Ltd Factura # 6575 a 6577</v>
      </c>
      <c r="E35" s="2">
        <f>SUM('MONETIZACIONES PEND'!$R$9:$R$11)</f>
        <v>21070829.5</v>
      </c>
    </row>
    <row r="36" outlineLevel="1">
      <c r="C36" s="2" t="str">
        <v>Sin Pagar</v>
      </c>
      <c r="D36" t="str">
        <v>Solutions ingreso dinero de Panamá</v>
      </c>
      <c r="E36" s="2">
        <f>'MONETIZACIONES PEND'!$R$13</f>
        <v>47920850</v>
      </c>
    </row>
    <row r="37" ht="15" customHeight="1">
      <c r="D37" t="str">
        <v>EOR</v>
      </c>
      <c r="E37" s="2">
        <f>SUBTOTAL(9,E38:E86)</f>
        <v>2828512488.671092</v>
      </c>
      <c r="F37" s="6">
        <v>1</v>
      </c>
    </row>
    <row r="38" outlineLevel="1">
      <c r="C38" s="2" t="str">
        <v>Sin Pagar</v>
      </c>
      <c r="D38" t="str">
        <v>Action Factura # XXXX</v>
      </c>
      <c r="E38" s="2">
        <v>1570694.5392724636</v>
      </c>
    </row>
    <row r="39" outlineLevel="1">
      <c r="C39" s="2" t="str">
        <v>Sin Pagar</v>
      </c>
      <c r="D39" t="str">
        <v>Action Factura # X-XXX</v>
      </c>
      <c r="E39" s="2">
        <v>14278927.274793396</v>
      </c>
    </row>
    <row r="40" outlineLevel="1">
      <c r="C40" s="2" t="str">
        <v>Sin Pagar</v>
      </c>
      <c r="D40" t="str">
        <v>Bubble BPM Factura # 6815</v>
      </c>
      <c r="E40" s="2">
        <f>'MONETIZACIONES PEND'!$Q$18</f>
        <v>470071.3472</v>
      </c>
    </row>
    <row r="41" outlineLevel="1">
      <c r="C41" s="2" t="str">
        <v>Sin Pagar</v>
      </c>
      <c r="D41" t="str">
        <v>Bubble BPM Factura # 5-273</v>
      </c>
      <c r="E41" s="2">
        <f>'MONETIZACIONES PEND'!$Q$19</f>
        <v>4273385.8048</v>
      </c>
    </row>
    <row r="42" outlineLevel="1">
      <c r="C42" s="2" t="str">
        <v>Sin Pagar</v>
      </c>
      <c r="D42" t="str">
        <v>Bubble BPM Factura # XXXX</v>
      </c>
      <c r="E42" s="2">
        <v>546032.4903449321</v>
      </c>
    </row>
    <row r="43" outlineLevel="1">
      <c r="C43" s="2" t="str">
        <v>Sin Pagar</v>
      </c>
      <c r="D43" t="str">
        <v>Bubble BPM Factura # X-XXX</v>
      </c>
      <c r="E43" s="2">
        <v>4963927.799826693</v>
      </c>
    </row>
    <row r="44" outlineLevel="1">
      <c r="C44" s="2" t="str">
        <v>Sin Pagar</v>
      </c>
      <c r="D44" t="str">
        <v>Edrington  Factura # XXXX</v>
      </c>
      <c r="E44" s="2">
        <v>2944619.7269184655</v>
      </c>
    </row>
    <row r="45" outlineLevel="1">
      <c r="C45" s="2" t="str">
        <v>Sin Pagar</v>
      </c>
      <c r="D45" t="str">
        <v>Edrington  Factura # X-XXX</v>
      </c>
      <c r="E45" s="2">
        <v>53538585.59350456</v>
      </c>
    </row>
    <row r="46" outlineLevel="1">
      <c r="C46" s="2" t="str">
        <v>Sin Pagar</v>
      </c>
      <c r="D46" t="str">
        <v>EPDM Factura # XXXX</v>
      </c>
      <c r="E46" s="2">
        <v>1221537.895069908</v>
      </c>
    </row>
    <row r="47" outlineLevel="1">
      <c r="C47" s="2" t="str">
        <v>Sin Pagar</v>
      </c>
      <c r="D47" t="str">
        <v>EPDM Factura # X-XXX</v>
      </c>
      <c r="E47" s="2">
        <v>12215378.95069908</v>
      </c>
    </row>
    <row r="48" outlineLevel="1">
      <c r="C48" s="2" t="str">
        <v>Sin Pagar</v>
      </c>
      <c r="D48" t="str">
        <v>Equus Global Expansion, LLC Factura # XXXX</v>
      </c>
      <c r="E48" s="2">
        <v>799725.6961137567</v>
      </c>
    </row>
    <row r="49" outlineLevel="1">
      <c r="C49" s="2" t="str">
        <v>Sin Pagar</v>
      </c>
      <c r="D49" t="str">
        <v>Equus Global Expansion, LLC Factura # X-XXX</v>
      </c>
      <c r="E49" s="2">
        <v>1997970.1634842008</v>
      </c>
    </row>
    <row r="50" outlineLevel="1">
      <c r="C50" s="2" t="str">
        <v>Sin Pagar</v>
      </c>
      <c r="D50" t="str">
        <v>Europortage Factura # XXXX</v>
      </c>
      <c r="E50" s="2">
        <v>4792287.072256347</v>
      </c>
    </row>
    <row r="51" outlineLevel="1">
      <c r="C51" s="2" t="str">
        <v>Sin Pagar</v>
      </c>
      <c r="D51" t="str">
        <v>Europortage Factura # X-XXX</v>
      </c>
      <c r="E51" s="2">
        <v>75902155.8178022</v>
      </c>
    </row>
    <row r="52" outlineLevel="1">
      <c r="C52" s="2" t="str">
        <v>Sin Pagar</v>
      </c>
      <c r="D52" t="str">
        <v>Hemmebarsch GMBH &amp; Co KG , factura # 6684 Marzo</v>
      </c>
      <c r="E52" s="2">
        <v>717615.65</v>
      </c>
    </row>
    <row r="53" outlineLevel="1">
      <c r="C53" s="2" t="str">
        <v>Sin Pagar</v>
      </c>
      <c r="D53" t="str">
        <v>Hemmebarsch GMBH &amp; Co KG , factura # 2-13 Marzo</v>
      </c>
      <c r="E53" s="2">
        <v>7176043.7855</v>
      </c>
    </row>
    <row r="54" outlineLevel="1">
      <c r="C54" s="2" t="str">
        <v>Sin Pagar</v>
      </c>
      <c r="D54" t="str">
        <v>Hemmebarsch GMBH &amp; Co KG , factura # 6685 Marzo</v>
      </c>
      <c r="E54" s="2">
        <v>479299.62549999997</v>
      </c>
    </row>
    <row r="55" outlineLevel="1">
      <c r="C55" s="2" t="str">
        <v>Sin Pagar</v>
      </c>
      <c r="D55" t="str">
        <v>Hemmebarsch GMBH &amp; Co KG , factura # 2-14 Marzo</v>
      </c>
      <c r="E55" s="2">
        <v>4792883.5405</v>
      </c>
    </row>
    <row r="56" outlineLevel="1">
      <c r="C56" s="2" t="str">
        <v>Sin Pagar</v>
      </c>
      <c r="D56" t="str">
        <v>Hemmebarsch GMBH &amp; Co KG , factura # 6700 Marzo</v>
      </c>
      <c r="E56" s="2">
        <v>352448.8795</v>
      </c>
    </row>
    <row r="57" outlineLevel="1">
      <c r="C57" s="2" t="str">
        <v>Sin Pagar</v>
      </c>
      <c r="D57" t="str">
        <v>Hemmebarsch GMBH &amp; Co KG , factura # 5-224 Marzo</v>
      </c>
      <c r="E57" s="2">
        <v>3524562.7224</v>
      </c>
    </row>
    <row r="58" outlineLevel="1">
      <c r="C58" s="2" t="str">
        <v>Sin Pagar</v>
      </c>
      <c r="D58" t="str">
        <v>Hemmebarsch GMBH &amp; Co KG , factura # 6771 Marzo</v>
      </c>
      <c r="E58" s="2">
        <v>462859.45139999996</v>
      </c>
    </row>
    <row r="59">
      <c r="C59" s="2" t="str">
        <v>Sin Pagar</v>
      </c>
      <c r="D59" t="str">
        <v>Hemmebarsch GMBH &amp; Co KG , factura # 5-246 Marzo</v>
      </c>
      <c r="E59" s="2">
        <v>4628742.3688</v>
      </c>
    </row>
    <row r="60" outlineLevel="1">
      <c r="C60" s="2" t="str">
        <v>Sin Pagar</v>
      </c>
      <c r="D60" t="str">
        <v>Hong kong yonyou xinfushe cloud technology co., limited Factura XXXX</v>
      </c>
      <c r="E60" s="2">
        <v>3345894.3041707226</v>
      </c>
    </row>
    <row r="61" outlineLevel="1">
      <c r="C61" s="2" t="str">
        <v>Sin Pagar</v>
      </c>
      <c r="D61" t="str">
        <v>Hong kong yonyou xinfushe cloud technology co., limited Factura 5-XXX</v>
      </c>
      <c r="E61" s="2">
        <v>59692503.873623565</v>
      </c>
    </row>
    <row r="62" outlineLevel="1">
      <c r="C62" s="2" t="str">
        <v>Sin Pagar</v>
      </c>
      <c r="D62" t="str">
        <v>Flexco Factura # XXXX</v>
      </c>
      <c r="E62" s="2">
        <v>1338816.8865855152</v>
      </c>
    </row>
    <row r="63" outlineLevel="1">
      <c r="C63" s="2" t="str">
        <v>Sin Pagar</v>
      </c>
      <c r="D63" t="str">
        <v>Flexco Factura # 5-XXX</v>
      </c>
      <c r="E63" s="2">
        <v>14875837.319014488</v>
      </c>
    </row>
    <row r="64" outlineLevel="1">
      <c r="C64" s="2" t="str">
        <v>Sin Pagar</v>
      </c>
      <c r="D64" t="str">
        <v>Insider factura  # 5-XXX</v>
      </c>
      <c r="E64" s="2">
        <v>698811.9951000001</v>
      </c>
    </row>
    <row r="65" outlineLevel="1">
      <c r="C65" s="2" t="str">
        <v>Sin Pagar</v>
      </c>
      <c r="D65" t="str">
        <v>Insider factura  # 5-XXX</v>
      </c>
      <c r="E65" s="2">
        <v>7704505.575</v>
      </c>
    </row>
    <row r="66" outlineLevel="1">
      <c r="C66" s="2" t="str">
        <v>Sin Pagar</v>
      </c>
      <c r="D66" t="str">
        <v>Insider factura  # XXXX</v>
      </c>
      <c r="E66" s="2">
        <v>21745758.691800002</v>
      </c>
    </row>
    <row r="67" outlineLevel="1">
      <c r="C67" s="2" t="str">
        <v>Sin Pagar</v>
      </c>
      <c r="D67" t="str">
        <v>Insider factura  # 2-XXX</v>
      </c>
      <c r="E67" s="2">
        <v>686318871.9753</v>
      </c>
    </row>
    <row r="68" outlineLevel="1">
      <c r="C68" s="2" t="str">
        <v>Sin Pagar</v>
      </c>
      <c r="D68" t="str">
        <v>Minudoc OÜ ( SIFFI) Factura # XXXX</v>
      </c>
      <c r="E68" s="2">
        <v>788259.6250385499</v>
      </c>
    </row>
    <row r="69" outlineLevel="1">
      <c r="C69" s="2" t="str">
        <v>Sin Pagar</v>
      </c>
      <c r="D69" t="str">
        <v>Minudoc OÜ ( SIFFI) Factura # 5-252</v>
      </c>
      <c r="E69" s="2">
        <v>7882450.465361449</v>
      </c>
    </row>
    <row r="70" ht="14.25" customHeight="1" outlineLevel="1">
      <c r="C70" s="2" t="str">
        <v>Sin Pagar</v>
      </c>
      <c r="D70" t="str">
        <v>MKD Factura # XXXX</v>
      </c>
      <c r="E70" s="2">
        <v>510186.4248</v>
      </c>
    </row>
    <row r="71" ht="14.25" customHeight="1" outlineLevel="1">
      <c r="C71" s="2" t="str">
        <v>Sin Pagar</v>
      </c>
      <c r="D71" t="str">
        <v>MKD Factura # 5-XXX</v>
      </c>
      <c r="E71" s="2">
        <v>4638085.2576</v>
      </c>
    </row>
    <row r="72" outlineLevel="1">
      <c r="C72" s="2" t="str">
        <v>Sin Pagar</v>
      </c>
      <c r="D72" t="str">
        <v>Nazdar Factura # XXXX</v>
      </c>
      <c r="E72" s="2">
        <v>3613174.8160595368</v>
      </c>
    </row>
    <row r="73" outlineLevel="1">
      <c r="C73" s="2" t="str">
        <v>Sin Pagar</v>
      </c>
      <c r="D73" t="str">
        <v>Nazdar Factura # 5-XXX</v>
      </c>
      <c r="E73" s="2">
        <v>60219309.761540465</v>
      </c>
    </row>
    <row r="74" outlineLevel="1">
      <c r="C74" s="2" t="str">
        <v>Sin Pagar</v>
      </c>
      <c r="D74" t="str">
        <v>Neo Factura # XXXX</v>
      </c>
      <c r="E74" s="2">
        <v>5786118.204377905</v>
      </c>
    </row>
    <row r="75" outlineLevel="1">
      <c r="C75" s="2" t="str">
        <v>Sin Pagar</v>
      </c>
      <c r="D75" t="str">
        <v>Neo Factura # FV-5-XXX</v>
      </c>
      <c r="E75" s="2">
        <v>72326237.9822221</v>
      </c>
    </row>
    <row r="76" outlineLevel="1">
      <c r="C76" s="2" t="str">
        <v>Sin Pagar</v>
      </c>
      <c r="D76" t="str">
        <v>Oncehub Factura # XXXX</v>
      </c>
      <c r="E76" s="2">
        <v>877475.3780630965</v>
      </c>
    </row>
    <row r="77" outlineLevel="1">
      <c r="C77" s="2" t="str">
        <v>Sin Pagar</v>
      </c>
      <c r="D77" t="str">
        <v>Oncehub Factura # 5-XXX</v>
      </c>
      <c r="E77" s="2">
        <v>12016513.441936903</v>
      </c>
    </row>
    <row r="78" outlineLevel="1">
      <c r="C78" s="2" t="str">
        <v>Sin Pagar</v>
      </c>
      <c r="D78" t="str">
        <v>Poc Pharma Limited Factura # XXXX</v>
      </c>
      <c r="E78" s="2">
        <v>2339876.56</v>
      </c>
    </row>
    <row r="79" outlineLevel="1">
      <c r="C79" s="2" t="str">
        <v>Sin Pagar</v>
      </c>
      <c r="D79" t="str">
        <v>Poc Pharma Limited Factura # 5-XXX</v>
      </c>
      <c r="E79" s="2">
        <v>13320855.36</v>
      </c>
    </row>
    <row r="80" outlineLevel="1">
      <c r="C80" s="2" t="str">
        <v>Sin Pagar</v>
      </c>
      <c r="D80" t="str">
        <v>Remofirst Factura # 5-XXX</v>
      </c>
      <c r="E80" s="2">
        <v>1524795325.8927038</v>
      </c>
    </row>
    <row r="81" outlineLevel="1">
      <c r="C81" s="2" t="str">
        <v>Sin Pagar</v>
      </c>
      <c r="D81" t="str">
        <v>Remofirst Factura # XXXX</v>
      </c>
      <c r="E81" s="2">
        <v>3216554.1384510556</v>
      </c>
    </row>
    <row r="82" outlineLevel="1">
      <c r="C82" s="2" t="str">
        <v>Sin Pagar</v>
      </c>
      <c r="D82" t="str">
        <v>Rivermate Factura # XXXX</v>
      </c>
      <c r="E82" s="2">
        <v>1568505.6851801719</v>
      </c>
    </row>
    <row r="83" outlineLevel="1">
      <c r="C83" s="2" t="str">
        <v>Sin Pagar</v>
      </c>
      <c r="D83" t="str">
        <v>Rivermate Factura # 5-XXX</v>
      </c>
      <c r="E83" s="2">
        <v>87240843.92170504</v>
      </c>
    </row>
    <row r="84" outlineLevel="1">
      <c r="C84" s="2" t="str">
        <v>Sin Pagar</v>
      </c>
      <c r="D84" t="str">
        <v>Rivermate Factura # 5-XXX</v>
      </c>
      <c r="E84" s="2">
        <v>2309967.8341362863</v>
      </c>
    </row>
    <row r="85" outlineLevel="1">
      <c r="C85" s="2" t="str">
        <v>Sin Pagar</v>
      </c>
      <c r="D85" t="str">
        <v>Root capital factura # XXXX</v>
      </c>
      <c r="E85" s="2">
        <v>2283114.858138515</v>
      </c>
    </row>
    <row r="86" outlineLevel="1">
      <c r="C86" s="2" t="str">
        <v>Sin Pagar</v>
      </c>
      <c r="D86" t="str">
        <v>Root capital  # FV-5-XXX</v>
      </c>
      <c r="E86" s="2">
        <v>25408876.2474968</v>
      </c>
    </row>
    <row r="87" ht="15.75" customHeight="1">
      <c r="D87" t="str">
        <v>TOTAL INGRESOS</v>
      </c>
      <c r="E87" s="2">
        <f>SUBTOTAL(9,E4:E86)</f>
        <v>3878429857.0485926</v>
      </c>
      <c r="G87" s="2">
        <f>SUM(G6:G86)</f>
        <v>0</v>
      </c>
    </row>
    <row r="88" ht="15.75" customHeight="1"/>
    <row r="89" ht="15.75" customHeight="1"/>
    <row r="90" ht="15.75" customHeight="1">
      <c r="C90" t="str">
        <v xml:space="preserve">CUENTAS X PAGAR MES </v>
      </c>
      <c r="E90" t="str">
        <v>ABRIL</v>
      </c>
      <c r="F90" t="str">
        <v>Fecha de Elaboración:</v>
      </c>
      <c r="J90" s="1">
        <v>46113</v>
      </c>
    </row>
    <row r="91" ht="16.5" customHeight="1">
      <c r="C91" t="str">
        <v>Factura</v>
      </c>
      <c r="D91" t="str">
        <v>PROVEEDOR</v>
      </c>
      <c r="E91" s="2" t="str">
        <v>VALOR</v>
      </c>
      <c r="F91" t="str">
        <v>Fecha vencimiento</v>
      </c>
      <c r="G91" t="str">
        <v>Estado</v>
      </c>
      <c r="J91" t="str">
        <v>KPI</v>
      </c>
      <c r="K91" t="str">
        <v>Objeto</v>
      </c>
    </row>
    <row r="92" ht="16.5" customHeight="1">
      <c r="D92" t="str">
        <v>PAGOS ANTICIPADOS</v>
      </c>
      <c r="E92" s="2">
        <f>SUBTOTAL(9,E93:E95)</f>
        <v>17522648</v>
      </c>
    </row>
    <row r="93" outlineLevel="1">
      <c r="A93" t="str">
        <f>G93</f>
        <v>Sin Pagar</v>
      </c>
      <c r="B93">
        <f>IF(I93&lt;=-1,1,IF(I93&lt;=5,2,IF(I93&lt;=15,3,IF(H93&lt;=60,4))))</f>
        <v>3</v>
      </c>
      <c r="D93" t="str">
        <v>Anticipo nómina Action</v>
      </c>
      <c r="E93" s="2">
        <v>4360000</v>
      </c>
      <c r="F93" s="1">
        <v>46126</v>
      </c>
      <c r="G93" t="str">
        <v>Sin Pagar</v>
      </c>
      <c r="H93">
        <f>IF(OR(G93="Sin pagar",G93="Pagar"),NETWORKDAYS($J$90,F93,'Festivos Colombia'!$A$3:$A$22),0)</f>
        <v>8</v>
      </c>
      <c r="I93">
        <f>NETWORKDAYS($J$90,F93,'Festivos Colombia'!$A$3:$A$22)</f>
        <v>8</v>
      </c>
      <c r="J93" s="7">
        <f>H93</f>
        <v>8</v>
      </c>
    </row>
    <row r="94" outlineLevel="1">
      <c r="A94" t="str">
        <f>G94</f>
        <v>Sin Pagar</v>
      </c>
      <c r="B94">
        <f>IF(I94&lt;=-1,1,IF(I94&lt;=5,2,IF(I94&lt;=15,3,IF(H94&lt;=60,4))))</f>
        <v>3</v>
      </c>
      <c r="D94" t="str">
        <v>Anticipo nómina Nazdar</v>
      </c>
      <c r="E94" s="2">
        <v>9500000</v>
      </c>
      <c r="F94" s="1">
        <v>46126</v>
      </c>
      <c r="G94" t="str">
        <v>Sin Pagar</v>
      </c>
      <c r="H94">
        <f>IF(OR(G94="Sin pagar",G94="Pagar"),NETWORKDAYS($J$90,F94,'Festivos Colombia'!$A$3:$A$22),0)</f>
        <v>8</v>
      </c>
      <c r="I94">
        <f>NETWORKDAYS($J$90,F94,'Festivos Colombia'!$A$3:$A$22)</f>
        <v>8</v>
      </c>
      <c r="J94" s="7">
        <f>H94</f>
        <v>8</v>
      </c>
    </row>
    <row r="95" ht="15.75" customHeight="1" outlineLevel="1">
      <c r="A95" t="str">
        <f>G95</f>
        <v>Sin Pagar</v>
      </c>
      <c r="B95">
        <f>IF(I95&lt;=-1,1,IF(I95&lt;=5,2,IF(I95&lt;=15,3,IF(H95&lt;=60,4))))</f>
        <v>4</v>
      </c>
      <c r="D95" t="str">
        <v>Anticipo nómina Action</v>
      </c>
      <c r="E95" s="2">
        <v>3662648</v>
      </c>
      <c r="F95" s="1">
        <v>46142</v>
      </c>
      <c r="G95" t="str">
        <v>Sin Pagar</v>
      </c>
      <c r="H95">
        <f>IF(OR(G95="Sin pagar",G95="Pagar"),NETWORKDAYS($J$90,F95,'Festivos Colombia'!$A$3:$A$22),0)</f>
        <v>20</v>
      </c>
      <c r="I95">
        <f>NETWORKDAYS($J$90,F95,'Festivos Colombia'!$A$3:$A$22)</f>
        <v>20</v>
      </c>
      <c r="J95" s="7">
        <f>H95</f>
        <v>20</v>
      </c>
    </row>
    <row r="96" ht="16.5" customHeight="1">
      <c r="D96" t="str">
        <v xml:space="preserve">SEGURIDAD SOCIAL   </v>
      </c>
      <c r="E96" s="2">
        <f>SUBTOTAL(9,E97:E97)</f>
        <v>530117800</v>
      </c>
    </row>
    <row r="97" ht="15.75" customHeight="1" outlineLevel="1">
      <c r="A97" t="str">
        <f>G97</f>
        <v>Sin Pagar</v>
      </c>
      <c r="B97">
        <f>IF(I97&lt;=-1,1,IF(I97&lt;=5,2,IF(I97&lt;=15,3,IF(H97&lt;=60,4))))</f>
        <v>3</v>
      </c>
      <c r="C97" s="6">
        <v>176206200</v>
      </c>
      <c r="D97" t="str">
        <v xml:space="preserve">Seguridad social </v>
      </c>
      <c r="E97" s="2">
        <v>530117800</v>
      </c>
      <c r="F97" s="1">
        <v>46127</v>
      </c>
      <c r="G97" t="str">
        <v>Sin Pagar</v>
      </c>
      <c r="H97">
        <f>IF(OR(G97="Sin pagar",G97="Pagar"),NETWORKDAYS($J$90,F97,'Festivos Colombia'!$A$3:$A$22),0)</f>
        <v>9</v>
      </c>
      <c r="I97">
        <f>NETWORKDAYS($J$90,F97,'Festivos Colombia'!$A$3:$A$22)</f>
        <v>9</v>
      </c>
      <c r="J97" s="7">
        <f>H97</f>
        <v>9</v>
      </c>
    </row>
    <row r="98" ht="16.5" customHeight="1">
      <c r="D98" t="str">
        <v>AFC´S</v>
      </c>
      <c r="E98" s="2">
        <f>SUBTOTAL(9,E99:E101)</f>
        <v>14755460</v>
      </c>
    </row>
    <row r="99" outlineLevel="1">
      <c r="A99" t="str">
        <f>G99</f>
        <v>Sin Pagar</v>
      </c>
      <c r="B99">
        <f>IF(I99&lt;=-1,1,IF(I99&lt;=5,2,IF(I99&lt;=15,3,IF(H99&lt;=60,4))))</f>
        <v>4</v>
      </c>
      <c r="D99" t="str">
        <v xml:space="preserve">AFC Dafuturo cheque </v>
      </c>
      <c r="E99" s="2">
        <v>1000000</v>
      </c>
      <c r="F99" s="1">
        <v>46142</v>
      </c>
      <c r="G99" t="str">
        <v>Sin Pagar</v>
      </c>
      <c r="H99">
        <f>IF(OR(G99="Sin pagar",G99="Pagar"),NETWORKDAYS($J$90,F99,'Festivos Colombia'!$A$3:$A$22),0)</f>
        <v>20</v>
      </c>
      <c r="I99">
        <f>NETWORKDAYS($J$90,F99,'Festivos Colombia'!$A$3:$A$22)</f>
        <v>20</v>
      </c>
      <c r="J99" s="7">
        <f>H99</f>
        <v>20</v>
      </c>
    </row>
    <row r="100" outlineLevel="1">
      <c r="A100" t="str">
        <f>G100</f>
        <v>Sin Pagar</v>
      </c>
      <c r="B100">
        <f>IF(I100&lt;=-1,1,IF(I100&lt;=5,2,IF(I100&lt;=15,3,IF(H100&lt;=60,4))))</f>
        <v>4</v>
      </c>
      <c r="D100" t="str">
        <v xml:space="preserve">AFC OER electronico </v>
      </c>
      <c r="E100" s="2">
        <f>7600000+4000000</f>
        <v>11600000</v>
      </c>
      <c r="F100" s="1">
        <v>46142</v>
      </c>
      <c r="G100" t="str">
        <v>Sin Pagar</v>
      </c>
      <c r="H100">
        <f>IF(OR(G100="Sin pagar",G100="Pagar"),NETWORKDAYS($J$90,F100,'Festivos Colombia'!$A$3:$A$22),0)</f>
        <v>20</v>
      </c>
      <c r="I100">
        <f>NETWORKDAYS($J$90,F100,'Festivos Colombia'!$A$3:$A$22)</f>
        <v>20</v>
      </c>
      <c r="J100" s="7">
        <f>H100</f>
        <v>20</v>
      </c>
    </row>
    <row r="101" ht="15.75" customHeight="1" outlineLevel="1">
      <c r="A101" t="str">
        <f>G101</f>
        <v>Sin Pagar</v>
      </c>
      <c r="B101">
        <f>IF(I101&lt;=-1,1,IF(I101&lt;=5,2,IF(I101&lt;=15,3,IF(H101&lt;=60,4))))</f>
        <v>4</v>
      </c>
      <c r="D101" t="str">
        <v xml:space="preserve">AFC Edward Forero electronico </v>
      </c>
      <c r="E101" s="2">
        <v>2155460</v>
      </c>
      <c r="F101" s="1">
        <v>46142</v>
      </c>
      <c r="G101" t="str">
        <v>Sin Pagar</v>
      </c>
      <c r="H101">
        <f>IF(OR(G101="Sin pagar",G101="Pagar"),NETWORKDAYS($J$90,F101,'Festivos Colombia'!$A$3:$A$22),0)</f>
        <v>20</v>
      </c>
      <c r="I101">
        <f>NETWORKDAYS($J$90,F101,'Festivos Colombia'!$A$3:$A$22)</f>
        <v>20</v>
      </c>
      <c r="J101" s="7">
        <f>H101</f>
        <v>20</v>
      </c>
    </row>
    <row r="102" ht="16.5" customHeight="1">
      <c r="D102" t="str">
        <v xml:space="preserve">IMPUESTOS </v>
      </c>
      <c r="E102" s="2">
        <f>SUBTOTAL(9,E103:E103)</f>
        <v>239676790</v>
      </c>
      <c r="J102" s="7">
        <f>H102</f>
        <v>0</v>
      </c>
    </row>
    <row r="103" ht="15.75" customHeight="1" outlineLevel="1">
      <c r="A103" t="str">
        <f>G103</f>
        <v>Sin Pagar</v>
      </c>
      <c r="B103">
        <f>IF(I103&lt;=-1,1,IF(I103&lt;=5,2,IF(I103&lt;=15,3,IF(H103&lt;=60,4))))</f>
        <v>3</v>
      </c>
      <c r="D103" t="str">
        <v xml:space="preserve">RETENCIÓN EN LA FUENTE </v>
      </c>
      <c r="E103" s="2">
        <v>239676790</v>
      </c>
      <c r="F103" s="1">
        <v>46132</v>
      </c>
      <c r="G103" t="str">
        <v>Sin Pagar</v>
      </c>
      <c r="H103">
        <f>IF(OR(G103="Sin pagar",G103="Pagar"),NETWORKDAYS($J$90,F103,'Festivos Colombia'!$A$3:$A$22),0)</f>
        <v>12</v>
      </c>
      <c r="I103">
        <f>NETWORKDAYS($J$90,F103,'Festivos Colombia'!$A$3:$A$22)</f>
        <v>12</v>
      </c>
      <c r="J103" s="7">
        <f>H103</f>
        <v>12</v>
      </c>
    </row>
    <row r="104" ht="16.5" customHeight="1">
      <c r="D104" t="str">
        <v>ARRIENDO, INTERNET, TELEFONIA Y GASTOS DE OFICINA</v>
      </c>
      <c r="E104" s="2">
        <f>SUBTOTAL(9,E105:E115)</f>
        <v>5605155.36</v>
      </c>
      <c r="J104" s="7">
        <f>H104</f>
        <v>0</v>
      </c>
    </row>
    <row r="105" ht="14.25" customHeight="1" outlineLevel="1">
      <c r="A105" t="str">
        <f>G105</f>
        <v>Sin Pagar</v>
      </c>
      <c r="B105">
        <f>IF(I105&lt;=-1,1,IF(I105&lt;=5,2,IF(I105&lt;=15,3,IF(H105&lt;=60,4))))</f>
        <v>3</v>
      </c>
      <c r="C105" s="4" t="str">
        <v>FE-56934</v>
      </c>
      <c r="D105" t="str">
        <v xml:space="preserve">BUK colombia SAS-Sucricpión Febrero 2026 Bukplay E-learning - Enero 2026 | 53 empleados </v>
      </c>
      <c r="E105" s="2">
        <f>1244113.7</f>
        <v>1244113.7</v>
      </c>
      <c r="F105" s="1">
        <v>46122</v>
      </c>
      <c r="G105" t="str">
        <v>Sin Pagar</v>
      </c>
      <c r="H105">
        <f>IF(OR(G105="Sin pagar",G105="Pagar"),NETWORKDAYS($J$90,F105,'Festivos Colombia'!$A$3:$A$22),0)</f>
        <v>6</v>
      </c>
      <c r="I105">
        <f>NETWORKDAYS($J$90,F105,'Festivos Colombia'!$A$3:$A$22)</f>
        <v>6</v>
      </c>
      <c r="J105" s="7">
        <f>H105</f>
        <v>6</v>
      </c>
      <c r="K105" t="str">
        <v>Sin radicar</v>
      </c>
    </row>
    <row r="106" outlineLevel="1">
      <c r="A106" t="str">
        <f>G106</f>
        <v>Sin Pagar</v>
      </c>
      <c r="B106">
        <f>IF(I106&lt;=-1,1,IF(I106&lt;=5,2,IF(I106&lt;=15,3,IF(H106&lt;=60,4))))</f>
        <v>3</v>
      </c>
      <c r="C106" t="str">
        <v>FEWP-6810</v>
      </c>
      <c r="D106" t="str">
        <v>WORKPLACE SOLUTIONS GROUP SAS (SPACIO)</v>
      </c>
      <c r="E106" s="2">
        <f>358066.76</f>
        <v>358066.76</v>
      </c>
      <c r="F106" s="1">
        <v>46122</v>
      </c>
      <c r="G106" t="str">
        <v>Sin Pagar</v>
      </c>
      <c r="H106">
        <f>IF(OR(G106="Sin pagar",G106="Pagar"),NETWORKDAYS($J$90,F106,'Festivos Colombia'!$A$3:$A$22),0)</f>
        <v>6</v>
      </c>
      <c r="I106">
        <f>NETWORKDAYS($J$90,F106,'Festivos Colombia'!$A$3:$A$22)</f>
        <v>6</v>
      </c>
      <c r="J106" s="7">
        <f>H106</f>
        <v>6</v>
      </c>
    </row>
    <row r="107" outlineLevel="1">
      <c r="A107" t="str">
        <f>G107</f>
        <v>Sin Pagar</v>
      </c>
      <c r="B107">
        <f>IF(I107&lt;=-1,1,IF(I107&lt;=5,2,IF(I107&lt;=15,3,IF(H107&lt;=60,4))))</f>
        <v>3</v>
      </c>
      <c r="C107">
        <v>28184</v>
      </c>
      <c r="D107" t="str">
        <v>Parking remofirst</v>
      </c>
      <c r="E107" s="2">
        <f>634400</f>
        <v>634400</v>
      </c>
      <c r="F107" s="1">
        <v>46122</v>
      </c>
      <c r="G107" t="str">
        <v>Sin Pagar</v>
      </c>
      <c r="H107">
        <f>IF(OR(G107="Sin pagar",G107="Pagar"),NETWORKDAYS($J$90,F107,'Festivos Colombia'!$A$3:$A$22),0)</f>
        <v>6</v>
      </c>
      <c r="I107">
        <f>NETWORKDAYS($J$90,F107,'Festivos Colombia'!$A$3:$A$22)</f>
        <v>6</v>
      </c>
      <c r="J107" s="7">
        <f>H107</f>
        <v>6</v>
      </c>
    </row>
    <row r="108" outlineLevel="1">
      <c r="A108" t="str">
        <f>G108</f>
        <v>Sin Pagar</v>
      </c>
      <c r="B108">
        <f>IF(I108&lt;=-1,1,IF(I108&lt;=5,2,IF(I108&lt;=15,3,IF(H108&lt;=60,4))))</f>
        <v>3</v>
      </c>
      <c r="C108" s="4" t="str">
        <v>580831444002</v>
      </c>
      <c r="D108" t="str">
        <v>Movistar Office 365</v>
      </c>
      <c r="E108" s="2">
        <f>362715</f>
        <v>362715</v>
      </c>
      <c r="F108" s="1">
        <v>46123</v>
      </c>
      <c r="G108" t="str">
        <v>Sin Pagar</v>
      </c>
      <c r="H108">
        <f>IF(OR(G108="Sin pagar",G108="Pagar"),NETWORKDAYS($J$90,F108,'Festivos Colombia'!$A$3:$A$22),0)</f>
        <v>6</v>
      </c>
      <c r="I108">
        <f>NETWORKDAYS($J$90,F108,'Festivos Colombia'!$A$3:$A$22)</f>
        <v>6</v>
      </c>
      <c r="J108" s="7">
        <f>H108</f>
        <v>6</v>
      </c>
    </row>
    <row r="109" outlineLevel="1">
      <c r="A109" t="str">
        <f>G109</f>
        <v>Sin Pagar</v>
      </c>
      <c r="B109">
        <f>IF(I109&lt;=-1,1,IF(I109&lt;=5,2,IF(I109&lt;=15,3,IF(H109&lt;=60,4))))</f>
        <v>3</v>
      </c>
      <c r="C109" s="4" t="str">
        <v>BEV24903802</v>
      </c>
      <c r="D109" t="str">
        <v>Movistar Office 365- Linea nueva de SG</v>
      </c>
      <c r="E109" s="2">
        <f>110900</f>
        <v>110900</v>
      </c>
      <c r="F109" s="1">
        <v>46129</v>
      </c>
      <c r="G109" t="str">
        <v>Sin Pagar</v>
      </c>
      <c r="H109">
        <f>IF(OR(G109="Sin pagar",G109="Pagar"),NETWORKDAYS($J$90,F109,'Festivos Colombia'!$A$3:$A$22),0)</f>
        <v>11</v>
      </c>
      <c r="I109">
        <f>NETWORKDAYS($J$90,F109,'Festivos Colombia'!$A$3:$A$22)</f>
        <v>11</v>
      </c>
      <c r="J109" s="7">
        <f>H109</f>
        <v>11</v>
      </c>
    </row>
    <row r="110" outlineLevel="1">
      <c r="A110" t="str">
        <f>G110</f>
        <v>Sin Pagar</v>
      </c>
      <c r="B110">
        <f>IF(I110&lt;=-1,1,IF(I110&lt;=5,2,IF(I110&lt;=15,3,IF(H110&lt;=60,4))))</f>
        <v>3</v>
      </c>
      <c r="C110">
        <v>64</v>
      </c>
      <c r="D110" t="str">
        <v>Rafael Mier (arriendo Bodega para S&amp;P)</v>
      </c>
      <c r="E110" s="2">
        <v>180000</v>
      </c>
      <c r="F110" s="1">
        <v>46129</v>
      </c>
      <c r="G110" t="str">
        <v>Sin Pagar</v>
      </c>
      <c r="H110">
        <f>IF(OR(G110="Sin pagar",G110="Pagar"),NETWORKDAYS($J$90,F110,'Festivos Colombia'!$A$3:$A$22),0)</f>
        <v>11</v>
      </c>
      <c r="I110">
        <f>NETWORKDAYS($J$90,F110,'Festivos Colombia'!$A$3:$A$22)</f>
        <v>11</v>
      </c>
      <c r="J110" s="7">
        <f>H110</f>
        <v>11</v>
      </c>
      <c r="K110" t="str">
        <v>Sin radicar</v>
      </c>
    </row>
    <row r="111" outlineLevel="1">
      <c r="A111" t="str">
        <f>G111</f>
        <v>Sin Pagar</v>
      </c>
      <c r="B111">
        <f>IF(I111&lt;=-1,1,IF(I111&lt;=5,2,IF(I111&lt;=15,3,IF(H111&lt;=60,4))))</f>
        <v>3</v>
      </c>
      <c r="C111" s="4" t="str">
        <v>003 -292523658</v>
      </c>
      <c r="D111" t="str">
        <v>Claro Office 365</v>
      </c>
      <c r="E111" s="2">
        <v>1504416</v>
      </c>
      <c r="F111" s="1">
        <v>46129</v>
      </c>
      <c r="G111" t="str">
        <v>Sin Pagar</v>
      </c>
      <c r="H111">
        <f>IF(OR(G111="Sin pagar",G111="Pagar"),NETWORKDAYS($J$90,F111,'Festivos Colombia'!$A$3:$A$22),0)</f>
        <v>11</v>
      </c>
      <c r="I111">
        <f>NETWORKDAYS($J$90,F111,'Festivos Colombia'!$A$3:$A$22)</f>
        <v>11</v>
      </c>
      <c r="J111" s="7">
        <f>H111</f>
        <v>11</v>
      </c>
      <c r="K111" t="str">
        <v>Sin radicar</v>
      </c>
    </row>
    <row r="112" outlineLevel="1">
      <c r="A112" t="str">
        <f>G112</f>
        <v>Sin Pagar</v>
      </c>
      <c r="B112">
        <f>IF(I112&lt;=-1,1,IF(I112&lt;=5,2,IF(I112&lt;=15,3,IF(H112&lt;=60,4))))</f>
        <v>3</v>
      </c>
      <c r="C112">
        <v>6038761603</v>
      </c>
      <c r="D112" t="str">
        <v>Claro-Telefonia</v>
      </c>
      <c r="E112" s="2">
        <v>810543.9</v>
      </c>
      <c r="F112" s="1">
        <v>46129</v>
      </c>
      <c r="G112" t="str">
        <v>Sin Pagar</v>
      </c>
      <c r="H112">
        <f>IF(OR(G112="Sin pagar",G112="Pagar"),NETWORKDAYS($J$90,F112,'Festivos Colombia'!$A$3:$A$22),0)</f>
        <v>11</v>
      </c>
      <c r="I112">
        <f>NETWORKDAYS($J$90,F112,'Festivos Colombia'!$A$3:$A$22)</f>
        <v>11</v>
      </c>
      <c r="J112" s="7">
        <f>H112</f>
        <v>11</v>
      </c>
      <c r="K112" t="str">
        <v>Sin radicar</v>
      </c>
    </row>
    <row r="113" outlineLevel="1">
      <c r="A113" t="str">
        <f>G113</f>
        <v>Sin Pagar</v>
      </c>
      <c r="B113">
        <f>IF(I113&lt;=-1,1,IF(I113&lt;=5,2,IF(I113&lt;=15,3,IF(H113&lt;=60,4))))</f>
        <v>4</v>
      </c>
      <c r="C113">
        <v>2</v>
      </c>
      <c r="D113" t="str">
        <v>David Alejandro Aguilar Suarez - Custodia de computadores</v>
      </c>
      <c r="E113" s="2">
        <v>300000</v>
      </c>
      <c r="F113" s="1">
        <v>46142</v>
      </c>
      <c r="G113" t="str">
        <v>Sin Pagar</v>
      </c>
      <c r="H113">
        <f>IF(OR(G113="Sin pagar",G113="Pagar"),NETWORKDAYS($J$90,F113,'Festivos Colombia'!$A$3:$A$22),0)</f>
        <v>20</v>
      </c>
      <c r="I113">
        <f>NETWORKDAYS($J$90,F113,'Festivos Colombia'!$A$3:$A$22)</f>
        <v>20</v>
      </c>
      <c r="J113" s="7">
        <f>H113</f>
        <v>20</v>
      </c>
      <c r="K113" t="str">
        <v>Sin radicar</v>
      </c>
    </row>
    <row r="114" ht="14.25" customHeight="1" outlineLevel="1">
      <c r="A114" t="str">
        <f>G114</f>
        <v>Sin Pagar</v>
      </c>
      <c r="B114">
        <f>IF(I114&lt;=-1,1,IF(I114&lt;=5,2,IF(I114&lt;=15,3,IF(H114&lt;=60,4))))</f>
        <v>4</v>
      </c>
      <c r="C114" s="4" t="str">
        <v>193</v>
      </c>
      <c r="D114" t="str">
        <v>Caja menor</v>
      </c>
      <c r="E114" s="2">
        <v>100000</v>
      </c>
      <c r="F114" s="1">
        <v>46142</v>
      </c>
      <c r="G114" t="str">
        <v>Sin Pagar</v>
      </c>
      <c r="H114">
        <f>IF(OR(G114="Sin pagar",G114="Pagar"),NETWORKDAYS($J$90,F114,'Festivos Colombia'!$A$3:$A$22),0)</f>
        <v>20</v>
      </c>
      <c r="I114">
        <f>NETWORKDAYS($J$90,F114,'Festivos Colombia'!$A$3:$A$22)</f>
        <v>20</v>
      </c>
      <c r="J114" s="7">
        <f>H114</f>
        <v>20</v>
      </c>
      <c r="K114" t="str">
        <v>Sin radicar</v>
      </c>
    </row>
    <row r="115" ht="14.25" customHeight="1" outlineLevel="1">
      <c r="A115" t="str">
        <f>G115</f>
        <v>Cancelado</v>
      </c>
      <c r="B115">
        <f>IF(I115&lt;=-1,1,IF(I115&lt;=5,2,IF(I115&lt;=15,3,IF(H115&lt;=60,4))))</f>
        <v>2</v>
      </c>
      <c r="C115" s="4" t="str">
        <v>014F18743905</v>
      </c>
      <c r="D115" t="str">
        <v>Seguros mundial -Póliza cumplimiento  100016141 Anexo 3. Certificado 130090786</v>
      </c>
      <c r="E115" s="2">
        <f>252011.48*0</f>
        <v>0</v>
      </c>
      <c r="F115" s="1">
        <v>46118</v>
      </c>
      <c r="G115" t="str">
        <v>Cancelado</v>
      </c>
      <c r="H115">
        <f>IF(OR(G115="Sin pagar",G115="Pagar"),NETWORKDAYS($J$90,F115,'Festivos Colombia'!$A$3:$A$22),0)</f>
        <v>0</v>
      </c>
      <c r="I115">
        <f>NETWORKDAYS($J$90,F115,'Festivos Colombia'!$A$3:$A$22)</f>
        <v>2</v>
      </c>
      <c r="J115" s="7">
        <f>H115</f>
        <v>0</v>
      </c>
    </row>
    <row r="116" ht="16.5" customHeight="1">
      <c r="D116" t="str">
        <v>PLANES COMPLEMENTARIOS Y PREPAGADAS</v>
      </c>
      <c r="E116" s="2">
        <f>SUBTOTAL(9,E117:E118)</f>
        <v>1868879</v>
      </c>
    </row>
    <row r="117" ht="14.25" customHeight="1" outlineLevel="1">
      <c r="A117" t="str">
        <f>G117</f>
        <v>Sin Pagar</v>
      </c>
      <c r="B117">
        <f>IF(I117&lt;=-1,1,IF(I117&lt;=5,2,IF(I117&lt;=15,3,IF(H117&lt;=60,4))))</f>
        <v>4</v>
      </c>
      <c r="C117" t="str">
        <v>SD01 17795173</v>
      </c>
      <c r="D117" t="str">
        <v>Plan medicina prepagada Eduard Forero</v>
      </c>
      <c r="E117" s="2">
        <v>1064823</v>
      </c>
      <c r="F117" s="1">
        <v>46139</v>
      </c>
      <c r="G117" t="str">
        <v>Sin Pagar</v>
      </c>
      <c r="H117">
        <f>IF(OR(G117="Sin pagar",G117="Pagar"),NETWORKDAYS($J$90,F117,'Festivos Colombia'!$A$3:$A$22),0)</f>
        <v>17</v>
      </c>
      <c r="I117">
        <f>NETWORKDAYS($J$90,F117,'Festivos Colombia'!$A$3:$A$22)</f>
        <v>17</v>
      </c>
      <c r="J117" s="7">
        <f>H117</f>
        <v>17</v>
      </c>
      <c r="K117" t="str">
        <v>Sin radicar</v>
      </c>
    </row>
    <row r="118" ht="15.75" customHeight="1" outlineLevel="1">
      <c r="A118" t="str">
        <f>G118</f>
        <v>Sin Pagar</v>
      </c>
      <c r="B118">
        <f>IF(I118&lt;=-1,1,IF(I118&lt;=5,2,IF(I118&lt;=15,3,IF(H118&lt;=60,4))))</f>
        <v>4</v>
      </c>
      <c r="C118" s="4" t="str">
        <v>219912177994</v>
      </c>
      <c r="D118" t="str">
        <v>Plan complementario Ricardo Arambulo</v>
      </c>
      <c r="E118" s="2">
        <f>804056</f>
        <v>804056</v>
      </c>
      <c r="F118" s="1">
        <v>46139</v>
      </c>
      <c r="G118" t="str">
        <v>Sin Pagar</v>
      </c>
      <c r="H118">
        <f>IF(OR(G118="Sin pagar",G118="Pagar"),NETWORKDAYS($J$90,F118,'Festivos Colombia'!$A$3:$A$22),0)</f>
        <v>17</v>
      </c>
      <c r="I118">
        <f>NETWORKDAYS($J$90,F118,'Festivos Colombia'!$A$3:$A$22)</f>
        <v>17</v>
      </c>
      <c r="J118" s="7">
        <f>H118</f>
        <v>17</v>
      </c>
      <c r="K118" t="str">
        <v>Sin radicar</v>
      </c>
    </row>
    <row r="119" ht="16.5" customHeight="1">
      <c r="D119" t="str">
        <v>PÓLIZAS Y SEGUROS</v>
      </c>
      <c r="E119" s="2">
        <f>SUBTOTAL(9,E120:E122)</f>
        <v>11348818</v>
      </c>
    </row>
    <row r="120" outlineLevel="1">
      <c r="A120" t="str">
        <f>G120</f>
        <v>Sin Pagar</v>
      </c>
      <c r="B120">
        <f>IF(I120&lt;=-1,1,IF(I120&lt;=5,2,IF(I120&lt;=15,3,IF(H120&lt;=60,4))))</f>
        <v>3</v>
      </c>
      <c r="C120" s="4" t="str">
        <v>20833458887</v>
      </c>
      <c r="D120" t="str">
        <v>Poliza Suramericana Póliza #  083004098664</v>
      </c>
      <c r="E120" s="2">
        <v>726513</v>
      </c>
      <c r="F120" s="1">
        <v>46122</v>
      </c>
      <c r="G120" t="str">
        <v>Sin Pagar</v>
      </c>
      <c r="H120">
        <f>IF(OR(G120="Sin pagar",G120="Pagar"),NETWORKDAYS($J$90,F120,'Festivos Colombia'!$A$3:$A$22),0)</f>
        <v>6</v>
      </c>
      <c r="I120">
        <f>NETWORKDAYS($J$90,F120,'Festivos Colombia'!$A$3:$A$22)</f>
        <v>6</v>
      </c>
      <c r="J120" s="7">
        <f>H120</f>
        <v>6</v>
      </c>
    </row>
    <row r="121" outlineLevel="1">
      <c r="A121" t="str">
        <f>G121</f>
        <v>Sin Pagar</v>
      </c>
      <c r="B121">
        <f>IF(I121&lt;=-1,1,IF(I121&lt;=5,2,IF(I121&lt;=15,3,IF(H121&lt;=60,4))))</f>
        <v>4</v>
      </c>
      <c r="C121" s="4" t="str">
        <v>21341642</v>
      </c>
      <c r="D121" t="str">
        <v>Poliza Suramericana Póliza #  083004098664</v>
      </c>
      <c r="E121" s="2">
        <v>726513</v>
      </c>
      <c r="F121" s="1">
        <v>46142</v>
      </c>
      <c r="G121" t="str">
        <v>Sin Pagar</v>
      </c>
      <c r="H121">
        <f>IF(OR(G121="Sin pagar",G121="Pagar"),NETWORKDAYS($J$90,F121,'Festivos Colombia'!$A$3:$A$22),0)</f>
        <v>20</v>
      </c>
      <c r="I121">
        <f>NETWORKDAYS($J$90,F121,'Festivos Colombia'!$A$3:$A$22)</f>
        <v>20</v>
      </c>
      <c r="J121" s="7">
        <f>H121</f>
        <v>20</v>
      </c>
    </row>
    <row r="122" ht="15.75" customHeight="1" outlineLevel="1">
      <c r="A122" t="str">
        <f>G122</f>
        <v>Sin Pagar</v>
      </c>
      <c r="B122">
        <f>IF(I122&lt;=-1,1,IF(I122&lt;=5,2,IF(I122&lt;=15,3,IF(H122&lt;=60,4))))</f>
        <v>4</v>
      </c>
      <c r="C122">
        <v>14126873</v>
      </c>
      <c r="D122" t="str">
        <v>Poliza Suramericana Póliza #  091000808492</v>
      </c>
      <c r="E122" s="2">
        <f>9895792</f>
        <v>9895792</v>
      </c>
      <c r="F122" s="1">
        <v>46142</v>
      </c>
      <c r="G122" t="str">
        <v>Sin Pagar</v>
      </c>
      <c r="H122">
        <f>IF(OR(G122="Sin pagar",G122="Pagar"),NETWORKDAYS($J$90,F122,'Festivos Colombia'!$A$3:$A$22),0)</f>
        <v>20</v>
      </c>
      <c r="I122">
        <f>NETWORKDAYS($J$90,F122,'Festivos Colombia'!$A$3:$A$22)</f>
        <v>20</v>
      </c>
      <c r="J122" s="7">
        <f>H122</f>
        <v>20</v>
      </c>
    </row>
    <row r="123" ht="16.5" customHeight="1">
      <c r="D123" t="str">
        <v>SERVICIOS DE MENSAJERÍA</v>
      </c>
      <c r="E123" s="2">
        <f>SUBTOTAL(9,E124:E129)</f>
        <v>670000</v>
      </c>
    </row>
    <row r="124" outlineLevel="1">
      <c r="A124" t="str">
        <f>G124</f>
        <v>Sin Pagar</v>
      </c>
      <c r="B124">
        <f>IF(I124&lt;=-1,1,IF(I124&lt;=5,2,IF(I124&lt;=15,3,IF(H124&lt;=60,4))))</f>
        <v>3</v>
      </c>
      <c r="C124">
        <v>23</v>
      </c>
      <c r="D124" t="str">
        <v>Mundo express</v>
      </c>
      <c r="E124" s="2">
        <v>89000</v>
      </c>
      <c r="F124" s="1">
        <v>46122</v>
      </c>
      <c r="G124" t="str">
        <v>Sin Pagar</v>
      </c>
      <c r="H124">
        <f>IF(OR(G124="Sin pagar",G124="Pagar"),NETWORKDAYS($J$90,F124,'Festivos Colombia'!$A$3:$A$22),0)</f>
        <v>6</v>
      </c>
      <c r="I124">
        <f>NETWORKDAYS($J$90,F124,'Festivos Colombia'!$A$3:$A$22)</f>
        <v>6</v>
      </c>
      <c r="J124" s="7">
        <f>H124</f>
        <v>6</v>
      </c>
    </row>
    <row r="125" outlineLevel="1">
      <c r="A125" t="str">
        <f>G125</f>
        <v>Sin Pagar</v>
      </c>
      <c r="B125">
        <f>IF(I125&lt;=-1,1,IF(I125&lt;=5,2,IF(I125&lt;=15,3,IF(H125&lt;=60,4))))</f>
        <v>3</v>
      </c>
      <c r="C125">
        <v>66</v>
      </c>
      <c r="D125" t="str">
        <v>Yecid Martin</v>
      </c>
      <c r="E125" s="2">
        <v>39000</v>
      </c>
      <c r="F125" s="1">
        <v>46122</v>
      </c>
      <c r="G125" t="str">
        <v>Sin Pagar</v>
      </c>
      <c r="H125">
        <f>IF(OR(G125="Sin pagar",G125="Pagar"),NETWORKDAYS($J$90,F125,'Festivos Colombia'!$A$3:$A$22),0)</f>
        <v>6</v>
      </c>
      <c r="I125">
        <f>NETWORKDAYS($J$90,F125,'Festivos Colombia'!$A$3:$A$22)</f>
        <v>6</v>
      </c>
      <c r="J125" s="7">
        <f>H125</f>
        <v>6</v>
      </c>
      <c r="K125" t="str">
        <v>Sin radicar</v>
      </c>
    </row>
    <row r="126" outlineLevel="1">
      <c r="A126" t="str">
        <f>G126</f>
        <v>Sin Pagar</v>
      </c>
      <c r="B126">
        <f>IF(I126&lt;=-1,1,IF(I126&lt;=5,2,IF(I126&lt;=15,3,IF(H126&lt;=60,4))))</f>
        <v>3</v>
      </c>
      <c r="C126">
        <v>67</v>
      </c>
      <c r="D126" t="str">
        <v>Yecid Martin</v>
      </c>
      <c r="E126" s="2">
        <v>91000</v>
      </c>
      <c r="F126" s="1">
        <v>46129</v>
      </c>
      <c r="G126" t="str">
        <v>Sin Pagar</v>
      </c>
      <c r="H126">
        <f>IF(OR(G126="Sin pagar",G126="Pagar"),NETWORKDAYS($J$90,F126,'Festivos Colombia'!$A$3:$A$22),0)</f>
        <v>11</v>
      </c>
      <c r="I126">
        <f>NETWORKDAYS($J$90,F126,'Festivos Colombia'!$A$3:$A$22)</f>
        <v>11</v>
      </c>
      <c r="J126" s="7">
        <f>H126</f>
        <v>11</v>
      </c>
      <c r="K126" t="str">
        <v>Sin radicar</v>
      </c>
    </row>
    <row r="127" outlineLevel="1">
      <c r="A127" t="str">
        <f>G127</f>
        <v>Sin Pagar</v>
      </c>
      <c r="B127">
        <f>IF(I127&lt;=-1,1,IF(I127&lt;=5,2,IF(I127&lt;=15,3,IF(H127&lt;=60,4))))</f>
        <v>3</v>
      </c>
      <c r="C127">
        <v>24</v>
      </c>
      <c r="D127" t="str">
        <v>Mundo express</v>
      </c>
      <c r="E127" s="2">
        <v>81000</v>
      </c>
      <c r="F127" s="1">
        <v>46129</v>
      </c>
      <c r="G127" t="str">
        <v>Sin Pagar</v>
      </c>
      <c r="H127">
        <f>IF(OR(G127="Sin pagar",G127="Pagar"),NETWORKDAYS($J$90,F127,'Festivos Colombia'!$A$3:$A$22),0)</f>
        <v>11</v>
      </c>
      <c r="I127">
        <f>NETWORKDAYS($J$90,F127,'Festivos Colombia'!$A$3:$A$22)</f>
        <v>11</v>
      </c>
      <c r="J127" s="7">
        <f>H127</f>
        <v>11</v>
      </c>
      <c r="K127" t="str">
        <v>Sin radicar</v>
      </c>
    </row>
    <row r="128" outlineLevel="1">
      <c r="A128" t="str">
        <f>G128</f>
        <v>Sin Pagar</v>
      </c>
      <c r="B128">
        <f>IF(I128&lt;=-1,1,IF(I128&lt;=5,2,IF(I128&lt;=15,3,IF(H128&lt;=60,4))))</f>
        <v>4</v>
      </c>
      <c r="C128">
        <v>68</v>
      </c>
      <c r="D128" t="str">
        <v>Yecid Martin</v>
      </c>
      <c r="E128" s="2">
        <v>69000</v>
      </c>
      <c r="F128" s="1">
        <v>46136</v>
      </c>
      <c r="G128" t="str">
        <v>Sin Pagar</v>
      </c>
      <c r="H128">
        <f>IF(OR(G128="Sin pagar",G128="Pagar"),NETWORKDAYS($J$90,F128,'Festivos Colombia'!$A$3:$A$22),0)</f>
        <v>16</v>
      </c>
      <c r="I128">
        <f>NETWORKDAYS($J$90,F128,'Festivos Colombia'!$A$3:$A$22)</f>
        <v>16</v>
      </c>
      <c r="J128" s="7">
        <f>H128</f>
        <v>16</v>
      </c>
      <c r="K128" t="str">
        <v>Sin radicar</v>
      </c>
    </row>
    <row r="129" ht="15.75" customHeight="1" outlineLevel="1">
      <c r="A129" t="str">
        <f>G129</f>
        <v>Sin Pagar</v>
      </c>
      <c r="B129">
        <f>IF(I129&lt;=-1,1,IF(I129&lt;=5,2,IF(I129&lt;=15,3,IF(H129&lt;=60,4))))</f>
        <v>4</v>
      </c>
      <c r="C129">
        <v>69</v>
      </c>
      <c r="D129" t="str">
        <v>Yecid Martin</v>
      </c>
      <c r="E129" s="2">
        <v>301000</v>
      </c>
      <c r="F129" s="1">
        <v>46142</v>
      </c>
      <c r="G129" t="str">
        <v>Sin Pagar</v>
      </c>
      <c r="H129">
        <f>IF(OR(G129="Sin pagar",G129="Pagar"),NETWORKDAYS($J$90,F129,'Festivos Colombia'!$A$3:$A$22),0)</f>
        <v>20</v>
      </c>
      <c r="I129">
        <f>NETWORKDAYS($J$90,F129,'Festivos Colombia'!$A$3:$A$22)</f>
        <v>20</v>
      </c>
      <c r="J129" s="7">
        <f>H129</f>
        <v>20</v>
      </c>
      <c r="K129" t="str">
        <v>Sin radicar</v>
      </c>
    </row>
    <row r="130" ht="15.75" customHeight="1">
      <c r="D130" t="str">
        <v>REEMBOLSO SAIPEM</v>
      </c>
      <c r="E130" s="2">
        <f>SUBTOTAL(9,E131:E131)</f>
        <v>2500000</v>
      </c>
    </row>
    <row r="131" ht="15.75" customHeight="1" outlineLevel="1">
      <c r="D131" t="str">
        <v xml:space="preserve">Reembolso previsto </v>
      </c>
      <c r="E131" s="2">
        <v>2500000</v>
      </c>
      <c r="F131" s="1">
        <v>46142</v>
      </c>
      <c r="G131" t="str">
        <v>Sin Pagar</v>
      </c>
      <c r="H131">
        <f>IF(OR(G131="Sin pagar",G131="Pagar"),NETWORKDAYS($J$90,F131,'Festivos Colombia'!$A$3:$A$22),0)</f>
        <v>20</v>
      </c>
      <c r="I131">
        <f>NETWORKDAYS($J$90,F131,'Festivos Colombia'!$A$3:$A$22)</f>
        <v>20</v>
      </c>
      <c r="J131" s="7">
        <f>H131</f>
        <v>20</v>
      </c>
      <c r="K131" t="str">
        <v>Sin radicar</v>
      </c>
    </row>
    <row r="132" ht="16.5" customHeight="1">
      <c r="D132" t="str">
        <v>EXAMENES MÉDICOS SAIPEM y OTROS</v>
      </c>
      <c r="E132" s="2">
        <f>SUBTOTAL(9,E133:E133)</f>
        <v>3800000</v>
      </c>
    </row>
    <row r="133" ht="15.75" customHeight="1" outlineLevel="1">
      <c r="D133" t="str">
        <v>Examenes Previsto - SAIPEM</v>
      </c>
      <c r="E133" s="2">
        <v>3800000</v>
      </c>
      <c r="F133" s="1">
        <v>46142</v>
      </c>
      <c r="G133" t="str">
        <v>Sin Pagar</v>
      </c>
      <c r="H133">
        <f>IF(OR(G133="Sin pagar",G133="Pagar"),NETWORKDAYS($J$90,F133,'Festivos Colombia'!$A$3:$A$22),0)</f>
        <v>20</v>
      </c>
      <c r="I133">
        <f>NETWORKDAYS($J$90,F133,'Festivos Colombia'!$A$3:$A$22)</f>
        <v>20</v>
      </c>
      <c r="J133" s="7">
        <f>H133</f>
        <v>20</v>
      </c>
      <c r="K133" t="str">
        <v>Sin radicar</v>
      </c>
    </row>
    <row r="134" ht="16.5" customHeight="1">
      <c r="D134" t="str">
        <v>TIQUETES AÉREOS , HOTELES SAIPEM-AECID - ROOT CAPITAL</v>
      </c>
      <c r="E134" s="2">
        <f>SUBTOTAL(9,E135:E136)</f>
        <v>7000000</v>
      </c>
    </row>
    <row r="135" outlineLevel="1">
      <c r="D135" t="str">
        <v>Tiquete Root capital -Previsto</v>
      </c>
      <c r="E135" s="2">
        <v>3500000</v>
      </c>
      <c r="F135" s="1">
        <v>46142</v>
      </c>
      <c r="G135" t="str">
        <v>Sin Pagar</v>
      </c>
      <c r="H135">
        <f>IF(OR(G135="Sin pagar",G135="Pagar"),NETWORKDAYS($J$90,F135,'Festivos Colombia'!$A$3:$A$22),0)</f>
        <v>20</v>
      </c>
      <c r="I135">
        <f>NETWORKDAYS($J$90,F135,'Festivos Colombia'!$A$3:$A$22)</f>
        <v>20</v>
      </c>
      <c r="J135" s="7">
        <f>H135</f>
        <v>20</v>
      </c>
      <c r="K135" t="str">
        <v>Sin radicar</v>
      </c>
    </row>
    <row r="136" ht="15.75" customHeight="1" outlineLevel="1">
      <c r="D136" t="str">
        <v>Tiquete Saipem -Previsto</v>
      </c>
      <c r="E136" s="2">
        <v>3500000</v>
      </c>
      <c r="F136" s="1">
        <v>46142</v>
      </c>
      <c r="G136" t="str">
        <v>Sin Pagar</v>
      </c>
      <c r="H136">
        <f>IF(OR(G136="Sin pagar",G136="Pagar"),NETWORKDAYS($J$90,F136,'Festivos Colombia'!$A$3:$A$22),0)</f>
        <v>20</v>
      </c>
      <c r="I136">
        <f>NETWORKDAYS($J$90,F136,'Festivos Colombia'!$A$3:$A$22)</f>
        <v>20</v>
      </c>
      <c r="J136" s="7">
        <f>H136</f>
        <v>20</v>
      </c>
      <c r="K136" t="str">
        <v>Sin radicar</v>
      </c>
    </row>
    <row r="137" ht="16.5" customHeight="1">
      <c r="D137" t="str">
        <v>REEMBOLSOS REMOFIRST-YON YOU-AECID</v>
      </c>
      <c r="E137" s="2">
        <f>SUBTOTAL(9,E138:E141)</f>
        <v>43120000</v>
      </c>
    </row>
    <row r="138" outlineLevel="1">
      <c r="A138" t="str">
        <f>G138</f>
        <v>Sin Pagar</v>
      </c>
      <c r="B138">
        <f>IF(I138&lt;=-1,1,IF(I138&lt;=5,2,IF(I138&lt;=15,3,IF(H138&lt;=60,4))))</f>
        <v>3</v>
      </c>
      <c r="D138" t="str">
        <v>Reembolso Mercedes Alvarez Comisión 19 al 21 de febrero 2026-Toribio Cauca - AECID</v>
      </c>
      <c r="E138" s="2">
        <f>430000</f>
        <v>430000</v>
      </c>
      <c r="F138" s="1">
        <v>46122</v>
      </c>
      <c r="G138" t="str">
        <v>Sin Pagar</v>
      </c>
      <c r="H138">
        <f>IF(OR(G138="Sin pagar",G138="Pagar"),NETWORKDAYS($J$90,F138,'Festivos Colombia'!$A$3:$A$22),0)</f>
        <v>6</v>
      </c>
      <c r="I138">
        <f>NETWORKDAYS($J$90,F138,'Festivos Colombia'!$A$3:$A$22)</f>
        <v>6</v>
      </c>
      <c r="J138" s="7">
        <f>H138</f>
        <v>6</v>
      </c>
    </row>
    <row r="139" outlineLevel="1">
      <c r="A139" t="str">
        <f>G139</f>
        <v>Sin Pagar</v>
      </c>
      <c r="B139">
        <f>IF(I139&lt;=-1,1,IF(I139&lt;=5,2,IF(I139&lt;=15,3,IF(H139&lt;=60,4))))</f>
        <v>3</v>
      </c>
      <c r="D139" t="str">
        <v>Reembolso Mercedes Alvarez Comisión 16 al 19 de marzo 2026 - AECID</v>
      </c>
      <c r="E139" s="2">
        <f>2690000</f>
        <v>2690000</v>
      </c>
      <c r="F139" s="1">
        <v>46122</v>
      </c>
      <c r="G139" t="str">
        <v>Sin Pagar</v>
      </c>
      <c r="H139">
        <f>IF(OR(G139="Sin pagar",G139="Pagar"),NETWORKDAYS($J$90,F139,'Festivos Colombia'!$A$3:$A$22),0)</f>
        <v>6</v>
      </c>
      <c r="I139">
        <f>NETWORKDAYS($J$90,F139,'Festivos Colombia'!$A$3:$A$22)</f>
        <v>6</v>
      </c>
      <c r="J139" s="7">
        <f>H139</f>
        <v>6</v>
      </c>
    </row>
    <row r="140" outlineLevel="1">
      <c r="A140" t="str">
        <f>G140</f>
        <v>Sin Pagar</v>
      </c>
      <c r="B140">
        <f>IF(I140&lt;=-1,1,IF(I140&lt;=5,2,IF(I140&lt;=15,3,IF(H140&lt;=60,4))))</f>
        <v>4</v>
      </c>
      <c r="D140" t="str">
        <v>Reembolso previsto remofirst</v>
      </c>
      <c r="E140" s="2">
        <v>30000000</v>
      </c>
      <c r="F140" s="1">
        <v>46142</v>
      </c>
      <c r="G140" t="str">
        <v>Sin Pagar</v>
      </c>
      <c r="H140">
        <f>IF(OR(G140="Sin pagar",G140="Pagar"),NETWORKDAYS($J$90,F140,'Festivos Colombia'!$A$3:$A$22),0)</f>
        <v>20</v>
      </c>
      <c r="I140">
        <f>NETWORKDAYS($J$90,F140,'Festivos Colombia'!$A$3:$A$22)</f>
        <v>20</v>
      </c>
      <c r="J140" s="7">
        <f>H140</f>
        <v>20</v>
      </c>
    </row>
    <row r="141" ht="15.75" customHeight="1" outlineLevel="1">
      <c r="A141" t="str">
        <f>G141</f>
        <v>Sin Pagar</v>
      </c>
      <c r="B141">
        <f>IF(I141&lt;=-1,1,IF(I141&lt;=5,2,IF(I141&lt;=15,3,IF(H141&lt;=60,4))))</f>
        <v>4</v>
      </c>
      <c r="D141" t="str">
        <v>Reembolso previsto Yon You</v>
      </c>
      <c r="E141" s="2">
        <v>10000000</v>
      </c>
      <c r="F141" s="1">
        <v>46142</v>
      </c>
      <c r="G141" t="str">
        <v>Sin Pagar</v>
      </c>
      <c r="H141">
        <f>IF(OR(G141="Sin pagar",G141="Pagar"),NETWORKDAYS($J$90,F141,'Festivos Colombia'!$A$3:$A$22),0)</f>
        <v>20</v>
      </c>
      <c r="I141">
        <f>NETWORKDAYS($J$90,F141,'Festivos Colombia'!$A$3:$A$22)</f>
        <v>20</v>
      </c>
      <c r="J141" s="7">
        <f>H141</f>
        <v>20</v>
      </c>
    </row>
    <row r="142" ht="16.5" customHeight="1">
      <c r="D142" t="str">
        <v>REEMBOLSOS INSIDER</v>
      </c>
      <c r="E142" s="2">
        <f>SUBTOTAL(9,E143:E143)</f>
        <v>10000000</v>
      </c>
    </row>
    <row r="143" ht="15.75" customHeight="1" outlineLevel="1">
      <c r="A143" t="str">
        <f>G143</f>
        <v>Sin Pagar</v>
      </c>
      <c r="B143">
        <f>IF(I143&lt;=-1,1,IF(I143&lt;=5,2,IF(I143&lt;=15,3,IF(H143&lt;=60,4))))</f>
        <v>4</v>
      </c>
      <c r="D143" t="str">
        <v>Reembolso previsto Insider</v>
      </c>
      <c r="E143" s="2">
        <v>10000000</v>
      </c>
      <c r="F143" s="1">
        <v>46142</v>
      </c>
      <c r="G143" t="str">
        <v>Sin Pagar</v>
      </c>
      <c r="H143">
        <f>IF(OR(G143="Sin pagar",G143="Pagar"),NETWORKDAYS($J$90,F143,'Festivos Colombia'!$A$3:$A$22),0)</f>
        <v>20</v>
      </c>
      <c r="I143">
        <f>NETWORKDAYS($J$90,F143,'Festivos Colombia'!$A$3:$A$22)</f>
        <v>20</v>
      </c>
      <c r="J143" s="7">
        <f>H143</f>
        <v>20</v>
      </c>
    </row>
    <row r="144" ht="15.75" customHeight="1">
      <c r="D144" t="str">
        <v>ASESORÍAS</v>
      </c>
      <c r="E144" s="2">
        <f>SUBTOTAL(9,E145:E160)</f>
        <v>25758683.429999996</v>
      </c>
    </row>
    <row r="145" outlineLevel="1">
      <c r="A145" t="str">
        <f>G145</f>
        <v>Sin Pagar</v>
      </c>
      <c r="B145">
        <f>IF(I145&lt;=-1,1,IF(I145&lt;=5,2,IF(I145&lt;=15,3,IF(H145&lt;=60,4))))</f>
        <v>3</v>
      </c>
      <c r="C145" t="str">
        <v>EACB199</v>
      </c>
      <c r="D145" t="str">
        <v>CBP Consultoria - Servicio de mercadeo pautal digital Marzo 2026</v>
      </c>
      <c r="E145" s="2">
        <v>1607010</v>
      </c>
      <c r="F145" s="1">
        <v>46129</v>
      </c>
      <c r="G145" t="str">
        <v>Sin Pagar</v>
      </c>
      <c r="H145">
        <f>IF(OR(G145="Sin pagar",G145="Pagar"),NETWORKDAYS($J$90,F145,'Festivos Colombia'!$A$3:$A$22),0)</f>
        <v>11</v>
      </c>
      <c r="I145">
        <f>NETWORKDAYS($J$90,F145,'Festivos Colombia'!$A$3:$A$22)</f>
        <v>11</v>
      </c>
      <c r="J145" s="7">
        <f>H145</f>
        <v>11</v>
      </c>
      <c r="K145" t="str">
        <v>Sin radicar</v>
      </c>
    </row>
    <row r="146" outlineLevel="1">
      <c r="A146" t="str">
        <f>G146</f>
        <v>Sin Pagar</v>
      </c>
      <c r="B146">
        <f>IF(I146&lt;=-1,1,IF(I146&lt;=5,2,IF(I146&lt;=15,3,IF(H146&lt;=60,4))))</f>
        <v>3</v>
      </c>
      <c r="C146" t="str">
        <v>FE -77</v>
      </c>
      <c r="D146" t="str">
        <v xml:space="preserve">Ibrand Marketing SAS-Servicios agencia mes de abril </v>
      </c>
      <c r="E146" s="2">
        <f>3800000</f>
        <v>3800000</v>
      </c>
      <c r="F146" s="1">
        <v>46129</v>
      </c>
      <c r="G146" t="str">
        <v>Sin Pagar</v>
      </c>
      <c r="H146">
        <f>IF(OR(G146="Sin pagar",G146="Pagar"),NETWORKDAYS($J$90,F146,'Festivos Colombia'!$A$3:$A$22),0)</f>
        <v>11</v>
      </c>
      <c r="I146">
        <f>NETWORKDAYS($J$90,F146,'Festivos Colombia'!$A$3:$A$22)</f>
        <v>11</v>
      </c>
      <c r="J146" s="7">
        <f>H146</f>
        <v>11</v>
      </c>
    </row>
    <row r="147" ht="14.25" customHeight="1" outlineLevel="1">
      <c r="A147" t="str">
        <f>G147</f>
        <v>Sin Pagar</v>
      </c>
      <c r="B147">
        <f>IF(I147&lt;=-1,1,IF(I147&lt;=5,2,IF(I147&lt;=15,3,IF(H147&lt;=60,4))))</f>
        <v>4</v>
      </c>
      <c r="C147" t="str">
        <v>FEV-1-98</v>
      </c>
      <c r="D147" t="str">
        <v>Yoana Forero Servicios profesionales -Costa Rica</v>
      </c>
      <c r="E147" s="2">
        <f>774025.2</f>
        <v>774025.2</v>
      </c>
      <c r="F147" s="1">
        <v>46136</v>
      </c>
      <c r="G147" t="str">
        <v>Sin Pagar</v>
      </c>
      <c r="H147">
        <f>IF(OR(G147="Sin pagar",G147="Pagar"),NETWORKDAYS($J$90,F147,'Festivos Colombia'!$A$3:$A$22),0)</f>
        <v>16</v>
      </c>
      <c r="I147">
        <f>NETWORKDAYS($J$90,F147,'Festivos Colombia'!$A$3:$A$22)</f>
        <v>16</v>
      </c>
      <c r="J147" s="7">
        <f>H147</f>
        <v>16</v>
      </c>
      <c r="K147" t="str">
        <v>Sin radicar</v>
      </c>
    </row>
    <row r="148" outlineLevel="1">
      <c r="A148" t="str">
        <f>G148</f>
        <v>Sin Pagar</v>
      </c>
      <c r="B148">
        <f>IF(I148&lt;=-1,1,IF(I148&lt;=5,2,IF(I148&lt;=15,3,IF(H148&lt;=60,4))))</f>
        <v>4</v>
      </c>
      <c r="C148">
        <v>27</v>
      </c>
      <c r="D148" t="str">
        <v xml:space="preserve">Edward Felipe Forero Osorio </v>
      </c>
      <c r="E148" s="2">
        <v>1489471.36</v>
      </c>
      <c r="F148" s="1">
        <v>46136</v>
      </c>
      <c r="G148" t="str">
        <v>Sin Pagar</v>
      </c>
      <c r="H148">
        <f>IF(OR(G148="Sin pagar",G148="Pagar"),NETWORKDAYS($J$90,F148,'Festivos Colombia'!$A$3:$A$22),0)</f>
        <v>16</v>
      </c>
      <c r="I148">
        <f>NETWORKDAYS($J$90,F148,'Festivos Colombia'!$A$3:$A$22)</f>
        <v>16</v>
      </c>
      <c r="J148" s="7">
        <f>H148</f>
        <v>16</v>
      </c>
      <c r="K148" t="str">
        <v>Sin radicar</v>
      </c>
    </row>
    <row r="149" outlineLevel="1">
      <c r="A149" t="str">
        <f>G149</f>
        <v>Sin Pagar</v>
      </c>
      <c r="B149">
        <f>IF(I149&lt;=-1,1,IF(I149&lt;=5,2,IF(I149&lt;=15,3,IF(H149&lt;=60,4))))</f>
        <v>4</v>
      </c>
      <c r="C149">
        <v>18</v>
      </c>
      <c r="D149" t="str">
        <v xml:space="preserve">Sara Forero Osorio </v>
      </c>
      <c r="E149" s="2">
        <v>1489471.36</v>
      </c>
      <c r="F149" s="1">
        <v>46136</v>
      </c>
      <c r="G149" t="str">
        <v>Sin Pagar</v>
      </c>
      <c r="H149">
        <f>IF(OR(G149="Sin pagar",G149="Pagar"),NETWORKDAYS($J$90,F149,'Festivos Colombia'!$A$3:$A$22),0)</f>
        <v>16</v>
      </c>
      <c r="I149">
        <f>NETWORKDAYS($J$90,F149,'Festivos Colombia'!$A$3:$A$22)</f>
        <v>16</v>
      </c>
      <c r="J149" s="7">
        <f>H149</f>
        <v>16</v>
      </c>
      <c r="K149" t="str">
        <v>Sin radicar</v>
      </c>
    </row>
    <row r="150" outlineLevel="1">
      <c r="A150" t="str">
        <f>G150</f>
        <v>Sin Pagar</v>
      </c>
      <c r="B150">
        <f>IF(I150&lt;=-1,1,IF(I150&lt;=5,2,IF(I150&lt;=15,3,IF(H150&lt;=60,4))))</f>
        <v>4</v>
      </c>
      <c r="C150" t="str">
        <v>CLOA105256994</v>
      </c>
      <c r="D150" t="str">
        <v>Carvajal</v>
      </c>
      <c r="E150" s="2">
        <f>77395</f>
        <v>77395</v>
      </c>
      <c r="F150" s="1">
        <v>46136</v>
      </c>
      <c r="G150" t="str">
        <v>Sin Pagar</v>
      </c>
      <c r="H150">
        <f>IF(OR(G150="Sin pagar",G150="Pagar"),NETWORKDAYS($J$90,F150,'Festivos Colombia'!$A$3:$A$22),0)</f>
        <v>16</v>
      </c>
      <c r="I150">
        <f>NETWORKDAYS($J$90,F150,'Festivos Colombia'!$A$3:$A$22)</f>
        <v>16</v>
      </c>
      <c r="J150" s="7">
        <f>H150</f>
        <v>16</v>
      </c>
    </row>
    <row r="151" outlineLevel="1">
      <c r="A151" t="str">
        <f>G151</f>
        <v>Sin Pagar</v>
      </c>
      <c r="B151">
        <f>IF(I151&lt;=-1,1,IF(I151&lt;=5,2,IF(I151&lt;=15,3,IF(H151&lt;=60,4))))</f>
        <v>4</v>
      </c>
      <c r="C151">
        <v>260401</v>
      </c>
      <c r="D151" t="str">
        <v xml:space="preserve">Analia Lorena Di Nicola </v>
      </c>
      <c r="E151" s="2">
        <v>475363.2</v>
      </c>
      <c r="F151" s="1">
        <v>46136</v>
      </c>
      <c r="G151" t="str">
        <v>Sin Pagar</v>
      </c>
      <c r="H151">
        <f>IF(OR(G151="Sin pagar",G151="Pagar"),NETWORKDAYS($J$90,F151,'Festivos Colombia'!$A$3:$A$22),0)</f>
        <v>16</v>
      </c>
      <c r="I151">
        <f>NETWORKDAYS($J$90,F151,'Festivos Colombia'!$A$3:$A$22)</f>
        <v>16</v>
      </c>
      <c r="J151" s="7">
        <f>H151</f>
        <v>16</v>
      </c>
      <c r="K151" t="str">
        <v>Sin radicar</v>
      </c>
    </row>
    <row r="152" ht="14.25" customHeight="1" outlineLevel="1">
      <c r="A152" t="str">
        <f>G152</f>
        <v>Sin Pagar</v>
      </c>
      <c r="B152">
        <f>IF(I152&lt;=-1,1,IF(I152&lt;=5,2,IF(I152&lt;=15,3,IF(H152&lt;=60,4))))</f>
        <v>4</v>
      </c>
      <c r="C152">
        <v>10</v>
      </c>
      <c r="D152" t="str">
        <v>Sebastían Romero Espitia</v>
      </c>
      <c r="E152" s="2">
        <v>340000</v>
      </c>
      <c r="F152" s="1">
        <v>46136</v>
      </c>
      <c r="G152" t="str">
        <v>Sin Pagar</v>
      </c>
      <c r="H152">
        <f>IF(OR(G152="Sin pagar",G152="Pagar"),NETWORKDAYS($J$90,F152,'Festivos Colombia'!$A$3:$A$22),0)</f>
        <v>16</v>
      </c>
      <c r="I152">
        <f>NETWORKDAYS($J$90,F152,'Festivos Colombia'!$A$3:$A$22)</f>
        <v>16</v>
      </c>
      <c r="J152" s="7">
        <f>H152</f>
        <v>16</v>
      </c>
      <c r="K152" t="str">
        <v>Sin radicar</v>
      </c>
    </row>
    <row r="153" outlineLevel="1">
      <c r="A153" t="str">
        <f>G153</f>
        <v>Sin Pagar</v>
      </c>
      <c r="B153">
        <f>IF(I153&lt;=-1,1,IF(I153&lt;=5,2,IF(I153&lt;=15,3,IF(H153&lt;=60,4))))</f>
        <v>4</v>
      </c>
      <c r="C153" t="str">
        <v>2026-004</v>
      </c>
      <c r="D153" t="str">
        <v xml:space="preserve">Pedro Pablo oviedo Cutiva- Cuenta Ricardo Arambulo </v>
      </c>
      <c r="E153" s="2">
        <v>1438893</v>
      </c>
      <c r="F153" s="1">
        <v>46142</v>
      </c>
      <c r="G153" t="str">
        <v>Sin Pagar</v>
      </c>
      <c r="H153">
        <f>IF(OR(G153="Sin pagar",G153="Pagar"),NETWORKDAYS($J$90,F153,'Festivos Colombia'!$A$3:$A$22),0)</f>
        <v>20</v>
      </c>
      <c r="I153">
        <f>NETWORKDAYS($J$90,F153,'Festivos Colombia'!$A$3:$A$22)</f>
        <v>20</v>
      </c>
      <c r="J153" s="7">
        <f>H153</f>
        <v>20</v>
      </c>
      <c r="K153" t="str">
        <v>Sin radicar</v>
      </c>
    </row>
    <row r="154" outlineLevel="1">
      <c r="A154" t="str">
        <f>G154</f>
        <v>Sin Pagar</v>
      </c>
      <c r="B154">
        <f>IF(I154&lt;=-1,1,IF(I154&lt;=5,2,IF(I154&lt;=15,3,IF(H154&lt;=60,4))))</f>
        <v>4</v>
      </c>
      <c r="C154" t="str">
        <v>FE 42</v>
      </c>
      <c r="D154" t="str">
        <v>Gomez Rodriguez &amp; Associados Revisoria fiscal- Abril</v>
      </c>
      <c r="E154" s="2">
        <v>1877565</v>
      </c>
      <c r="F154" s="1">
        <v>46142</v>
      </c>
      <c r="G154" t="str">
        <v>Sin Pagar</v>
      </c>
      <c r="H154">
        <f>IF(OR(G154="Sin pagar",G154="Pagar"),NETWORKDAYS($J$90,F154,'Festivos Colombia'!$A$3:$A$22),0)</f>
        <v>20</v>
      </c>
      <c r="I154">
        <f>NETWORKDAYS($J$90,F154,'Festivos Colombia'!$A$3:$A$22)</f>
        <v>20</v>
      </c>
      <c r="J154" s="7">
        <f>H154</f>
        <v>20</v>
      </c>
      <c r="K154" t="str">
        <v>Sin radicar</v>
      </c>
    </row>
    <row r="155" outlineLevel="1">
      <c r="A155" t="str">
        <f>G155</f>
        <v>Sin Pagar</v>
      </c>
      <c r="B155">
        <f>IF(I155&lt;=-1,1,IF(I155&lt;=5,2,IF(I155&lt;=15,3,IF(H155&lt;=60,4))))</f>
        <v>4</v>
      </c>
      <c r="C155" t="str">
        <v>FE 417</v>
      </c>
      <c r="D155" t="str">
        <v>ACT&amp;J Consultores S&amp;P Abril 2026</v>
      </c>
      <c r="E155" s="2">
        <f>4065250</f>
        <v>4065250</v>
      </c>
      <c r="F155" s="1">
        <v>46142</v>
      </c>
      <c r="G155" t="str">
        <v>Sin Pagar</v>
      </c>
      <c r="H155">
        <f>IF(OR(G155="Sin pagar",G155="Pagar"),NETWORKDAYS($J$90,F155,'Festivos Colombia'!$A$3:$A$22),0)</f>
        <v>20</v>
      </c>
      <c r="I155">
        <f>NETWORKDAYS($J$90,F155,'Festivos Colombia'!$A$3:$A$22)</f>
        <v>20</v>
      </c>
      <c r="J155" s="7">
        <f>H155</f>
        <v>20</v>
      </c>
      <c r="K155" t="str">
        <v>Sin radicar</v>
      </c>
    </row>
    <row r="156" outlineLevel="1">
      <c r="A156" t="str">
        <f>G156</f>
        <v>Sin Pagar</v>
      </c>
      <c r="B156">
        <f>IF(I156&lt;=-1,1,IF(I156&lt;=5,2,IF(I156&lt;=15,3,IF(H156&lt;=60,4))))</f>
        <v>4</v>
      </c>
      <c r="C156" t="str">
        <v>FE 418</v>
      </c>
      <c r="D156" t="str">
        <v>ACT&amp;J Consultores Global CS Colombia Abril 2026</v>
      </c>
      <c r="E156" s="2">
        <f>3665694</f>
        <v>3665694</v>
      </c>
      <c r="F156" s="1">
        <v>46142</v>
      </c>
      <c r="G156" t="str">
        <v>Sin Pagar</v>
      </c>
      <c r="H156">
        <f>IF(OR(G156="Sin pagar",G156="Pagar"),NETWORKDAYS($J$90,F156,'Festivos Colombia'!$A$3:$A$22),0)</f>
        <v>20</v>
      </c>
      <c r="I156">
        <f>NETWORKDAYS($J$90,F156,'Festivos Colombia'!$A$3:$A$22)</f>
        <v>20</v>
      </c>
      <c r="J156" s="7">
        <f>H156</f>
        <v>20</v>
      </c>
      <c r="K156" t="str">
        <v>Sin radicar</v>
      </c>
    </row>
    <row r="157" ht="13.5" customHeight="1" outlineLevel="1">
      <c r="A157" t="str">
        <f>G157</f>
        <v>Sin Pagar</v>
      </c>
      <c r="B157">
        <f>IF(I157&lt;=-1,1,IF(I157&lt;=5,2,IF(I157&lt;=15,3,IF(H157&lt;=60,4))))</f>
        <v>4</v>
      </c>
      <c r="C157" t="str">
        <v>BPA 6893</v>
      </c>
      <c r="D157" t="str">
        <v>Barrera Palacios</v>
      </c>
      <c r="E157" s="2">
        <f>1723309.31</f>
        <v>1723309.31</v>
      </c>
      <c r="F157" s="1">
        <v>46142</v>
      </c>
      <c r="G157" t="str">
        <v>Sin Pagar</v>
      </c>
      <c r="H157">
        <f>IF(OR(G157="Sin pagar",G157="Pagar"),NETWORKDAYS($J$90,F157,'Festivos Colombia'!$A$3:$A$22),0)</f>
        <v>20</v>
      </c>
      <c r="I157">
        <f>NETWORKDAYS($J$90,F157,'Festivos Colombia'!$A$3:$A$22)</f>
        <v>20</v>
      </c>
      <c r="J157" s="7">
        <f>H157</f>
        <v>20</v>
      </c>
      <c r="K157" t="str">
        <v>Sin radicar</v>
      </c>
    </row>
    <row r="158" ht="13.5" customHeight="1" outlineLevel="1">
      <c r="A158" t="str">
        <f>G158</f>
        <v>Sin Pagar</v>
      </c>
      <c r="B158">
        <f>IF(I158&lt;=-1,1,IF(I158&lt;=5,2,IF(I158&lt;=15,3,IF(H158&lt;=60,4))))</f>
        <v>4</v>
      </c>
      <c r="C158">
        <v>19</v>
      </c>
      <c r="D158" t="str">
        <v>Edgardo Rafael Obredor Borja</v>
      </c>
      <c r="E158" s="2">
        <v>1634061</v>
      </c>
      <c r="F158" s="1">
        <v>46142</v>
      </c>
      <c r="G158" t="str">
        <v>Sin Pagar</v>
      </c>
      <c r="H158">
        <f>IF(OR(G158="Sin pagar",G158="Pagar"),NETWORKDAYS($J$90,F158,'Festivos Colombia'!$A$3:$A$22),0)</f>
        <v>20</v>
      </c>
      <c r="I158">
        <f>NETWORKDAYS($J$90,F158,'Festivos Colombia'!$A$3:$A$22)</f>
        <v>20</v>
      </c>
      <c r="J158" s="7">
        <f>H158</f>
        <v>20</v>
      </c>
      <c r="K158" t="str">
        <v>Sin radicar</v>
      </c>
    </row>
    <row r="159" outlineLevel="1">
      <c r="A159" t="str">
        <f>G159</f>
        <v>Sin Pagar</v>
      </c>
      <c r="B159">
        <f>IF(I159&lt;=-1,1,IF(I159&lt;=5,2,IF(I159&lt;=15,3,IF(H159&lt;=60,4))))</f>
        <v>4</v>
      </c>
      <c r="C159">
        <v>12051</v>
      </c>
      <c r="D159" t="str">
        <v>Nixcom Servicio técnico mensual</v>
      </c>
      <c r="E159" s="2">
        <f>1301175</f>
        <v>1301175</v>
      </c>
      <c r="F159" s="1">
        <v>46142</v>
      </c>
      <c r="G159" t="str">
        <v>Sin Pagar</v>
      </c>
      <c r="H159">
        <f>IF(OR(G159="Sin pagar",G159="Pagar"),NETWORKDAYS($J$90,F159,'Festivos Colombia'!$A$3:$A$22),0)</f>
        <v>20</v>
      </c>
      <c r="I159">
        <f>NETWORKDAYS($J$90,F159,'Festivos Colombia'!$A$3:$A$22)</f>
        <v>20</v>
      </c>
      <c r="J159" s="7">
        <f>H159</f>
        <v>20</v>
      </c>
    </row>
    <row r="160" ht="15.75" customHeight="1" outlineLevel="1">
      <c r="A160" t="str">
        <f>G160</f>
        <v>Sin Pagar</v>
      </c>
      <c r="B160">
        <f>IF(I160&lt;=-1,1,IF(I160&lt;=5,2,IF(I160&lt;=15,3,IF(H160&lt;=60,4))))</f>
        <v>4</v>
      </c>
      <c r="C160">
        <v>2114</v>
      </c>
      <c r="D160" t="str">
        <v>Plurum 20% escuela de liderazgo-Pruebas PDA</v>
      </c>
      <c r="E160" s="2">
        <f>10595552.6*0</f>
        <v>0</v>
      </c>
      <c r="F160" s="1">
        <v>46149</v>
      </c>
      <c r="G160" t="str">
        <v>Sin Pagar</v>
      </c>
      <c r="H160">
        <f>IF(OR(G160="Sin pagar",G160="Pagar"),NETWORKDAYS($J$90,F160,'Festivos Colombia'!$A$3:$A$22),0)</f>
        <v>24</v>
      </c>
      <c r="I160">
        <f>NETWORKDAYS($J$90,F160,'Festivos Colombia'!$A$3:$A$22)</f>
        <v>24</v>
      </c>
      <c r="J160" s="7">
        <f>H160</f>
        <v>24</v>
      </c>
    </row>
    <row r="161" ht="15.75" customHeight="1">
      <c r="D161" t="str">
        <v xml:space="preserve">COSTOS FINANCIEROS </v>
      </c>
      <c r="E161" s="2">
        <f>SUBTOTAL(9,E162:E162)</f>
        <v>14446896.25</v>
      </c>
    </row>
    <row r="162" ht="15.75" customHeight="1" outlineLevel="1">
      <c r="A162" t="str">
        <f>G162</f>
        <v>Sin Pagar</v>
      </c>
      <c r="B162">
        <f>IF(I162&lt;=-1,1,IF(I162&lt;=5,2,IF(I162&lt;=15,3,IF(H162&lt;=60,4))))</f>
        <v>4</v>
      </c>
      <c r="D162" t="str">
        <v>Costos financieros (Cuentas S&amp;P)</v>
      </c>
      <c r="E162" s="2">
        <f>11715337.25+2731559</f>
        <v>14446896.25</v>
      </c>
      <c r="F162" s="1">
        <v>46142</v>
      </c>
      <c r="G162" t="str">
        <v>Sin Pagar</v>
      </c>
      <c r="H162">
        <f>IF(OR(G162="Sin pagar",G162="Pagar"),NETWORKDAYS($J$90,F162,'Festivos Colombia'!$A$3:$A$22),0)</f>
        <v>20</v>
      </c>
      <c r="I162">
        <f>NETWORKDAYS($J$90,F162,'Festivos Colombia'!$A$3:$A$22)</f>
        <v>20</v>
      </c>
      <c r="J162" s="7">
        <f>H162</f>
        <v>20</v>
      </c>
    </row>
    <row r="163" ht="16.5" customHeight="1">
      <c r="D163" t="str">
        <v>CRÉDITOS-LIBRANZAS</v>
      </c>
      <c r="E163" s="2">
        <f>SUBTOTAL(9,E164:E165)</f>
        <v>6200000</v>
      </c>
    </row>
    <row r="164" outlineLevel="1">
      <c r="A164" t="str">
        <f>G164</f>
        <v>Sin Pagar</v>
      </c>
      <c r="B164">
        <f>IF(I164&lt;=-1,1,IF(I164&lt;=5,2,IF(I164&lt;=15,3,IF(H164&lt;=60,4))))</f>
        <v>4</v>
      </c>
      <c r="D164" t="str">
        <v>Libranza Compensar</v>
      </c>
      <c r="E164" s="2">
        <v>5661177</v>
      </c>
      <c r="F164" s="1">
        <v>46142</v>
      </c>
      <c r="G164" t="str">
        <v>Sin Pagar</v>
      </c>
      <c r="H164">
        <f>IF(OR(G164="Sin pagar",G164="Pagar"),NETWORKDAYS($J$90,F164,'Festivos Colombia'!$A$3:$A$22),0)</f>
        <v>20</v>
      </c>
      <c r="I164">
        <f>NETWORKDAYS($J$90,F164,'Festivos Colombia'!$A$3:$A$22)</f>
        <v>20</v>
      </c>
      <c r="J164" s="7">
        <f>H164</f>
        <v>20</v>
      </c>
    </row>
    <row r="165" ht="15.75" customHeight="1" outlineLevel="1">
      <c r="A165" t="str">
        <f>G165</f>
        <v>Sin Pagar</v>
      </c>
      <c r="B165">
        <f>IF(I165&lt;=-1,1,IF(I165&lt;=5,2,IF(I165&lt;=15,3,IF(H165&lt;=60,4))))</f>
        <v>4</v>
      </c>
      <c r="D165" t="str">
        <v>Libranza Comfenalco Lisset Franco REMOFIRST</v>
      </c>
      <c r="E165" s="2">
        <v>538823</v>
      </c>
      <c r="F165" s="1">
        <v>46142</v>
      </c>
      <c r="G165" t="str">
        <v>Sin Pagar</v>
      </c>
      <c r="H165">
        <f>IF(OR(G165="Sin pagar",G165="Pagar"),NETWORKDAYS($J$90,F165,'Festivos Colombia'!$A$3:$A$22),0)</f>
        <v>20</v>
      </c>
      <c r="I165">
        <f>NETWORKDAYS($J$90,F165,'Festivos Colombia'!$A$3:$A$22)</f>
        <v>20</v>
      </c>
      <c r="J165" s="7">
        <f>H165</f>
        <v>20</v>
      </c>
    </row>
    <row r="166" ht="16.5" customHeight="1">
      <c r="D166" t="str">
        <v>TARJETAS DE CRÉDITO</v>
      </c>
      <c r="E166" s="2">
        <f>SUBTOTAL(9,E167:E169)</f>
        <v>21127878</v>
      </c>
    </row>
    <row r="167" outlineLevel="1">
      <c r="A167" t="str">
        <f>G167</f>
        <v>Cancelado</v>
      </c>
      <c r="B167" t="e">
        <f>IF(I167&lt;=-1,1,IF(I167&lt;=5,2,IF(I167&lt;=15,3,IF(H167&lt;=60,4))))</f>
        <v>#REF!</v>
      </c>
      <c r="D167" t="str">
        <v>TC Bancolombia Dolares TC 4853</v>
      </c>
      <c r="E167" s="2">
        <f>(582*3675.81)*0</f>
        <v>0</v>
      </c>
      <c r="F167" s="1">
        <v>46118</v>
      </c>
      <c r="G167" t="str">
        <v>Cancelado</v>
      </c>
      <c r="H167">
        <f>IF(OR(G167="Sin pagar",G167="Pagar"),NETWORKDAYS(#REF!,F167,'Festivos Colombia'!$A$3:$A$22),0)</f>
        <v>0</v>
      </c>
      <c r="I167" t="e">
        <f>NETWORKDAYS(#REF!,F167,'Festivos Colombia'!$A$3:$A$22)</f>
        <v>#REF!</v>
      </c>
      <c r="J167" s="7">
        <f>H167</f>
        <v>0</v>
      </c>
    </row>
    <row r="168" outlineLevel="1">
      <c r="A168" t="str">
        <f>G168</f>
        <v>Cancelado</v>
      </c>
      <c r="B168" t="e">
        <f>IF(I168&lt;=-1,1,IF(I168&lt;=5,2,IF(I168&lt;=15,3,IF(H168&lt;=60,4))))</f>
        <v>#REF!</v>
      </c>
      <c r="D168" t="str">
        <v>TC Bancolombia Pesos TC 4853</v>
      </c>
      <c r="E168" s="2">
        <f>2435311*0</f>
        <v>0</v>
      </c>
      <c r="F168" s="1">
        <v>46118</v>
      </c>
      <c r="G168" t="str">
        <v>Cancelado</v>
      </c>
      <c r="H168">
        <f>IF(OR(G168="Sin pagar",G168="Pagar"),NETWORKDAYS(#REF!,F168,'Festivos Colombia'!$A$3:$A$22),0)</f>
        <v>0</v>
      </c>
      <c r="I168" t="e">
        <f>NETWORKDAYS(#REF!,F168,'Festivos Colombia'!$A$3:$A$22)</f>
        <v>#REF!</v>
      </c>
      <c r="J168" s="7">
        <f>H168</f>
        <v>0</v>
      </c>
    </row>
    <row r="169" ht="15.75" customHeight="1" outlineLevel="1">
      <c r="A169" t="str">
        <f>G169</f>
        <v>Sin Pagar</v>
      </c>
      <c r="B169">
        <f>IF(I169&lt;=-1,1,IF(I169&lt;=5,2,IF(I169&lt;=15,3,IF(H169&lt;=60,4))))</f>
        <v>3</v>
      </c>
      <c r="D169" t="str">
        <v>TC Bancolombia-Ramon Esteban Cardona Salazar TC 5996</v>
      </c>
      <c r="E169" s="2">
        <f>21127878</f>
        <v>21127878</v>
      </c>
      <c r="F169" s="1">
        <v>46128</v>
      </c>
      <c r="G169" t="str">
        <v>Sin Pagar</v>
      </c>
      <c r="H169">
        <f>IF(OR(G169="Sin pagar",G169="Pagar"),NETWORKDAYS($J$90,F169,'Festivos Colombia'!$A$3:$A$22),0)</f>
        <v>10</v>
      </c>
      <c r="I169">
        <f>NETWORKDAYS($J$90,F169,'Festivos Colombia'!$A$3:$A$22)</f>
        <v>10</v>
      </c>
      <c r="J169" s="7">
        <f>H169</f>
        <v>10</v>
      </c>
    </row>
    <row r="170" ht="16.5" customHeight="1">
      <c r="D170" t="str">
        <v>ESTUDIOS DE SEGURIDAD Y EXAMENES OCUPACIONALES</v>
      </c>
      <c r="E170" s="2">
        <f>SUBTOTAL(9,E171:E177)</f>
        <v>2740686.06</v>
      </c>
    </row>
    <row r="171" ht="15.75" customHeight="1" outlineLevel="1">
      <c r="A171" t="str">
        <f>G171</f>
        <v>Sin Pagar</v>
      </c>
      <c r="B171">
        <f>IF(I171&lt;=-1,1,IF(I171&lt;=5,2,IF(I171&lt;=15,3,IF(H171&lt;=60,4))))</f>
        <v>3</v>
      </c>
      <c r="C171">
        <v>6955</v>
      </c>
      <c r="D171" t="str">
        <v xml:space="preserve">EMASOC </v>
      </c>
      <c r="E171" s="2">
        <f>671000</f>
        <v>671000</v>
      </c>
      <c r="F171" s="1">
        <v>46122</v>
      </c>
      <c r="G171" t="str">
        <v>Sin Pagar</v>
      </c>
      <c r="H171">
        <f>IF(OR(G171="Sin pagar",G171="Pagar"),NETWORKDAYS($J$90,F171,'Festivos Colombia'!$A$3:$A$22),0)</f>
        <v>6</v>
      </c>
      <c r="I171">
        <f>NETWORKDAYS($J$90,F171,'Festivos Colombia'!$A$3:$A$22)</f>
        <v>6</v>
      </c>
      <c r="J171" s="7">
        <f>H171</f>
        <v>6</v>
      </c>
    </row>
    <row r="172" ht="15.75" customHeight="1" outlineLevel="1">
      <c r="A172" t="str">
        <f>G172</f>
        <v>Sin Pagar</v>
      </c>
      <c r="B172">
        <f>IF(I172&lt;=-1,1,IF(I172&lt;=5,2,IF(I172&lt;=15,3,IF(H172&lt;=60,4))))</f>
        <v>3</v>
      </c>
      <c r="C172">
        <v>6967</v>
      </c>
      <c r="D172" t="str">
        <v xml:space="preserve">EMASOC </v>
      </c>
      <c r="E172" s="2">
        <f>684500</f>
        <v>684500</v>
      </c>
      <c r="F172" s="1">
        <v>46122</v>
      </c>
      <c r="G172" t="str">
        <v>Sin Pagar</v>
      </c>
      <c r="H172">
        <f>IF(OR(G172="Sin pagar",G172="Pagar"),NETWORKDAYS($J$90,F172,'Festivos Colombia'!$A$3:$A$22),0)</f>
        <v>6</v>
      </c>
      <c r="I172">
        <f>NETWORKDAYS($J$90,F172,'Festivos Colombia'!$A$3:$A$22)</f>
        <v>6</v>
      </c>
      <c r="J172" s="7">
        <f>H172</f>
        <v>6</v>
      </c>
    </row>
    <row r="173" ht="15.75" customHeight="1" outlineLevel="1">
      <c r="A173" t="str">
        <f>G173</f>
        <v>Sin Pagar</v>
      </c>
      <c r="B173">
        <f>IF(I173&lt;=-1,1,IF(I173&lt;=5,2,IF(I173&lt;=15,3,IF(H173&lt;=60,4))))</f>
        <v>3</v>
      </c>
      <c r="C173">
        <v>6988</v>
      </c>
      <c r="D173" t="str">
        <v xml:space="preserve">EMASOC </v>
      </c>
      <c r="E173" s="2">
        <f>340500</f>
        <v>340500</v>
      </c>
      <c r="F173" s="1">
        <v>46129</v>
      </c>
      <c r="G173" t="str">
        <v>Sin Pagar</v>
      </c>
      <c r="H173">
        <f>IF(OR(G173="Sin pagar",G173="Pagar"),NETWORKDAYS($J$90,F173,'Festivos Colombia'!$A$3:$A$22),0)</f>
        <v>11</v>
      </c>
      <c r="I173">
        <f>NETWORKDAYS($J$90,F173,'Festivos Colombia'!$A$3:$A$22)</f>
        <v>11</v>
      </c>
      <c r="J173" s="7">
        <f>H173</f>
        <v>11</v>
      </c>
    </row>
    <row r="174" ht="15.75" customHeight="1" outlineLevel="1">
      <c r="A174" t="str">
        <f>G174</f>
        <v>Sin Pagar</v>
      </c>
      <c r="B174">
        <f>IF(I174&lt;=-1,1,IF(I174&lt;=5,2,IF(I174&lt;=15,3,IF(H174&lt;=60,4))))</f>
        <v>4</v>
      </c>
      <c r="C174">
        <v>6994</v>
      </c>
      <c r="D174" t="str">
        <v xml:space="preserve">EMASOC </v>
      </c>
      <c r="E174" s="2">
        <f>235000</f>
        <v>235000</v>
      </c>
      <c r="F174" s="1">
        <v>46136</v>
      </c>
      <c r="G174" t="str">
        <v>Sin Pagar</v>
      </c>
      <c r="H174">
        <f>IF(OR(G174="Sin pagar",G174="Pagar"),NETWORKDAYS($J$90,F174,'Festivos Colombia'!$A$3:$A$22),0)</f>
        <v>16</v>
      </c>
      <c r="I174">
        <f>NETWORKDAYS($J$90,F174,'Festivos Colombia'!$A$3:$A$22)</f>
        <v>16</v>
      </c>
      <c r="J174" s="7">
        <f>H174</f>
        <v>16</v>
      </c>
    </row>
    <row r="175" ht="15.75" customHeight="1" outlineLevel="1">
      <c r="A175" t="str">
        <f>G175</f>
        <v>Sin Pagar</v>
      </c>
      <c r="B175">
        <f>IF(I175&lt;=-1,1,IF(I175&lt;=5,2,IF(I175&lt;=15,3,IF(H175&lt;=60,4))))</f>
        <v>4</v>
      </c>
      <c r="C175">
        <v>7004</v>
      </c>
      <c r="D175" t="str">
        <v xml:space="preserve">EMASOC </v>
      </c>
      <c r="E175" s="2">
        <f>235000</f>
        <v>235000</v>
      </c>
      <c r="F175" s="1">
        <v>46136</v>
      </c>
      <c r="G175" t="str">
        <v>Sin Pagar</v>
      </c>
      <c r="H175">
        <f>IF(OR(G175="Sin pagar",G175="Pagar"),NETWORKDAYS($J$90,F175,'Festivos Colombia'!$A$3:$A$22),0)</f>
        <v>16</v>
      </c>
      <c r="I175">
        <f>NETWORKDAYS($J$90,F175,'Festivos Colombia'!$A$3:$A$22)</f>
        <v>16</v>
      </c>
      <c r="J175" s="7">
        <f>H175</f>
        <v>16</v>
      </c>
    </row>
    <row r="176" outlineLevel="1">
      <c r="A176" t="str">
        <f>G176</f>
        <v>Sin Pagar</v>
      </c>
      <c r="B176">
        <f>IF(I176&lt;=-1,1,IF(I176&lt;=5,2,IF(I176&lt;=15,3,IF(H176&lt;=60,4))))</f>
        <v>4</v>
      </c>
      <c r="C176">
        <v>3195</v>
      </c>
      <c r="D176" t="str">
        <v>Prosinte</v>
      </c>
      <c r="E176" s="2">
        <f>384004.68</f>
        <v>384004.68</v>
      </c>
      <c r="F176" s="1">
        <v>46142</v>
      </c>
      <c r="G176" t="str">
        <v>Sin Pagar</v>
      </c>
      <c r="H176">
        <f>IF(OR(G176="Sin pagar",G176="Pagar"),NETWORKDAYS($J$90,F176,'Festivos Colombia'!$A$3:$A$22),0)</f>
        <v>20</v>
      </c>
      <c r="I176">
        <f>NETWORKDAYS($J$90,F176,'Festivos Colombia'!$A$3:$A$22)</f>
        <v>20</v>
      </c>
      <c r="J176" s="7">
        <f>H176</f>
        <v>20</v>
      </c>
      <c r="K176" t="str">
        <v>Sin radicar</v>
      </c>
    </row>
    <row r="177" ht="15.75" customHeight="1" outlineLevel="1">
      <c r="A177" t="str">
        <f>G177</f>
        <v>Sin Pagar</v>
      </c>
      <c r="B177">
        <f>IF(I177&lt;=-1,1,IF(I177&lt;=5,2,IF(I177&lt;=15,3,IF(H177&lt;=60,4))))</f>
        <v>4</v>
      </c>
      <c r="C177">
        <v>3196</v>
      </c>
      <c r="D177" t="str">
        <v>Prosinte</v>
      </c>
      <c r="E177" s="2">
        <f>190681.38</f>
        <v>190681.38</v>
      </c>
      <c r="F177" s="1">
        <v>46142</v>
      </c>
      <c r="G177" t="str">
        <v>Sin Pagar</v>
      </c>
      <c r="H177">
        <f>IF(OR(G177="Sin pagar",G177="Pagar"),NETWORKDAYS($J$90,F177,'Festivos Colombia'!$A$3:$A$22),0)</f>
        <v>20</v>
      </c>
      <c r="I177">
        <f>NETWORKDAYS($J$90,F177,'Festivos Colombia'!$A$3:$A$22)</f>
        <v>20</v>
      </c>
      <c r="J177" s="7">
        <f>H177</f>
        <v>20</v>
      </c>
      <c r="K177" t="str">
        <v>Sin radicar</v>
      </c>
    </row>
    <row r="178" ht="16.5" customHeight="1">
      <c r="D178" t="str">
        <v>SOFTWARE NÓMINA</v>
      </c>
      <c r="E178" s="2">
        <f>SUBTOTAL(9,E179:E181)</f>
        <v>7267101</v>
      </c>
    </row>
    <row r="179" outlineLevel="1">
      <c r="A179" t="str">
        <f>G179</f>
        <v>Sin Pagar</v>
      </c>
      <c r="B179">
        <f>IF(I179&lt;=-1,1,IF(I179&lt;=5,2,IF(I179&lt;=15,3,IF(H179&lt;=60,4))))</f>
        <v>3</v>
      </c>
      <c r="C179" t="str">
        <v>PX45392</v>
      </c>
      <c r="D179" t="str">
        <v>Transmision nomina electronica</v>
      </c>
      <c r="E179" s="2">
        <f>197076</f>
        <v>197076</v>
      </c>
      <c r="F179" s="1">
        <v>46126</v>
      </c>
      <c r="G179" t="str">
        <v>Sin Pagar</v>
      </c>
      <c r="H179">
        <f>IF(OR(G179="Sin pagar",G179="Pagar"),NETWORKDAYS($J$90,F179,'Festivos Colombia'!$A$3:$A$22),0)</f>
        <v>8</v>
      </c>
      <c r="I179">
        <f>NETWORKDAYS($J$90,F179,'Festivos Colombia'!$A$3:$A$22)</f>
        <v>8</v>
      </c>
      <c r="J179" s="7">
        <f>H179</f>
        <v>8</v>
      </c>
    </row>
    <row r="180" outlineLevel="1">
      <c r="A180" t="str">
        <f>G180</f>
        <v>Sin Pagar</v>
      </c>
      <c r="B180">
        <f>IF(I180&lt;=-1,1,IF(I180&lt;=5,2,IF(I180&lt;=15,3,IF(H180&lt;=60,4))))</f>
        <v>3</v>
      </c>
      <c r="C180" t="str">
        <v>PX45217</v>
      </c>
      <c r="D180" t="str">
        <v>Servidores ( hosting) y/ o computación en la nuble cloud Febrero</v>
      </c>
      <c r="E180" s="2">
        <f>1563888</f>
        <v>1563888</v>
      </c>
      <c r="F180" s="1">
        <v>46126</v>
      </c>
      <c r="G180" t="str">
        <v>Sin Pagar</v>
      </c>
      <c r="H180">
        <f>IF(OR(G180="Sin pagar",G180="Pagar"),NETWORKDAYS($J$90,F180,'Festivos Colombia'!$A$3:$A$22),0)</f>
        <v>8</v>
      </c>
      <c r="I180">
        <f>NETWORKDAYS($J$90,F180,'Festivos Colombia'!$A$3:$A$22)</f>
        <v>8</v>
      </c>
      <c r="J180" s="7">
        <f>H180</f>
        <v>8</v>
      </c>
    </row>
    <row r="181" ht="15.75" customHeight="1" outlineLevel="1">
      <c r="A181" t="str">
        <f>G181</f>
        <v>Sin Pagar</v>
      </c>
      <c r="B181">
        <f>IF(I181&lt;=-1,1,IF(I181&lt;=5,2,IF(I181&lt;=15,3,IF(H181&lt;=60,4))))</f>
        <v>4</v>
      </c>
      <c r="C181" t="str">
        <v>GFE60050</v>
      </c>
      <c r="D181" t="str">
        <v>Novasoft-Servicio hosting Web-19 Usuarios-29 Bases de datos Enero</v>
      </c>
      <c r="E181" s="2">
        <f>5506137</f>
        <v>5506137</v>
      </c>
      <c r="F181" s="1">
        <v>46142</v>
      </c>
      <c r="G181" t="str">
        <v>Sin Pagar</v>
      </c>
      <c r="H181">
        <f>IF(OR(G181="Sin pagar",G181="Pagar"),NETWORKDAYS($J$90,F181,'Festivos Colombia'!$A$3:$A$22),0)</f>
        <v>20</v>
      </c>
      <c r="I181">
        <f>NETWORKDAYS($J$90,F181,'Festivos Colombia'!$A$3:$A$22)</f>
        <v>20</v>
      </c>
      <c r="J181" s="7">
        <f>H181</f>
        <v>20</v>
      </c>
      <c r="K181" t="str">
        <v>Sin radicar</v>
      </c>
    </row>
    <row r="182" ht="16.5" customHeight="1">
      <c r="D182" t="str">
        <v>NÓMINAS Y ABONO A TARJETAS PEOPLE PASS</v>
      </c>
      <c r="E182" s="2">
        <f>SUBTOTAL(9,E183:E189)</f>
        <v>1961113867.2</v>
      </c>
    </row>
    <row r="183" outlineLevel="1">
      <c r="A183" t="str">
        <f>G183</f>
        <v>Sin Pagar</v>
      </c>
      <c r="B183">
        <f>IF(I183&lt;=-1,1,IF(I183&lt;=5,2,IF(I183&lt;=15,3,IF(H183&lt;=60,4))))</f>
        <v>4</v>
      </c>
      <c r="C183" s="2" t="str">
        <v>58 registros</v>
      </c>
      <c r="D183" t="str">
        <v>Nómina S&amp;P</v>
      </c>
      <c r="E183" s="2">
        <v>200315000</v>
      </c>
      <c r="F183" s="1">
        <v>46140</v>
      </c>
      <c r="G183" t="str">
        <v>Sin Pagar</v>
      </c>
      <c r="H183">
        <f>IF(OR(G183="Sin pagar",G183="Pagar"),NETWORKDAYS($J$90,F183,'Festivos Colombia'!$A$3:$A$22),0)</f>
        <v>18</v>
      </c>
      <c r="I183">
        <f>NETWORKDAYS($J$90,F183,'Festivos Colombia'!$A$3:$A$22)</f>
        <v>18</v>
      </c>
      <c r="J183" s="7">
        <f>H183</f>
        <v>18</v>
      </c>
    </row>
    <row r="184" outlineLevel="1">
      <c r="D184" t="str">
        <v>Nómina EOR</v>
      </c>
      <c r="E184" s="2">
        <v>1439387078</v>
      </c>
      <c r="F184" s="1">
        <v>46140</v>
      </c>
      <c r="G184" t="str">
        <v>Sin Pagar</v>
      </c>
      <c r="H184">
        <f>IF(OR(G184="Sin pagar",G184="Pagar"),NETWORKDAYS($J$90,F184,'Festivos Colombia'!$A$3:$A$22),0)</f>
        <v>18</v>
      </c>
      <c r="I184">
        <f>NETWORKDAYS($J$90,F184,'Festivos Colombia'!$A$3:$A$22)</f>
        <v>18</v>
      </c>
      <c r="J184" s="7">
        <f>H184</f>
        <v>18</v>
      </c>
    </row>
    <row r="185" outlineLevel="1">
      <c r="D185" t="str">
        <v>Nómina Insider</v>
      </c>
      <c r="E185" s="2">
        <f>292487078</f>
        <v>292487078</v>
      </c>
      <c r="F185" s="1">
        <v>46140</v>
      </c>
      <c r="G185" t="str">
        <v>Sin Pagar</v>
      </c>
      <c r="H185">
        <f>IF(OR(G185="Sin pagar",G185="Pagar"),NETWORKDAYS($J$90,F185,'Festivos Colombia'!$A$3:$A$22),0)</f>
        <v>18</v>
      </c>
      <c r="I185">
        <f>NETWORKDAYS($J$90,F185,'Festivos Colombia'!$A$3:$A$22)</f>
        <v>18</v>
      </c>
      <c r="J185" s="7">
        <f>H185</f>
        <v>18</v>
      </c>
    </row>
    <row r="186" ht="14.25" customHeight="1" outlineLevel="1">
      <c r="A186" t="str">
        <f>G186</f>
        <v>Sin Pagar</v>
      </c>
      <c r="B186">
        <f>IF(I186&lt;=-1,1,IF(I186&lt;=5,2,IF(I186&lt;=15,3,IF(H186&lt;=60,4))))</f>
        <v>4</v>
      </c>
      <c r="C186" s="2" t="str">
        <v>1 registro</v>
      </c>
      <c r="D186" t="str">
        <v xml:space="preserve">Embargo Fabian Morales- Banco Agrario </v>
      </c>
      <c r="E186" s="2">
        <v>1112000</v>
      </c>
      <c r="F186" s="1">
        <v>46142</v>
      </c>
      <c r="G186" t="str">
        <v>Sin Pagar</v>
      </c>
      <c r="H186">
        <f>IF(OR(G186="Sin pagar",G186="Pagar"),NETWORKDAYS($J$90,F186,'Festivos Colombia'!$A$3:$A$22),0)</f>
        <v>20</v>
      </c>
      <c r="I186">
        <f>NETWORKDAYS($J$90,F186,'Festivos Colombia'!$A$3:$A$22)</f>
        <v>20</v>
      </c>
      <c r="J186" s="7">
        <f>H186</f>
        <v>20</v>
      </c>
    </row>
    <row r="187" outlineLevel="1">
      <c r="A187" t="str">
        <f>G187</f>
        <v>Sin Pagar</v>
      </c>
      <c r="B187">
        <f>IF(I187&lt;=-1,1,IF(I187&lt;=5,2,IF(I187&lt;=15,3,IF(H187&lt;=60,4))))</f>
        <v>4</v>
      </c>
      <c r="C187" t="str">
        <v>FPP464606</v>
      </c>
      <c r="D187" t="str">
        <v xml:space="preserve">People Pass </v>
      </c>
      <c r="E187" s="2">
        <f>13700000*1.19</f>
        <v>16303000</v>
      </c>
      <c r="F187" s="1">
        <v>46142</v>
      </c>
      <c r="G187" t="str">
        <v>Sin Pagar</v>
      </c>
      <c r="H187">
        <f>IF(OR(G187="Sin pagar",G187="Pagar"),NETWORKDAYS($J$90,F187,'Festivos Colombia'!$A$3:$A$22),0)</f>
        <v>20</v>
      </c>
      <c r="I187">
        <f>NETWORKDAYS($J$90,F187,'Festivos Colombia'!$A$3:$A$22)</f>
        <v>20</v>
      </c>
      <c r="J187" s="7">
        <f>H187</f>
        <v>20</v>
      </c>
    </row>
    <row r="188" outlineLevel="1">
      <c r="A188" t="str">
        <f>G188</f>
        <v>Sin Pagar</v>
      </c>
      <c r="B188">
        <f>IF(I188&lt;=-1,1,IF(I188&lt;=5,2,IF(I188&lt;=15,3,IF(H188&lt;=60,4))))</f>
        <v>4</v>
      </c>
      <c r="D188" t="str">
        <v>People Pass Dotación S&amp;P</v>
      </c>
      <c r="E188" s="2">
        <f>6810480*1.19</f>
        <v>8104471.199999999</v>
      </c>
      <c r="F188" s="1">
        <v>46142</v>
      </c>
      <c r="G188" t="str">
        <v>Sin Pagar</v>
      </c>
      <c r="H188">
        <f>IF(OR(G188="Sin pagar",G188="Pagar"),NETWORKDAYS($J$90,F188,'Festivos Colombia'!$A$3:$A$22),0)</f>
        <v>20</v>
      </c>
      <c r="I188">
        <f>NETWORKDAYS($J$90,F188,'Festivos Colombia'!$A$3:$A$22)</f>
        <v>20</v>
      </c>
      <c r="J188" s="7">
        <f>H188</f>
        <v>20</v>
      </c>
    </row>
    <row r="189" ht="15.75" customHeight="1" outlineLevel="1">
      <c r="A189" t="str">
        <f>G189</f>
        <v>Sin Pagar</v>
      </c>
      <c r="B189">
        <f>IF(I189&lt;=-1,1,IF(I189&lt;=5,2,IF(I189&lt;=15,3,IF(H189&lt;=60,4))))</f>
        <v>4</v>
      </c>
      <c r="D189" t="str">
        <v>People Pass Dotación EOR</v>
      </c>
      <c r="E189" s="2">
        <v>3405240</v>
      </c>
      <c r="F189" s="1">
        <v>46142</v>
      </c>
      <c r="G189" t="str">
        <v>Sin Pagar</v>
      </c>
      <c r="H189">
        <f>IF(OR(G189="Sin pagar",G189="Pagar"),NETWORKDAYS($J$90,F189,'Festivos Colombia'!$A$3:$A$22),0)</f>
        <v>20</v>
      </c>
      <c r="I189">
        <f>NETWORKDAYS($J$90,F189,'Festivos Colombia'!$A$3:$A$22)</f>
        <v>20</v>
      </c>
      <c r="J189" s="7">
        <f>H189</f>
        <v>20</v>
      </c>
    </row>
    <row r="190" ht="16.5" customHeight="1">
      <c r="D190" t="str">
        <v xml:space="preserve">LIQUIDACIONES </v>
      </c>
      <c r="E190" s="2">
        <f>SUBTOTAL(9,E191:E193)</f>
        <v>55000000</v>
      </c>
    </row>
    <row r="191" outlineLevel="1">
      <c r="A191" t="e">
        <f>#REF!</f>
        <v>#REF!</v>
      </c>
      <c r="B191">
        <f>IF(I191&lt;=-1,1,IF(I191&lt;=5,2,IF(I191&lt;=15,3,IF(H191&lt;=60,4))))</f>
        <v>2</v>
      </c>
      <c r="D191" t="str">
        <v>Liquidación Edgar Felipe Chaves Rodriguez</v>
      </c>
      <c r="E191" s="2">
        <f>138978592*0</f>
        <v>0</v>
      </c>
      <c r="F191" s="1">
        <v>46118</v>
      </c>
      <c r="G191" t="str">
        <v>Cancelado</v>
      </c>
      <c r="H191">
        <f>IF(OR(G191="Sin pagar",G191="Pagar"),NETWORKDAYS($J$90,F191,'Festivos Colombia'!$A$3:$A$22),0)</f>
        <v>0</v>
      </c>
      <c r="I191">
        <f>NETWORKDAYS($J$90,F191,'Festivos Colombia'!$A$3:$A$22)</f>
        <v>2</v>
      </c>
      <c r="J191" s="7">
        <f>H191</f>
        <v>0</v>
      </c>
    </row>
    <row r="192" outlineLevel="1">
      <c r="A192" t="e">
        <f>#REF!</f>
        <v>#REF!</v>
      </c>
      <c r="B192">
        <f>IF(I192&lt;=-1,1,IF(I192&lt;=5,2,IF(I192&lt;=15,3,IF(H192&lt;=60,4))))</f>
        <v>3</v>
      </c>
      <c r="D192" t="str">
        <v>Liquidaciones prevista</v>
      </c>
      <c r="E192" s="2">
        <v>30000000</v>
      </c>
      <c r="F192" s="1">
        <v>46129</v>
      </c>
      <c r="G192" t="str">
        <v>Sin Pagar</v>
      </c>
      <c r="H192">
        <f>IF(OR(G192="Sin pagar",G192="Pagar"),NETWORKDAYS($J$90,F192,'Festivos Colombia'!$A$3:$A$22),0)</f>
        <v>11</v>
      </c>
      <c r="I192">
        <f>NETWORKDAYS($J$90,F192,'Festivos Colombia'!$A$3:$A$22)</f>
        <v>11</v>
      </c>
      <c r="J192" s="7">
        <f>H192</f>
        <v>11</v>
      </c>
    </row>
    <row r="193" ht="15.75" customHeight="1" outlineLevel="1">
      <c r="A193" t="e">
        <f>#REF!</f>
        <v>#REF!</v>
      </c>
      <c r="B193">
        <f>IF(I193&lt;=-1,1,IF(I193&lt;=5,2,IF(I193&lt;=15,3,IF(H193&lt;=60,4))))</f>
        <v>4</v>
      </c>
      <c r="D193" t="str">
        <v>Liquidaciones prevista</v>
      </c>
      <c r="E193" s="2">
        <v>25000000</v>
      </c>
      <c r="F193" s="1">
        <v>46142</v>
      </c>
      <c r="G193" t="str">
        <v>Sin Pagar</v>
      </c>
      <c r="H193">
        <f>IF(OR(G193="Sin pagar",G193="Pagar"),NETWORKDAYS($J$90,F193,'Festivos Colombia'!$A$3:$A$22),0)</f>
        <v>20</v>
      </c>
      <c r="I193">
        <f>NETWORKDAYS($J$90,F193,'Festivos Colombia'!$A$3:$A$22)</f>
        <v>20</v>
      </c>
      <c r="J193" s="7">
        <f>H193</f>
        <v>20</v>
      </c>
    </row>
    <row r="194" ht="16.5" customHeight="1">
      <c r="D194" t="str">
        <v>IMPREVISTO</v>
      </c>
      <c r="E194" s="2">
        <f>SUBTOTAL(9,E195:E202)</f>
        <v>153201126.15</v>
      </c>
    </row>
    <row r="195" ht="15" customHeight="1" outlineLevel="1">
      <c r="A195" t="str">
        <f>G195</f>
        <v>Cancelado</v>
      </c>
      <c r="B195">
        <f>IF(I195&lt;=-1,1,IF(I195&lt;=5,2,IF(I195&lt;=15,3,IF(H195&lt;=60,4))))</f>
        <v>2</v>
      </c>
      <c r="D195" t="str">
        <v>Anticipo de dinero Yecid Martin</v>
      </c>
      <c r="E195" s="2">
        <f>300000*0</f>
        <v>0</v>
      </c>
      <c r="F195" s="1">
        <v>46119</v>
      </c>
      <c r="G195" t="str">
        <v>Cancelado</v>
      </c>
      <c r="H195">
        <f>IF(OR(G195="Sin pagar",G195="Pagar"),NETWORKDAYS($J$90,F195,'Festivos Colombia'!$A$3:$A$22),0)</f>
        <v>0</v>
      </c>
      <c r="I195">
        <f>NETWORKDAYS($J$90,F195,'Festivos Colombia'!$A$3:$A$22)</f>
        <v>3</v>
      </c>
      <c r="J195" s="7">
        <f>H195</f>
        <v>0</v>
      </c>
    </row>
    <row r="196" ht="15" customHeight="1" outlineLevel="1">
      <c r="A196" t="str">
        <f>G196</f>
        <v>Cancelado</v>
      </c>
      <c r="B196">
        <f>IF(I196&lt;=-1,1,IF(I196&lt;=5,2,IF(I196&lt;=15,3,IF(H196&lt;=60,4))))</f>
        <v>2</v>
      </c>
      <c r="C196" t="str">
        <v>S/N</v>
      </c>
      <c r="D196" t="str">
        <v>Desayuno Networking AmCham Colombia-Dayana Mejia 15 abril</v>
      </c>
      <c r="E196" s="2">
        <v>166600</v>
      </c>
      <c r="F196" s="1">
        <v>46120</v>
      </c>
      <c r="G196" t="str">
        <v>Cancelado</v>
      </c>
      <c r="H196">
        <f>IF(OR(G196="Sin pagar",G196="Pagar"),NETWORKDAYS($J$90,F196,'Festivos Colombia'!$A$3:$A$22),0)</f>
        <v>0</v>
      </c>
      <c r="I196">
        <f>NETWORKDAYS($J$90,F196,'Festivos Colombia'!$A$3:$A$22)</f>
        <v>4</v>
      </c>
      <c r="J196" s="7">
        <f>H196</f>
        <v>0</v>
      </c>
    </row>
    <row r="197" ht="15" customHeight="1" outlineLevel="1">
      <c r="A197" t="str">
        <f>G197</f>
        <v>Sin Pagar</v>
      </c>
      <c r="B197">
        <f>IF(I197&lt;=-1,1,IF(I197&lt;=5,2,IF(I197&lt;=15,3,IF(H197&lt;=60,4))))</f>
        <v>3</v>
      </c>
      <c r="C197">
        <v>10025785</v>
      </c>
      <c r="D197" t="str">
        <v>Certificado camara de comercio S&amp;P</v>
      </c>
      <c r="E197" s="2">
        <v>12100</v>
      </c>
      <c r="F197" s="1">
        <v>46122</v>
      </c>
      <c r="G197" t="str">
        <v>Sin Pagar</v>
      </c>
      <c r="H197">
        <f>IF(OR(G197="Sin pagar",G197="Pagar"),NETWORKDAYS($J$90,F197,'Festivos Colombia'!$A$3:$A$22),0)</f>
        <v>6</v>
      </c>
      <c r="I197">
        <f>NETWORKDAYS($J$90,F197,'Festivos Colombia'!$A$3:$A$22)</f>
        <v>6</v>
      </c>
      <c r="J197" s="7">
        <f>H197</f>
        <v>6</v>
      </c>
    </row>
    <row r="198" ht="15" customHeight="1" outlineLevel="1">
      <c r="A198" t="str">
        <f>G198</f>
        <v>Sin Pagar</v>
      </c>
      <c r="B198">
        <f>IF(I198&lt;=-1,1,IF(I198&lt;=5,2,IF(I198&lt;=15,3,IF(H198&lt;=60,4))))</f>
        <v>3</v>
      </c>
      <c r="C198" t="str">
        <v>S/N</v>
      </c>
      <c r="D198" t="str">
        <v xml:space="preserve">Compra de computadores </v>
      </c>
      <c r="E198" s="2">
        <f>4700000*10</f>
        <v>47000000</v>
      </c>
      <c r="F198" s="1">
        <v>46129</v>
      </c>
      <c r="G198" t="str">
        <v>Sin Pagar</v>
      </c>
      <c r="H198">
        <f>IF(OR(G198="Sin pagar",G198="Pagar"),NETWORKDAYS($J$90,F198,'Festivos Colombia'!$A$3:$A$22),0)</f>
        <v>11</v>
      </c>
      <c r="I198">
        <f>NETWORKDAYS($J$90,F198,'Festivos Colombia'!$A$3:$A$22)</f>
        <v>11</v>
      </c>
      <c r="J198" s="7">
        <f>H198</f>
        <v>11</v>
      </c>
    </row>
    <row r="199" ht="15" customHeight="1" outlineLevel="1">
      <c r="A199" t="str">
        <f>G199</f>
        <v>Sin Pagar</v>
      </c>
      <c r="B199">
        <f>IF(I199&lt;=-1,1,IF(I199&lt;=5,2,IF(I199&lt;=15,3,IF(H199&lt;=60,4))))</f>
        <v>4</v>
      </c>
      <c r="C199" t="str">
        <v>S/N</v>
      </c>
      <c r="D199" t="str">
        <v xml:space="preserve">Compra de computadores </v>
      </c>
      <c r="E199" s="2">
        <f>4700000*5</f>
        <v>23500000</v>
      </c>
      <c r="F199" s="1">
        <v>46136</v>
      </c>
      <c r="G199" t="str">
        <v>Sin Pagar</v>
      </c>
      <c r="H199">
        <f>IF(OR(G199="Sin pagar",G199="Pagar"),NETWORKDAYS($J$90,F199,'Festivos Colombia'!$A$3:$A$22),0)</f>
        <v>16</v>
      </c>
      <c r="I199">
        <f>NETWORKDAYS($J$90,F199,'Festivos Colombia'!$A$3:$A$22)</f>
        <v>16</v>
      </c>
      <c r="J199" s="7">
        <f>H199</f>
        <v>16</v>
      </c>
    </row>
    <row r="200" ht="15" customHeight="1" outlineLevel="1">
      <c r="A200" t="str">
        <f>G200</f>
        <v>Sin Pagar</v>
      </c>
      <c r="B200">
        <f>IF(I200&lt;=-1,1,IF(I200&lt;=5,2,IF(I200&lt;=15,3,IF(H200&lt;=60,4))))</f>
        <v>4</v>
      </c>
      <c r="C200" s="4" t="str">
        <v>702386580</v>
      </c>
      <c r="D200" t="str">
        <v>Otros imprevistos</v>
      </c>
      <c r="E200" s="2">
        <v>15000000</v>
      </c>
      <c r="F200" s="1">
        <v>46136</v>
      </c>
      <c r="G200" t="str">
        <v>Sin Pagar</v>
      </c>
      <c r="H200">
        <f>IF(OR(G200="Sin pagar",G200="Pagar"),NETWORKDAYS($J$90,F200,'Festivos Colombia'!$A$3:$A$22),0)</f>
        <v>16</v>
      </c>
      <c r="I200">
        <f>NETWORKDAYS($J$90,F200,'Festivos Colombia'!$A$3:$A$22)</f>
        <v>16</v>
      </c>
      <c r="J200" s="7">
        <f>H200</f>
        <v>16</v>
      </c>
    </row>
    <row r="201" ht="15" customHeight="1" outlineLevel="1">
      <c r="A201" t="str">
        <f>G201</f>
        <v>Sin Pagar</v>
      </c>
      <c r="B201">
        <f>IF(I201&lt;=-1,1,IF(I201&lt;=5,2,IF(I201&lt;=15,3,IF(H201&lt;=60,4))))</f>
        <v>4</v>
      </c>
      <c r="D201" t="str">
        <v xml:space="preserve">Devolucion de  anticipo edrington </v>
      </c>
      <c r="E201" s="2">
        <f>(89512000/2)</f>
        <v>44756000</v>
      </c>
      <c r="F201" s="1">
        <v>46142</v>
      </c>
      <c r="G201" t="str">
        <v>Sin Pagar</v>
      </c>
      <c r="H201">
        <f>IF(OR(G201="Sin pagar",G201="Pagar"),NETWORKDAYS($J$90,F201,'Festivos Colombia'!$A$3:$A$22),0)</f>
        <v>20</v>
      </c>
      <c r="I201">
        <f>NETWORKDAYS($J$90,F201,'Festivos Colombia'!$A$3:$A$22)</f>
        <v>20</v>
      </c>
      <c r="J201" s="7">
        <f>H201</f>
        <v>20</v>
      </c>
    </row>
    <row r="202" ht="15" customHeight="1" outlineLevel="1">
      <c r="A202" t="str">
        <f>G202</f>
        <v>Sin Pagar</v>
      </c>
      <c r="B202">
        <f>IF(I202&lt;=-1,1,IF(I202&lt;=5,2,IF(I202&lt;=15,3,IF(H202&lt;=60,4))))</f>
        <v>4</v>
      </c>
      <c r="D202" t="str">
        <v>Devolucion de dinero a Panamá</v>
      </c>
      <c r="E202" s="2">
        <v>22766426.15</v>
      </c>
      <c r="F202" s="1">
        <v>46142</v>
      </c>
      <c r="G202" t="str">
        <v>Sin Pagar</v>
      </c>
      <c r="H202">
        <f>IF(OR(G202="Sin pagar",G202="Pagar"),NETWORKDAYS($J$90,F202,'Festivos Colombia'!$A$3:$A$22),0)</f>
        <v>20</v>
      </c>
      <c r="I202">
        <f>NETWORKDAYS($J$90,F202,'Festivos Colombia'!$A$3:$A$22)</f>
        <v>20</v>
      </c>
      <c r="J202" s="7">
        <f>H202</f>
        <v>20</v>
      </c>
    </row>
    <row r="203" ht="14.25" customHeight="1">
      <c r="D203" t="str">
        <v>TOTAL EGRESOS</v>
      </c>
      <c r="E203" s="2">
        <f>SUBTOTAL(9,E92:E202)</f>
        <v>3134841788.45</v>
      </c>
    </row>
    <row r="204" ht="15.75" customHeight="1"/>
    <row r="205" ht="15.75" customHeight="1">
      <c r="D205" t="str">
        <v>SALDO</v>
      </c>
      <c r="E205" s="2">
        <f>E87-E203</f>
        <v>743588068.5985928</v>
      </c>
    </row>
    <row r="206" ht="15.75" customHeight="1">
      <c r="D206" t="str">
        <v xml:space="preserve">% </v>
      </c>
      <c r="E206" s="8">
        <f>IF($E$87=0,0,E205/$E$87)</f>
        <v>0.1917239955357729</v>
      </c>
      <c r="K206" s="16">
        <v>780000000</v>
      </c>
      <c r="L206" s="2">
        <f>+K206-E205</f>
        <v>36411931.40140724</v>
      </c>
    </row>
    <row r="207" ht="15.75" customHeight="1"/>
    <row r="208" ht="15.75" customHeight="1">
      <c r="D208" t="str">
        <v>Nombre</v>
      </c>
      <c r="L208" s="2">
        <f>L206*2</f>
        <v>72823862.80281448</v>
      </c>
    </row>
    <row r="209">
      <c r="D209" t="str">
        <v>Jerson Porras -Tarjeta 7</v>
      </c>
      <c r="E209" s="2" t="str">
        <v>Carestream</v>
      </c>
    </row>
    <row r="210">
      <c r="D210" t="str">
        <v>Monica Fabiana Hernandez Pinto - Tarjeta 8</v>
      </c>
      <c r="E210" s="2" t="str">
        <v>Root capital</v>
      </c>
    </row>
    <row r="211"/>
    <row r="212"/>
    <row r="213" ht="5.25" customHeight="1"/>
    <row r="214">
      <c r="D214" s="9" t="str">
        <v>Pagos del 01 al 26 abril</v>
      </c>
      <c r="E214" s="2">
        <f>SUM(DISTRIBUCIÓN!F5:F12)</f>
        <v>943694936.48</v>
      </c>
    </row>
    <row r="215" ht="15.75" customHeight="1">
      <c r="D215" t="str">
        <v xml:space="preserve">4 x mil </v>
      </c>
      <c r="E215" s="2">
        <f>(E214*4)/1000</f>
        <v>3774779.74592</v>
      </c>
    </row>
    <row r="216" ht="15.75" customHeight="1">
      <c r="D216" t="str">
        <v>Gran total</v>
      </c>
      <c r="E216" s="2">
        <f>E214+E215</f>
        <v>947469716.22592</v>
      </c>
    </row>
    <row r="217"/>
    <row r="218"/>
    <row r="219">
      <c r="D219" t="str">
        <v>BBVA 08/04/2026</v>
      </c>
      <c r="E219" s="2">
        <v>8804728.63</v>
      </c>
    </row>
    <row r="220" ht="15.75" customHeight="1">
      <c r="D220" s="1" t="str">
        <v>Bancolombia  08/04/2026</v>
      </c>
      <c r="E220" s="2">
        <v>764845393.39</v>
      </c>
    </row>
    <row r="221" ht="15.75" customHeight="1">
      <c r="D221" t="str">
        <v xml:space="preserve">Total Caja </v>
      </c>
      <c r="E221" s="2">
        <f>SUM(E219:E220)</f>
        <v>773650122.02</v>
      </c>
    </row>
    <row r="222" ht="14.25" customHeight="1"/>
    <row r="223">
      <c r="D223" s="9" t="str">
        <v>Superavit o Deficit</v>
      </c>
      <c r="E223" s="2">
        <f>E221-E216</f>
        <v>-173819594.20591998</v>
      </c>
    </row>
    <row r="224"/>
    <row r="225"/>
    <row r="226"/>
    <row r="227">
      <c r="D227" t="str">
        <v>Banco Panamá S&amp;P USD 08/04/2026</v>
      </c>
      <c r="E227" s="5">
        <v>42967.01</v>
      </c>
      <c r="F227" s="5">
        <v>43246.46</v>
      </c>
      <c r="G227" s="5">
        <f>E227-F227</f>
        <v>-279.4499999999971</v>
      </c>
      <c r="K227" s="5">
        <v>2616.55</v>
      </c>
    </row>
    <row r="228">
      <c r="D228" t="str">
        <v>BAC Costa Rica  ₡ 08/04/2026</v>
      </c>
      <c r="E228" s="10">
        <v>36606225.82567004</v>
      </c>
      <c r="F228" s="5">
        <f>E228/480</f>
        <v>76262.97047014591</v>
      </c>
      <c r="G228" s="5">
        <f>F228+E229</f>
        <v>105138.20047014591</v>
      </c>
    </row>
    <row r="229">
      <c r="D229" t="str">
        <v>BAC Costa Rica  USD 08/04/2026</v>
      </c>
      <c r="E229" s="5">
        <v>28875.23</v>
      </c>
    </row>
    <row r="230">
      <c r="D230" t="str">
        <v>Banco Bibankg Guatemala QTZ 08/04/2026</v>
      </c>
      <c r="E230" s="10">
        <v>523366.30346177786</v>
      </c>
      <c r="F230" s="5">
        <f>E230/7.46</f>
        <v>70156.34094661902</v>
      </c>
      <c r="G230" s="5">
        <f>F230+E231</f>
        <v>76652.83094661901</v>
      </c>
    </row>
    <row r="231">
      <c r="D231" t="str">
        <v>Banco Bibankg Guatemala USD 08/04/2026</v>
      </c>
      <c r="E231" s="5">
        <v>6496.489999999991</v>
      </c>
    </row>
    <row r="232">
      <c r="D232" t="str">
        <v>BCP Perú Soles 08/04/2026</v>
      </c>
      <c r="E232" s="11">
        <v>382280.32127186365</v>
      </c>
      <c r="F232" s="5">
        <f>E232/3.52</f>
        <v>108602.36399768853</v>
      </c>
      <c r="G232" s="5">
        <f>F232+E233+F234+E235</f>
        <v>124251.85399004209</v>
      </c>
    </row>
    <row r="233">
      <c r="D233" t="str">
        <v>BCP Perú USD 08/04/2026</v>
      </c>
      <c r="E233" s="5">
        <v>15140.983713283786</v>
      </c>
    </row>
    <row r="234">
      <c r="D234" t="str">
        <v>BBVA Perú Soles 08/04/2026</v>
      </c>
      <c r="E234" s="11">
        <v>1714.38</v>
      </c>
      <c r="F234" s="5">
        <f>E234/3.44</f>
        <v>498.3662790697675</v>
      </c>
    </row>
    <row r="235">
      <c r="D235" t="str">
        <v>BBVA Perú USD 08/04/2026</v>
      </c>
      <c r="E235" s="5">
        <v>10.14</v>
      </c>
    </row>
    <row r="236">
      <c r="D236" t="str">
        <v>Bancolombia ACT&amp;J COPS 08/04/2026</v>
      </c>
      <c r="E236" s="2">
        <v>292927.05</v>
      </c>
    </row>
    <row r="237"/>
    <row r="238" ht="16.5" customHeight="1">
      <c r="D238" t="str">
        <v>Banco Aliado Panamá USD 30/03/2026</v>
      </c>
      <c r="E238" s="10">
        <f>51472.96*0</f>
        <v>0</v>
      </c>
      <c r="F238" s="10" t="str">
        <v>Dato Informativo no es CTA de S&amp;P</v>
      </c>
    </row>
    <row r="239"/>
    <row r="241">
      <c r="D241" t="str">
        <v>Bancos</v>
      </c>
      <c r="E241" s="2">
        <v>13</v>
      </c>
    </row>
    <row r="242">
      <c r="D242" t="str">
        <v>Cuentas</v>
      </c>
      <c r="E242" s="2">
        <v>17</v>
      </c>
    </row>
    <row r="243"/>
    <row r="245"/>
    <row r="249"/>
  </sheetData>
  <autoFilter ref="C91:K202"/>
  <mergeCells count="1">
    <mergeCell ref="D212:E212"/>
  </mergeCells>
  <pageMargins left="0.7" right="0.7" top="0.75" bottom="0.75" header="0.3" footer="0.3"/>
  <ignoredErrors>
    <ignoredError numberStoredAsText="1" sqref="A1:X249"/>
  </ignoredErrors>
  <legacyDrawing r:id="rId1"/>
</worksheet>
</file>

<file path=xl/worksheets/sheet7.xml><?xml version="1.0" encoding="utf-8"?>
<worksheet xmlns="http://schemas.openxmlformats.org/spreadsheetml/2006/main" xmlns:r="http://schemas.openxmlformats.org/officeDocument/2006/relationships">
  <dimension ref="B1:L136"/>
  <sheetViews>
    <sheetView workbookViewId="0" rightToLeft="0"/>
  </sheetViews>
  <cols>
    <col min="1" max="1" customWidth="1" width="2.140625"/>
    <col min="2" max="2" customWidth="1" width="8"/>
    <col min="3" max="3" customWidth="1" width="15.28515625"/>
    <col min="4" max="4" customWidth="1" width="15.28515625"/>
    <col min="5" max="5" customWidth="1" width="66.5703125"/>
    <col min="6" max="6" customWidth="1" width="18.28515625"/>
    <col min="7" max="7" customWidth="1" width="25.28515625"/>
    <col min="8" max="8" customWidth="1" width="54.28515625"/>
    <col min="9" max="9" customWidth="1" width="18.28515625"/>
    <col min="10" max="10" customWidth="1" width="18"/>
    <col min="11" max="11" customWidth="1" width="15.5703125"/>
    <col min="12" max="12" customWidth="1" width="44.140625"/>
    <col min="13" max="13" customWidth="1" width="21.140625"/>
    <col min="14" max="14" customWidth="1" width="12.140625"/>
  </cols>
  <sheetData>
    <row r="1" ht="15.75" customHeight="1">
      <c r="H1" s="6" t="str">
        <v>Sin Pagar</v>
      </c>
      <c r="I1" s="6" t="str">
        <v>Cancelado</v>
      </c>
    </row>
    <row r="2" ht="15.75" customHeight="1">
      <c r="B2" t="str">
        <v>Distribución de dinero</v>
      </c>
    </row>
    <row r="3" ht="15.75" customHeight="1"/>
    <row r="4" ht="16.5" customHeight="1">
      <c r="B4" t="str">
        <v>Semana</v>
      </c>
      <c r="C4" t="str">
        <v>Fecha Inicial</v>
      </c>
      <c r="D4" t="str">
        <v>Fecha Final</v>
      </c>
      <c r="E4" t="str">
        <v xml:space="preserve">Descripción </v>
      </c>
      <c r="F4" t="str">
        <v>Valor</v>
      </c>
      <c r="H4" s="2" t="str">
        <v>Sin pagar</v>
      </c>
      <c r="I4" s="2" t="str">
        <v>Cancelado</v>
      </c>
      <c r="J4" s="2" t="str">
        <v>Total</v>
      </c>
    </row>
    <row r="5" ht="15.75" customHeight="1">
      <c r="B5">
        <v>1</v>
      </c>
      <c r="C5" s="1">
        <v>46113</v>
      </c>
      <c r="D5" s="1">
        <v>46124</v>
      </c>
      <c r="E5" t="str">
        <v>Pagos a Realizar</v>
      </c>
      <c r="F5" s="2">
        <f>SUMIFS(ABRIL!$E$92:$E$1917,ABRIL!$F$92:$F$1917,"&gt;="&amp;C5,ABRIL!$F$92:$F$1917,"&lt;="&amp;D5,ABRIL!$G$92:$G$1917,$H$1)</f>
        <v>7941408.46</v>
      </c>
      <c r="G5" t="str">
        <v xml:space="preserve">Proveedores </v>
      </c>
    </row>
    <row r="6" ht="15.75" customHeight="1">
      <c r="B6">
        <v>2</v>
      </c>
      <c r="C6" s="1">
        <v>46125</v>
      </c>
      <c r="D6" s="1">
        <v>46125</v>
      </c>
      <c r="E6" t="str">
        <v>Pagos a Realizar</v>
      </c>
      <c r="F6" s="2">
        <f>SUMIFS(ABRIL!$E$92:$E$1917,ABRIL!$F$92:$F$1917,"&gt;="&amp;C6,ABRIL!$F$92:$F$1917,"&lt;="&amp;D6,ABRIL!$G$92:$G$1917,$H$1)</f>
        <v>0</v>
      </c>
      <c r="G6" t="str">
        <v>-</v>
      </c>
      <c r="H6" s="2">
        <f>SUMIFS(ABRIL!$E$92:$E$1926,ABRIL!$F$92:$F$1926,"&gt;="&amp;C5,ABRIL!$F$92:$F$1926,"&lt;="&amp;D13,ABRIL!$G$92:$G$1926,$H$1)</f>
        <v>3134675188.45</v>
      </c>
      <c r="I6" s="2">
        <f>SUMIFS(ABRIL!$E$92:$E$1926,ABRIL!$F$92:$F$1926,"&gt;="&amp;C5,ABRIL!$F$92:$F$1926,"&lt;="&amp;D13,ABRIL!$G$92:$G$1926,$I$1)</f>
        <v>166600</v>
      </c>
      <c r="J6" s="2">
        <f>SUM(H6:I6)</f>
        <v>3134841788.45</v>
      </c>
      <c r="L6" t="e">
        <f>J6-#REF!</f>
        <v>#REF!</v>
      </c>
    </row>
    <row r="7" ht="15.75" customHeight="1">
      <c r="B7">
        <v>3</v>
      </c>
      <c r="C7" s="1">
        <v>46126</v>
      </c>
      <c r="D7" s="1">
        <v>46126</v>
      </c>
      <c r="E7" t="str">
        <v>Pagos a Realizar</v>
      </c>
      <c r="F7" s="2">
        <f>SUMIFS(ABRIL!$E$92:$E$1917,ABRIL!$F$92:$F$1917,"&gt;="&amp;C7,ABRIL!$F$92:$F$1917,"&lt;="&amp;D7,ABRIL!$G$92:$G$1917,$H$1)</f>
        <v>15620964</v>
      </c>
      <c r="G7" t="str">
        <v>Anticipo nómina Nazdar y Action</v>
      </c>
    </row>
    <row r="8" ht="15.75" customHeight="1">
      <c r="B8">
        <v>4</v>
      </c>
      <c r="C8" s="1">
        <v>46127</v>
      </c>
      <c r="D8" s="1">
        <v>46127</v>
      </c>
      <c r="E8" t="str">
        <v>Pagos a Realizar</v>
      </c>
      <c r="F8" s="2">
        <f>SUMIFS(ABRIL!$E$92:$E$1917,ABRIL!$F$92:$F$1917,"&gt;="&amp;C8,ABRIL!$F$92:$F$1917,"&lt;="&amp;D8,ABRIL!$G$92:$G$1917,$H$1)</f>
        <v>530117800</v>
      </c>
      <c r="G8" t="str">
        <v>Seguridad social</v>
      </c>
      <c r="I8" s="2" t="str">
        <v>Comprobación</v>
      </c>
      <c r="J8" s="2">
        <f>ABRIL!E203</f>
        <v>3134841788.45</v>
      </c>
    </row>
    <row r="9" ht="15.75" customHeight="1">
      <c r="B9">
        <v>5</v>
      </c>
      <c r="C9" s="1">
        <v>46128</v>
      </c>
      <c r="D9" s="1">
        <v>46128</v>
      </c>
      <c r="E9" t="str">
        <v>Pagos a Realizar</v>
      </c>
      <c r="F9" s="2">
        <f>SUMIFS(ABRIL!$E$92:$E$1917,ABRIL!$F$92:$F$1917,"&gt;="&amp;C9,ABRIL!$F$92:$F$1917,"&lt;="&amp;D9,ABRIL!$G$92:$G$1917,$H$1)</f>
        <v>21127878</v>
      </c>
      <c r="G9" t="str">
        <v>TC Endrington</v>
      </c>
    </row>
    <row r="10" ht="15.75" customHeight="1">
      <c r="B10">
        <v>6</v>
      </c>
      <c r="C10" s="1">
        <v>46129</v>
      </c>
      <c r="D10" s="1">
        <v>46131</v>
      </c>
      <c r="E10" t="str">
        <v>Pagos a Realizar</v>
      </c>
      <c r="F10" s="2">
        <f>SUMIFS(ABRIL!$E$92:$E$1917,ABRIL!$F$92:$F$1917,"&gt;="&amp;C10,ABRIL!$F$92:$F$1917,"&lt;="&amp;D10,ABRIL!$G$92:$G$1917,$H$1)</f>
        <v>85525369.9</v>
      </c>
      <c r="G10" t="str">
        <v>Proveedores</v>
      </c>
      <c r="J10" s="2">
        <f>J6-J8</f>
        <v>0</v>
      </c>
    </row>
    <row r="11" ht="15.75" customHeight="1">
      <c r="B11">
        <v>7</v>
      </c>
      <c r="C11" s="1">
        <v>46132</v>
      </c>
      <c r="D11" s="1">
        <v>46132</v>
      </c>
      <c r="E11" t="str">
        <v>Pagos a Realizar</v>
      </c>
      <c r="F11" s="2">
        <f>SUMIFS(ABRIL!$E$92:$E$1917,ABRIL!$F$92:$F$1917,"&gt;="&amp;C11,ABRIL!$F$92:$F$1917,"&lt;="&amp;D11,ABRIL!$G$92:$G$1917,$H$1)</f>
        <v>239676790</v>
      </c>
      <c r="G11" t="str">
        <v>Rte FTE</v>
      </c>
    </row>
    <row r="12" ht="15.75" customHeight="1">
      <c r="B12">
        <v>8</v>
      </c>
      <c r="C12" s="1">
        <v>46133</v>
      </c>
      <c r="D12" s="1">
        <v>46138</v>
      </c>
      <c r="E12" t="str">
        <v>Pagos a Realizar</v>
      </c>
      <c r="F12" s="2">
        <f>SUMIFS(ABRIL!$E$92:$E$1917,ABRIL!$F$92:$F$1917,"&gt;="&amp;C12,ABRIL!$F$92:$F$1917,"&lt;="&amp;D12,ABRIL!$G$92:$G$1917,$H$1)</f>
        <v>43684726.120000005</v>
      </c>
      <c r="G12" t="str">
        <v>Proveedores</v>
      </c>
    </row>
    <row r="13" ht="16.5" customHeight="1">
      <c r="B13">
        <v>9</v>
      </c>
      <c r="C13" s="1">
        <v>46139</v>
      </c>
      <c r="D13" s="1">
        <v>46142</v>
      </c>
      <c r="E13" t="str">
        <v>Pagos a Realizar</v>
      </c>
      <c r="F13" s="2">
        <f>SUMIFS(ABRIL!$E$92:$E$1917,ABRIL!$F$92:$F$1917,"&gt;="&amp;C13,ABRIL!$F$92:$F$1917,"&lt;="&amp;D13,ABRIL!$G$92:$G$1917,$H$1)</f>
        <v>2190980251.97</v>
      </c>
      <c r="G13" t="str">
        <v>Nómina-Pagos a tercero-Proveedores</v>
      </c>
    </row>
    <row r="14" ht="16.5" customHeight="1">
      <c r="B14" t="str">
        <v>TOTAL</v>
      </c>
      <c r="F14" s="2">
        <f>SUM(F5:F13)</f>
        <v>3134675188.45</v>
      </c>
    </row>
    <row r="15" ht="15.75" customHeight="1"/>
    <row r="16" ht="15.75" customHeight="1">
      <c r="E16" t="str">
        <v>Escenario 1</v>
      </c>
    </row>
    <row r="17" ht="15.75" customHeight="1" outlineLevel="1">
      <c r="E17" t="str">
        <v>Gastos y costos Periodo 01 al 26 abril</v>
      </c>
      <c r="F17" s="2">
        <f>SUM($F$5:$F$12)</f>
        <v>943694936.48</v>
      </c>
    </row>
    <row r="18" ht="16.5" customHeight="1" outlineLevel="1">
      <c r="E18" t="str">
        <v>4 X mil</v>
      </c>
      <c r="F18" s="2">
        <f>($F$17*4)/1000</f>
        <v>3774779.74592</v>
      </c>
    </row>
    <row r="19" ht="16.5" customHeight="1" outlineLevel="1">
      <c r="E19" t="str">
        <v>Total</v>
      </c>
      <c r="F19" s="2">
        <f>SUM(F17:F18)</f>
        <v>947469716.22592</v>
      </c>
    </row>
    <row r="20" ht="21" customHeight="1" outlineLevel="1"/>
    <row r="21" ht="15" customHeight="1" outlineLevel="1">
      <c r="E21" t="str">
        <v xml:space="preserve">Bancos </v>
      </c>
      <c r="F21" s="2">
        <f>ABRIL!$E$221</f>
        <v>773650122.02</v>
      </c>
    </row>
    <row r="22" ht="15" customHeight="1" outlineLevel="1">
      <c r="E22" t="str">
        <v>Bubble Do Brasil</v>
      </c>
      <c r="F22" s="2">
        <f>'MONETIZACIONES PEND'!$Q$18+'MONETIZACIONES PEND'!$Q$19</f>
        <v>4743457.152</v>
      </c>
    </row>
    <row r="23" ht="15" customHeight="1" outlineLevel="1">
      <c r="E23" t="str">
        <v>Action  AD</v>
      </c>
      <c r="F23" s="2">
        <v>12600000</v>
      </c>
    </row>
    <row r="24" ht="15" customHeight="1" outlineLevel="1">
      <c r="E24" t="str">
        <v>AECID</v>
      </c>
      <c r="F24" s="2">
        <f>ABRIL!$E$8+ABRIL!$E$9</f>
        <v>36466712.65</v>
      </c>
    </row>
    <row r="25" ht="15" customHeight="1" outlineLevel="1">
      <c r="E25" t="str">
        <v>Global Colombia</v>
      </c>
      <c r="F25" s="2">
        <f>ABRIL!E23</f>
        <v>20244754</v>
      </c>
    </row>
    <row r="26" ht="15" customHeight="1" outlineLevel="1">
      <c r="E26" t="str">
        <v>Proveedores Nacionales</v>
      </c>
      <c r="F26" s="2">
        <f>ABRIL!$E$7+ABRIL!$E$10+ABRIL!$E$29+ABRIL!$E$33+ABRIL!$E$34</f>
        <v>26977098.490000002</v>
      </c>
      <c r="G26" s="17">
        <v>0</v>
      </c>
    </row>
    <row r="27" ht="15" customHeight="1" outlineLevel="1">
      <c r="E27" t="str">
        <v>Facturas por monetizar Deel</v>
      </c>
      <c r="F27" s="2">
        <f>ABRIL!$E$15+ABRIL!$E$16+ABRIL!$E$17</f>
        <v>67587561</v>
      </c>
    </row>
    <row r="28" ht="15" customHeight="1" outlineLevel="1">
      <c r="E28" t="str">
        <v>Facturas por monetizar Safeguard</v>
      </c>
      <c r="F28" s="2">
        <f>ABRIL!$E$35+ABRIL!$E$36</f>
        <v>68991679.5</v>
      </c>
    </row>
    <row r="29" ht="15" customHeight="1" outlineLevel="1">
      <c r="E29" t="str">
        <v xml:space="preserve">Sobregiro </v>
      </c>
      <c r="F29" s="2">
        <v>0</v>
      </c>
    </row>
    <row r="30" ht="15.75" customHeight="1" outlineLevel="1">
      <c r="E30" t="str">
        <v>Total</v>
      </c>
      <c r="F30" s="2">
        <f>SUM(F21:F29)</f>
        <v>1011261384.8119999</v>
      </c>
    </row>
    <row r="31" outlineLevel="1">
      <c r="E31" t="str">
        <v>Saldo</v>
      </c>
      <c r="F31" s="2">
        <f>F30-$F$19</f>
        <v>63791668.586079955</v>
      </c>
    </row>
    <row r="32" ht="4.5" customHeight="1"/>
    <row r="33" outlineLevel="1"/>
    <row r="34" ht="4.5" customHeight="1"/>
    <row r="35" ht="4.5" customHeight="1"/>
    <row r="36" ht="4.5" customHeight="1"/>
    <row r="37" ht="4.5" customHeight="1"/>
    <row r="38" ht="4.5" customHeight="1"/>
    <row r="39" ht="15.75" customHeight="1">
      <c r="E39" t="str">
        <v>FORECAST MAYO 2026</v>
      </c>
      <c r="H39" t="str">
        <v>FORECAST JUNIO 2026</v>
      </c>
    </row>
    <row r="40" ht="7.5" customHeight="1"/>
    <row r="41" ht="15.75" customHeight="1">
      <c r="E41" t="str">
        <v>INGRESO</v>
      </c>
      <c r="F41" s="2">
        <f>SUBTOTAL(9,F42:F50)</f>
        <v>1016438199.0951928</v>
      </c>
      <c r="H41" t="str">
        <v>INGRESO</v>
      </c>
      <c r="I41" s="2">
        <f>SUBTOTAL(9,I42:I50)</f>
        <v>1314082033.4477446</v>
      </c>
    </row>
    <row r="42" ht="15" customHeight="1" outlineLevel="1">
      <c r="E42" t="str">
        <v>Bancos Valor previsto</v>
      </c>
      <c r="F42" s="18">
        <f>ABRIL!$E$205</f>
        <v>743588068.5985928</v>
      </c>
      <c r="H42" t="str">
        <v>Bancos Valor previsto</v>
      </c>
      <c r="I42" s="18">
        <f>F111</f>
        <v>1142810599.4477446</v>
      </c>
    </row>
    <row r="43" ht="15" customHeight="1" outlineLevel="1">
      <c r="E43" t="str">
        <v>Safeguard Back office 360</v>
      </c>
      <c r="F43" s="2">
        <v>63005792</v>
      </c>
      <c r="G43" s="17">
        <v>1</v>
      </c>
      <c r="H43" t="str">
        <v>Safeguard Back office 360</v>
      </c>
      <c r="I43" s="2">
        <v>35000000</v>
      </c>
      <c r="J43" s="17">
        <v>1</v>
      </c>
    </row>
    <row r="44" ht="15" customHeight="1" outlineLevel="1">
      <c r="E44" t="str">
        <v>Action XXXX</v>
      </c>
      <c r="F44" s="18">
        <v>13000000</v>
      </c>
      <c r="H44" t="str">
        <v>Deel</v>
      </c>
      <c r="I44" s="2">
        <f>15303.2*3650</f>
        <v>55856680</v>
      </c>
    </row>
    <row r="45" ht="15" customHeight="1" outlineLevel="1">
      <c r="E45" t="str">
        <v>Clientes nacionales Previsto -Global Project</v>
      </c>
      <c r="F45" s="2">
        <v>52000000</v>
      </c>
      <c r="H45" t="str">
        <v>Action XXXX</v>
      </c>
      <c r="I45" s="18">
        <v>12500000</v>
      </c>
    </row>
    <row r="46" ht="15" customHeight="1" outlineLevel="1">
      <c r="E46" t="str">
        <v xml:space="preserve">Global CS Colombia </v>
      </c>
      <c r="F46" s="2">
        <v>18500000</v>
      </c>
      <c r="H46" t="str">
        <v>Clientes nacionales Previsto -Global Project</v>
      </c>
      <c r="I46" s="2">
        <v>45000000</v>
      </c>
    </row>
    <row r="47" ht="15" customHeight="1" outlineLevel="1" xml:space="preserve">
      <c r="E47" t="str">
        <v xml:space="preserve">Deel </v>
      </c>
      <c r="F47" s="2" xml:space="preserve">
        <f xml:space="preserve">18542.14*
3703.69</f>
        <v>68674338.4966</v>
      </c>
      <c r="H47" t="str">
        <v>Grupo HL</v>
      </c>
      <c r="I47" s="2">
        <v>0</v>
      </c>
    </row>
    <row r="48" ht="15" customHeight="1" outlineLevel="1">
      <c r="E48" t="str">
        <v>Grupo HL</v>
      </c>
      <c r="F48" s="2">
        <v>55000000</v>
      </c>
      <c r="H48" t="str">
        <v xml:space="preserve">Global CS Colombia </v>
      </c>
      <c r="I48" s="2">
        <v>20244754</v>
      </c>
    </row>
    <row r="49" ht="15" customHeight="1">
      <c r="E49" t="str">
        <v>Intereses PM</v>
      </c>
      <c r="F49" s="2">
        <f>2670000</f>
        <v>2670000</v>
      </c>
      <c r="H49" t="str">
        <v>Intereses PM</v>
      </c>
      <c r="I49" s="2">
        <f>2670000</f>
        <v>2670000</v>
      </c>
    </row>
    <row r="50" ht="15" customHeight="1" outlineLevel="1">
      <c r="E50" t="str">
        <v>Sobregiro</v>
      </c>
      <c r="F50" s="2">
        <v>0</v>
      </c>
      <c r="H50" t="str">
        <v>Sobregiro</v>
      </c>
      <c r="I50" s="2">
        <v>0</v>
      </c>
    </row>
    <row r="51" ht="15" customHeight="1" outlineLevel="1">
      <c r="E51" t="str">
        <v>PAGOS DEL 1 AL 24 MAYO</v>
      </c>
      <c r="F51" s="2">
        <f>SUM(F52:F82)</f>
        <v>1011200749.105448</v>
      </c>
      <c r="H51" t="str">
        <v>PAGOS DEL 1 AL 25 Junio</v>
      </c>
      <c r="I51" s="2">
        <f>SUM(I52:I79)</f>
        <v>961603392.8766481</v>
      </c>
    </row>
    <row r="52" ht="15" customHeight="1" outlineLevel="1">
      <c r="E52" t="str">
        <v xml:space="preserve">Anticipo nómina Action-primer anticipo </v>
      </c>
      <c r="F52" s="2">
        <v>4360000</v>
      </c>
      <c r="H52" t="str">
        <v xml:space="preserve">Anticipo nómina Action-primer anticipo </v>
      </c>
      <c r="I52" s="2">
        <v>4360000</v>
      </c>
    </row>
    <row r="53" ht="15" customHeight="1" outlineLevel="1">
      <c r="E53" t="str">
        <v>Anticipo nómina Nazdar</v>
      </c>
      <c r="F53" s="2">
        <f>9500000</f>
        <v>9500000</v>
      </c>
      <c r="H53" t="str">
        <v>Anticipo nómina Nazdar</v>
      </c>
      <c r="I53" s="2">
        <f>9500000</f>
        <v>9500000</v>
      </c>
    </row>
    <row r="54" ht="15" customHeight="1" outlineLevel="1">
      <c r="E54" t="str">
        <v>Plan complementario compensar</v>
      </c>
      <c r="F54" s="2">
        <v>627000</v>
      </c>
      <c r="H54" t="str">
        <v>Plan complementario compensar</v>
      </c>
      <c r="I54" s="2">
        <v>627000</v>
      </c>
    </row>
    <row r="55" ht="15" customHeight="1" outlineLevel="1">
      <c r="E55" t="str">
        <v xml:space="preserve">Seguridad social </v>
      </c>
      <c r="F55" s="2">
        <f>530117800*1.05</f>
        <v>556623690</v>
      </c>
      <c r="H55" t="str">
        <v xml:space="preserve">Seguridad social </v>
      </c>
      <c r="I55" s="2">
        <f>556623690*1.03</f>
        <v>573322400.7</v>
      </c>
    </row>
    <row r="56" ht="15" customHeight="1" outlineLevel="1">
      <c r="E56" t="str">
        <v>Iva 2do bimestre</v>
      </c>
      <c r="F56" s="2">
        <v>68379580.5</v>
      </c>
      <c r="H56" t="str">
        <v xml:space="preserve">RETENCIÓN EN LA FUENTE </v>
      </c>
      <c r="I56" s="2">
        <f>302875920*1.03</f>
        <v>311962197.6</v>
      </c>
    </row>
    <row r="57" ht="15" customHeight="1" outlineLevel="1">
      <c r="E57" t="str">
        <v xml:space="preserve">RETENCIÓN EN LA FUENTE </v>
      </c>
      <c r="F57" s="2">
        <f>252396600*1.2</f>
        <v>302875920</v>
      </c>
      <c r="H57" t="str">
        <v>Retención de IVA</v>
      </c>
      <c r="I57" s="2">
        <f>225000*1.03</f>
        <v>231750</v>
      </c>
    </row>
    <row r="58" ht="15" customHeight="1" outlineLevel="1">
      <c r="E58" t="str">
        <v>Retención de IVA</v>
      </c>
      <c r="F58" s="2">
        <f>225000*1.2</f>
        <v>270000</v>
      </c>
      <c r="H58" t="str">
        <v>Movistar 365</v>
      </c>
      <c r="I58" s="2">
        <v>993174</v>
      </c>
    </row>
    <row r="59" ht="15" customHeight="1" outlineLevel="1">
      <c r="E59" t="str">
        <v>RTE ICA bimestral</v>
      </c>
      <c r="F59" s="2">
        <f>1137500*1.2</f>
        <v>1365000</v>
      </c>
      <c r="H59" t="str">
        <v>Poliza Suramericana Póliza #  091000808492</v>
      </c>
      <c r="I59" s="2">
        <v>7293422</v>
      </c>
    </row>
    <row r="60" ht="15" customHeight="1" outlineLevel="1">
      <c r="E60" t="str">
        <v>Renta  anual</v>
      </c>
      <c r="F60" s="2">
        <v>0</v>
      </c>
      <c r="H60" t="str">
        <v>Poliza Suramericana Póliza #  083004098664</v>
      </c>
      <c r="I60" s="2">
        <v>437488</v>
      </c>
    </row>
    <row r="61" ht="15" customHeight="1" outlineLevel="1">
      <c r="E61" t="str">
        <v>Movistar 365</v>
      </c>
      <c r="F61" s="2">
        <v>993174</v>
      </c>
      <c r="H61" t="str">
        <v>Servicio de mensajería</v>
      </c>
      <c r="I61" s="2">
        <v>500000</v>
      </c>
    </row>
    <row r="62" ht="15" customHeight="1" outlineLevel="1">
      <c r="E62" t="str">
        <v>Poliza Suramericana Póliza #  091000808492</v>
      </c>
      <c r="F62" s="2">
        <v>7293422</v>
      </c>
      <c r="H62" t="str">
        <v>WORKPLACE SOLUTIONS GROUP SAS (SPACIO)</v>
      </c>
      <c r="I62" s="2">
        <f>313593.5*1.052</f>
        <v>329900.362</v>
      </c>
    </row>
    <row r="63" ht="15" customHeight="1" outlineLevel="1">
      <c r="E63" t="str">
        <v>Poliza Suramericana Póliza #  083004098664</v>
      </c>
      <c r="F63" s="2">
        <v>437488</v>
      </c>
      <c r="H63" t="str">
        <v>TC Bancolombia S&amp;P</v>
      </c>
      <c r="I63" s="2">
        <v>4500000</v>
      </c>
    </row>
    <row r="64" ht="15" customHeight="1" outlineLevel="1">
      <c r="E64" t="str">
        <v>Servicio de mensajería</v>
      </c>
      <c r="F64" s="2">
        <v>500000</v>
      </c>
      <c r="H64" t="str">
        <v>TC Bancolombia-Ramon Esteban Cardona Salazar</v>
      </c>
      <c r="I64" s="2">
        <v>18000000</v>
      </c>
    </row>
    <row r="65" ht="15" customHeight="1" outlineLevel="1">
      <c r="E65" t="str">
        <v>WORKPLACE SOLUTIONS GROUP SAS (SPACIO)</v>
      </c>
      <c r="F65" s="2">
        <f>313593.5*1.052</f>
        <v>329900.362</v>
      </c>
      <c r="H65" t="str">
        <v xml:space="preserve">Anticipo nómina Action-Segundo anticipo </v>
      </c>
      <c r="I65" s="2">
        <v>4853442</v>
      </c>
    </row>
    <row r="66" ht="15" customHeight="1" outlineLevel="1">
      <c r="E66" t="str">
        <v>TC Bancolombia S&amp;P</v>
      </c>
      <c r="F66" s="2">
        <v>4500000</v>
      </c>
      <c r="H66" t="str">
        <v>Rafael Mier</v>
      </c>
      <c r="I66" s="2">
        <v>180000</v>
      </c>
    </row>
    <row r="67" ht="15" customHeight="1" outlineLevel="1">
      <c r="E67" t="str">
        <v>TC Bancolombia-Ramon Esteban Cardona Salazar</v>
      </c>
      <c r="F67" s="2">
        <v>18000000</v>
      </c>
      <c r="H67" t="str">
        <v xml:space="preserve">Plan complementario Suramericana </v>
      </c>
      <c r="I67" s="2">
        <v>752141</v>
      </c>
    </row>
    <row r="68" ht="15" customHeight="1" outlineLevel="1">
      <c r="E68" t="str">
        <v xml:space="preserve">Anticipo nómina Action-Segundo anticipo </v>
      </c>
      <c r="F68" s="2">
        <v>4853442</v>
      </c>
      <c r="H68" t="str">
        <v xml:space="preserve">Reembolsos Saipem </v>
      </c>
      <c r="I68" s="2">
        <v>3000000</v>
      </c>
    </row>
    <row r="69" ht="15" customHeight="1" outlineLevel="1">
      <c r="E69" t="str">
        <v>Rafael Mier</v>
      </c>
      <c r="F69" s="2">
        <v>180000</v>
      </c>
      <c r="H69" t="str">
        <v>Exámenes médicos Saipem</v>
      </c>
      <c r="I69" s="2">
        <v>3800000</v>
      </c>
    </row>
    <row r="70" ht="15" customHeight="1" outlineLevel="1">
      <c r="E70" t="str">
        <v xml:space="preserve">Plan complementario Suramericana </v>
      </c>
      <c r="F70" s="2">
        <v>804056</v>
      </c>
      <c r="H70" t="str">
        <v>Tiquetes y hoteles Saipem</v>
      </c>
      <c r="I70" s="2">
        <v>3500000</v>
      </c>
    </row>
    <row r="71" ht="15" customHeight="1" outlineLevel="1">
      <c r="E71" t="str">
        <v xml:space="preserve">Reembolsos Saipem </v>
      </c>
      <c r="F71" s="2">
        <v>3000000</v>
      </c>
      <c r="H71" t="str">
        <v xml:space="preserve">Yoana Forero Servicios Costa Rica </v>
      </c>
      <c r="I71" s="2">
        <v>774025</v>
      </c>
    </row>
    <row r="72" ht="15" customHeight="1" outlineLevel="1">
      <c r="E72" t="str">
        <v>Exámenes médicos Saipem</v>
      </c>
      <c r="F72" s="2">
        <v>3800000</v>
      </c>
      <c r="H72" t="str">
        <v>Cuentas de cobro Eduard Forero</v>
      </c>
      <c r="I72" s="2">
        <v>2980000</v>
      </c>
    </row>
    <row r="73" ht="15" customHeight="1" outlineLevel="1">
      <c r="E73" t="str">
        <v>Tiquetes y hoteles Saipem</v>
      </c>
      <c r="F73" s="2">
        <v>3500000</v>
      </c>
      <c r="H73" t="str">
        <v>Cuentas de cobro William Romero</v>
      </c>
      <c r="I73" s="2">
        <v>450000</v>
      </c>
    </row>
    <row r="74" ht="15" customHeight="1" outlineLevel="1">
      <c r="E74" t="str">
        <v xml:space="preserve">Yoana Forero Servicios Costa Rica </v>
      </c>
      <c r="F74" s="2">
        <v>774025</v>
      </c>
      <c r="H74" t="str">
        <v xml:space="preserve">Analia Lorena Di Nicola </v>
      </c>
      <c r="I74" s="2">
        <v>475363</v>
      </c>
    </row>
    <row r="75" ht="15" customHeight="1" outlineLevel="1">
      <c r="E75" t="str">
        <v>Cuentas de cobro Eduard Forero</v>
      </c>
      <c r="F75" s="2">
        <v>2980000</v>
      </c>
      <c r="H75" t="str">
        <v>Emasoc</v>
      </c>
      <c r="I75" s="2">
        <v>1500000</v>
      </c>
    </row>
    <row r="76" ht="15" customHeight="1" outlineLevel="1">
      <c r="E76" t="str">
        <v>Cuentas de cobro William Romero</v>
      </c>
      <c r="F76" s="2">
        <v>800000</v>
      </c>
      <c r="H76" t="str">
        <v>Praxedes nómina electrónica</v>
      </c>
      <c r="I76" s="2">
        <v>450000</v>
      </c>
    </row>
    <row r="77" ht="15" customHeight="1" outlineLevel="1">
      <c r="E77" t="str">
        <v xml:space="preserve">Analia Lorena Di Nicola </v>
      </c>
      <c r="F77" s="2">
        <v>475363</v>
      </c>
      <c r="H77" t="str">
        <v>Praxedes</v>
      </c>
      <c r="I77" s="2">
        <v>3000000</v>
      </c>
    </row>
    <row r="78" ht="15" customHeight="1" outlineLevel="1">
      <c r="E78" t="str">
        <v>Emasoc</v>
      </c>
      <c r="F78" s="2">
        <v>1500000</v>
      </c>
      <c r="H78" t="str">
        <v>Imprevisto</v>
      </c>
      <c r="I78" s="2">
        <v>0</v>
      </c>
    </row>
    <row r="79" ht="15" customHeight="1" outlineLevel="1">
      <c r="E79" t="str">
        <v>Praxedes nómina electrónica</v>
      </c>
      <c r="F79" s="2">
        <v>450000</v>
      </c>
      <c r="H79" t="str">
        <v>4 X mil transacciones</v>
      </c>
      <c r="I79" s="2">
        <f>J79</f>
        <v>3831089.2146480004</v>
      </c>
      <c r="J79" s="2">
        <f>(SUM(I52:I78)*4/1000)</f>
        <v>3831089.2146480004</v>
      </c>
    </row>
    <row r="80" ht="15" customHeight="1" outlineLevel="1">
      <c r="E80" t="str">
        <v>Praxedes</v>
      </c>
      <c r="F80" s="2">
        <v>3000000</v>
      </c>
      <c r="H80" t="str">
        <v>Diferencia</v>
      </c>
      <c r="I80" s="2">
        <f>I41-I51</f>
        <v>352478640.57109654</v>
      </c>
    </row>
    <row r="81" ht="15" customHeight="1" outlineLevel="1">
      <c r="E81" t="str">
        <v>Imprevisto</v>
      </c>
      <c r="F81" s="2">
        <v>5000000</v>
      </c>
    </row>
    <row r="82" ht="15" customHeight="1" outlineLevel="1">
      <c r="E82" t="str">
        <v>4 X mil transacciones</v>
      </c>
      <c r="F82" s="2">
        <f>G82</f>
        <v>4028688.243448</v>
      </c>
      <c r="G82" s="2">
        <f>(SUM(F52:F81)*4/1000)</f>
        <v>4028688.243448</v>
      </c>
      <c r="H82" t="str">
        <v>Ingreso previsto por EOR</v>
      </c>
      <c r="I82" s="2">
        <v>3320000000</v>
      </c>
    </row>
    <row r="83" ht="15" customHeight="1" outlineLevel="1">
      <c r="E83" t="str">
        <v>Diferencia</v>
      </c>
      <c r="F83" s="2">
        <f>F41-F51</f>
        <v>5237449.989744782</v>
      </c>
      <c r="H83" t="str">
        <v>Total</v>
      </c>
      <c r="I83" s="2">
        <f>SUM(I80:I82)</f>
        <v>3672478640.5710964</v>
      </c>
    </row>
    <row r="84" ht="15" customHeight="1" outlineLevel="1"/>
    <row r="85" ht="15" customHeight="1" outlineLevel="1">
      <c r="E85" t="str">
        <v>Ingreso previsto por EOR</v>
      </c>
      <c r="F85" s="2">
        <v>3200000000</v>
      </c>
      <c r="H85" t="str">
        <v>PAGOS DEL 26 AL 30 JUNIO</v>
      </c>
      <c r="I85" s="2">
        <f>SUM(I86:I106)</f>
        <v>2558160745.96192</v>
      </c>
    </row>
    <row r="86" ht="15" customHeight="1" outlineLevel="1">
      <c r="E86" t="str">
        <v>Total</v>
      </c>
      <c r="F86" s="2">
        <f>SUM(F83:F85)</f>
        <v>3205237449.9897447</v>
      </c>
      <c r="H86" t="str">
        <v>AFC OE</v>
      </c>
      <c r="I86" s="2">
        <v>16800500</v>
      </c>
    </row>
    <row r="87" ht="15" customHeight="1" outlineLevel="1">
      <c r="H87" t="str">
        <v xml:space="preserve">AFC Edward Forero </v>
      </c>
      <c r="I87" s="2">
        <v>2199500</v>
      </c>
    </row>
    <row r="88" ht="15" customHeight="1" outlineLevel="1">
      <c r="E88" t="str">
        <v>PAGOS DEL 25 AL 31 MAYO</v>
      </c>
      <c r="F88" s="2">
        <f>SUM(F89:F110)</f>
        <v>2062426850.542</v>
      </c>
      <c r="H88" t="str">
        <v>Reembolso caja menor</v>
      </c>
      <c r="I88" s="2">
        <v>300000</v>
      </c>
    </row>
    <row r="89" ht="15" customHeight="1">
      <c r="D89">
        <v>1</v>
      </c>
      <c r="E89" t="str">
        <v>AFC OE</v>
      </c>
      <c r="F89" s="2">
        <v>16800500</v>
      </c>
      <c r="H89" t="str">
        <v>Nixcom</v>
      </c>
      <c r="I89" s="2">
        <f>1276775*1.06</f>
        <v>1353381.5</v>
      </c>
    </row>
    <row r="90" ht="15" customHeight="1">
      <c r="E90" t="str">
        <v xml:space="preserve">AFC Edward Forero </v>
      </c>
      <c r="F90" s="2">
        <v>2199500</v>
      </c>
      <c r="H90" t="str">
        <v>Carvajal</v>
      </c>
      <c r="I90" s="2">
        <v>75000</v>
      </c>
    </row>
    <row r="91" ht="15" customHeight="1">
      <c r="E91" t="str">
        <v>Reembolso caja menor</v>
      </c>
      <c r="F91" s="2">
        <v>300000</v>
      </c>
      <c r="H91" t="str">
        <v>Movistar Telefonía</v>
      </c>
      <c r="I91" s="2">
        <v>1002252</v>
      </c>
    </row>
    <row r="92" ht="15" customHeight="1" outlineLevel="1">
      <c r="E92" t="str">
        <v>Nixcom</v>
      </c>
      <c r="F92" s="2">
        <f>1276775*1.06</f>
        <v>1353381.5</v>
      </c>
      <c r="H92" t="str">
        <v>ACT&amp;J Consultores  S&amp;P</v>
      </c>
      <c r="I92" s="2">
        <f>3178793*1.06</f>
        <v>3369520.58</v>
      </c>
    </row>
    <row r="93" ht="15" customHeight="1" outlineLevel="1">
      <c r="E93" t="str">
        <v>Carvajal</v>
      </c>
      <c r="F93" s="2">
        <v>75000</v>
      </c>
      <c r="H93" t="str">
        <v>ACT&amp;J Consultores  Global</v>
      </c>
      <c r="I93" s="2">
        <f>3484500*1.06</f>
        <v>3693570</v>
      </c>
    </row>
    <row r="94" ht="15" customHeight="1" outlineLevel="1">
      <c r="E94" t="str">
        <v>Movistar Telefonía</v>
      </c>
      <c r="F94" s="2">
        <v>1002252</v>
      </c>
      <c r="H94" t="str">
        <v>Libranza Compensar</v>
      </c>
      <c r="I94" s="2">
        <v>1241772</v>
      </c>
    </row>
    <row r="95" ht="15" customHeight="1" outlineLevel="1">
      <c r="E95" t="str">
        <v>ACT&amp;J Consultores  S&amp;P</v>
      </c>
      <c r="F95" s="2">
        <v>4065250</v>
      </c>
      <c r="H95" t="str">
        <v xml:space="preserve">Nómina OE </v>
      </c>
      <c r="I95" s="2">
        <f>1731900000*1.29</f>
        <v>2234151000</v>
      </c>
    </row>
    <row r="96" ht="15" customHeight="1" outlineLevel="1">
      <c r="E96" t="str">
        <v>ACT&amp;J Consultores  Global</v>
      </c>
      <c r="F96" s="2">
        <v>3665694</v>
      </c>
      <c r="H96" t="str">
        <v>Nomina S&amp;P</v>
      </c>
      <c r="I96" s="2">
        <f>172530460*1.29</f>
        <v>222564293.4</v>
      </c>
    </row>
    <row r="97" ht="15" customHeight="1" outlineLevel="1">
      <c r="E97" t="str">
        <v>Libranza Compensar</v>
      </c>
      <c r="F97" s="2">
        <v>1241772</v>
      </c>
      <c r="H97" t="str">
        <v>People Pass bienestar, medios de transporte y alimentación</v>
      </c>
      <c r="I97" s="2">
        <v>12097393</v>
      </c>
    </row>
    <row r="98" ht="15" customHeight="1" outlineLevel="1">
      <c r="E98" t="str">
        <v xml:space="preserve">Nómina OE </v>
      </c>
      <c r="F98" s="2">
        <v>1731900000</v>
      </c>
      <c r="H98" t="str">
        <v>Embargo Fabian Morales</v>
      </c>
      <c r="I98" s="2">
        <v>1009880</v>
      </c>
    </row>
    <row r="99" ht="15" customHeight="1" outlineLevel="1">
      <c r="E99" t="str">
        <v>Nomina S&amp;P</v>
      </c>
      <c r="F99" s="2">
        <v>172530460</v>
      </c>
      <c r="H99" t="str">
        <v>Reembolsos Remotefisrt</v>
      </c>
      <c r="I99" s="2">
        <v>10000000</v>
      </c>
    </row>
    <row r="100" ht="15" customHeight="1" outlineLevel="1">
      <c r="E100" t="str">
        <v>People Pass bienestar, medios de transporte y alimentación</v>
      </c>
      <c r="F100" s="2">
        <v>12097393</v>
      </c>
      <c r="H100" t="str">
        <v>Reembolsos Insider</v>
      </c>
      <c r="I100" s="2">
        <v>7000000</v>
      </c>
    </row>
    <row r="101" ht="15" customHeight="1" outlineLevel="1">
      <c r="E101" t="str">
        <v>Embargo Fabian Morales</v>
      </c>
      <c r="F101" s="2">
        <v>1112000</v>
      </c>
      <c r="H101" t="str">
        <v>Pedro Pablo Oviedo</v>
      </c>
      <c r="I101" s="2">
        <v>1190808</v>
      </c>
    </row>
    <row r="102" ht="15" customHeight="1" outlineLevel="1">
      <c r="E102" t="str">
        <v>Reembolsos Remotefisrt</v>
      </c>
      <c r="F102" s="2">
        <v>25000000</v>
      </c>
      <c r="H102" t="str">
        <v>Tiquetes Saipem</v>
      </c>
      <c r="I102" s="2">
        <v>1600000</v>
      </c>
    </row>
    <row r="103" ht="15" customHeight="1" outlineLevel="1">
      <c r="E103" t="str">
        <v>Reembolsos Insider</v>
      </c>
      <c r="F103" s="2">
        <v>15000000</v>
      </c>
      <c r="H103" t="str">
        <v>Novasoft</v>
      </c>
      <c r="I103" s="2">
        <v>13000000</v>
      </c>
    </row>
    <row r="104" ht="15" customHeight="1" outlineLevel="1">
      <c r="E104" t="str">
        <v>Pedro Pablo Oviedo</v>
      </c>
      <c r="F104" s="2">
        <v>1190808</v>
      </c>
      <c r="H104" t="str">
        <v>Mensajería</v>
      </c>
      <c r="I104" s="2">
        <v>320000</v>
      </c>
    </row>
    <row r="105" ht="15" customHeight="1" outlineLevel="1">
      <c r="E105" t="str">
        <v>Tiquetes Saipem</v>
      </c>
      <c r="F105" s="2">
        <v>1600000</v>
      </c>
      <c r="H105" t="str">
        <v xml:space="preserve">Imprevistos </v>
      </c>
      <c r="I105" s="2">
        <v>15000000</v>
      </c>
    </row>
    <row r="106" ht="15" customHeight="1" outlineLevel="1">
      <c r="E106" t="str">
        <v>Novasoft</v>
      </c>
      <c r="F106" s="2">
        <v>13000000</v>
      </c>
      <c r="H106" t="str">
        <v>Costos Financieros</v>
      </c>
      <c r="I106" s="2">
        <f>J106</f>
        <v>10191875.48192</v>
      </c>
      <c r="J106" s="2">
        <f>(SUM(I86:I105)*4/1000)</f>
        <v>10191875.48192</v>
      </c>
    </row>
    <row r="107" ht="15" customHeight="1" outlineLevel="1">
      <c r="E107" t="str">
        <v>Mensajería</v>
      </c>
      <c r="F107" s="2">
        <v>320000</v>
      </c>
      <c r="H107" t="str">
        <v>DIFERENCIA</v>
      </c>
      <c r="I107" s="2">
        <f>I83-I85</f>
        <v>1114317894.6091766</v>
      </c>
    </row>
    <row r="108" ht="15" customHeight="1" outlineLevel="1">
      <c r="E108" t="str">
        <v xml:space="preserve">Imprevistos </v>
      </c>
      <c r="F108" s="2">
        <v>5000000</v>
      </c>
    </row>
    <row r="109" ht="15" customHeight="1" outlineLevel="1">
      <c r="E109" t="str">
        <v xml:space="preserve">Devolucion de  anticipo edrington </v>
      </c>
      <c r="F109" s="2">
        <v>44756000</v>
      </c>
    </row>
    <row r="110" ht="15" customHeight="1" outlineLevel="1">
      <c r="E110" t="str">
        <v>Costos Financieros</v>
      </c>
      <c r="F110" s="2">
        <f>G110</f>
        <v>8216840.042</v>
      </c>
      <c r="G110" s="2">
        <f>(SUM(F89:F109)*4/1000)</f>
        <v>8216840.042</v>
      </c>
    </row>
    <row r="111" ht="15" customHeight="1">
      <c r="E111" t="str">
        <v>DIFERENCIA</v>
      </c>
      <c r="F111" s="2">
        <f>F86-F88</f>
        <v>1142810599.4477446</v>
      </c>
    </row>
    <row r="112" ht="15" customHeight="1"/>
    <row r="113" ht="15" customHeight="1"/>
    <row r="115"/>
    <row r="122"/>
    <row r="123"/>
    <row r="124"/>
    <row r="129"/>
    <row r="130"/>
    <row r="131"/>
    <row r="132"/>
    <row r="133"/>
    <row r="134"/>
    <row r="135"/>
    <row r="136"/>
  </sheetData>
  <mergeCells count="5">
    <mergeCell ref="H39:I39"/>
    <mergeCell ref="E39:F39"/>
    <mergeCell ref="B2:F2"/>
    <mergeCell ref="B14:E14"/>
    <mergeCell ref="E16:F16"/>
  </mergeCells>
  <pageMargins left="0.7" right="0.7" top="0.75" bottom="0.75" header="0.3" footer="0.3"/>
  <ignoredErrors>
    <ignoredError numberStoredAsText="1" sqref="B1:L136"/>
  </ignoredErrors>
  <legacyDrawing r:id="rId1"/>
</worksheet>
</file>

<file path=xl/worksheets/sheet8.xml><?xml version="1.0" encoding="utf-8"?>
<worksheet xmlns="http://schemas.openxmlformats.org/spreadsheetml/2006/main" xmlns:r="http://schemas.openxmlformats.org/officeDocument/2006/relationships">
  <dimension ref="B1:XFC562"/>
  <sheetViews>
    <sheetView workbookViewId="0" rightToLeft="0"/>
  </sheetViews>
  <cols>
    <col min="1" max="1" customWidth="1" width="2.28515625"/>
    <col min="2" max="2" customWidth="1" width="4.140625"/>
    <col min="3" max="3" customWidth="1" width="28.7109375"/>
    <col min="4" max="4" customWidth="1" width="33.5703125"/>
    <col min="5" max="5" customWidth="1" width="17.28515625"/>
    <col min="6" max="6" customWidth="1" width="16.140625"/>
    <col min="7" max="7" customWidth="1" width="9.42578125"/>
    <col min="8" max="8" customWidth="1" width="12.140625"/>
    <col min="9" max="9" customWidth="1" width="17.140625"/>
    <col min="10" max="10" customWidth="1" width="17.85546875"/>
    <col min="11" max="11" customWidth="1" width="22.28515625"/>
    <col min="12" max="12" customWidth="1" width="23.28515625"/>
    <col min="13" max="13" customWidth="1" width="17.85546875"/>
    <col min="14" max="14" customWidth="1" width="24.85546875"/>
    <col min="15" max="15" customWidth="1" width="16"/>
    <col min="16" max="16" customWidth="1" width="19.140625"/>
    <col min="17" max="17" customWidth="1" width="24.5703125"/>
    <col min="18" max="18" customWidth="1" width="24.5703125"/>
    <col min="19" max="19" customWidth="1" width="23.28515625"/>
    <col min="20" max="20" customWidth="1" width="14.5703125"/>
    <col min="21" max="21" customWidth="1" width="11.42578125"/>
    <col min="22" max="22" customWidth="1" width="12.42578125"/>
    <col min="23" max="23" customWidth="1" width="15.85546875"/>
    <col min="24" max="24" customWidth="1" width="13.85546875"/>
    <col min="25" max="25" customWidth="1" width="15.5703125"/>
    <col min="26" max="26" customWidth="1" width="22.140625"/>
    <col min="27" max="27" customWidth="1" width="22.8554687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t="15.75" customHeight="1">
      <c r="O1">
        <v>0</v>
      </c>
    </row>
    <row r="2" ht="42.75" customHeight="1" xml:space="preserve">
      <c r="B2" t="str">
        <v>ID</v>
      </c>
      <c r="C2" t="str">
        <v>Client</v>
      </c>
      <c r="D2" t="str">
        <v>Invoice</v>
      </c>
      <c r="E2" t="str">
        <v>Incoming resources</v>
      </c>
      <c r="F2" t="str">
        <v>Maximum Date for Monetization</v>
      </c>
      <c r="G2" t="str">
        <v>Día</v>
      </c>
      <c r="H2" t="str">
        <v>Mes</v>
      </c>
      <c r="I2" t="str">
        <v>Días</v>
      </c>
      <c r="J2" t="str">
        <v>Progress</v>
      </c>
      <c r="K2" t="str">
        <v>Invoiced</v>
      </c>
      <c r="L2" t="str">
        <v>Received</v>
      </c>
      <c r="M2" t="str">
        <v>Banking taxes</v>
      </c>
      <c r="N2" t="str" xml:space="preserve">
        <v xml:space="preserve">TRM Invoice_x000d_
Cops</v>
      </c>
      <c r="O2" t="str" xml:space="preserve">
        <v xml:space="preserve">TRM Bank (Average)_x000d_
Cops</v>
      </c>
      <c r="P2" t="str">
        <v>Difference in exchange rates</v>
      </c>
      <c r="Q2" t="str">
        <v>invoicing in COPS</v>
      </c>
      <c r="R2" t="str">
        <v xml:space="preserve"> negotiated COPS</v>
      </c>
      <c r="S2" t="str">
        <v>difference</v>
      </c>
      <c r="T2" t="str">
        <v>KPI</v>
      </c>
      <c r="U2" t="str">
        <v>Color KPI</v>
      </c>
    </row>
    <row r="3">
      <c r="B3">
        <v>1</v>
      </c>
      <c r="C3" t="str">
        <v>Safeguard World Inter Ltd</v>
      </c>
      <c r="D3" t="str">
        <v>FV-4-6246</v>
      </c>
      <c r="E3" s="1">
        <v>46085</v>
      </c>
      <c r="F3" s="1">
        <v>46145</v>
      </c>
      <c r="G3" s="1" t="str">
        <f>(TEXT(F3,"ddd"))</f>
        <v>dom</v>
      </c>
      <c r="H3" s="1" t="str">
        <f>(TEXT(F3,"mmm"))</f>
        <v>may</v>
      </c>
      <c r="I3" s="19">
        <f>F3-E3</f>
        <v>60</v>
      </c>
      <c r="J3" s="20">
        <f>IFERROR(IF(TODAY()&gt;=E3,(TODAY()-E3)/I3,0),0)</f>
        <v>0.6</v>
      </c>
      <c r="K3" s="5">
        <v>600</v>
      </c>
      <c r="L3" s="5">
        <v>599.1880539783733</v>
      </c>
      <c r="M3" s="5">
        <f>K3-L3</f>
        <v>0.8119460216266816</v>
      </c>
      <c r="N3" s="21">
        <v>4019.9</v>
      </c>
      <c r="Q3" s="21">
        <f>K3*N3</f>
        <v>2411940</v>
      </c>
      <c r="R3" s="21">
        <f>L3*O3</f>
        <v>0</v>
      </c>
      <c r="S3" s="21">
        <f>R3-Q3</f>
        <v>-2411940</v>
      </c>
      <c r="T3" t="str">
        <f>IF(R3&lt;= Q3,"No Monetizar","Monetizar")</f>
        <v>No Monetizar</v>
      </c>
    </row>
    <row r="4">
      <c r="B4">
        <v>2</v>
      </c>
      <c r="C4" t="str">
        <v>Safeguard World Inter Ltd</v>
      </c>
      <c r="D4" t="str">
        <v>FV-4-6248</v>
      </c>
      <c r="E4" s="1">
        <v>46085</v>
      </c>
      <c r="F4" s="1">
        <v>46145</v>
      </c>
      <c r="G4" s="1" t="str">
        <f>(TEXT(F4,"ddd"))</f>
        <v>dom</v>
      </c>
      <c r="H4" s="1" t="str">
        <f>(TEXT(F4,"mmm"))</f>
        <v>may</v>
      </c>
      <c r="I4" s="19">
        <f>F4-E4</f>
        <v>60</v>
      </c>
      <c r="J4" s="20">
        <f>IFERROR(IF(TODAY()&gt;=E4,(TODAY()-E4)/I4,0),0)</f>
        <v>0.6</v>
      </c>
      <c r="K4" s="5">
        <v>3380</v>
      </c>
      <c r="L4" s="5">
        <v>3375.4260374115033</v>
      </c>
      <c r="M4" s="5">
        <f>K4-L4</f>
        <v>4.57396258849667</v>
      </c>
      <c r="N4" s="21">
        <v>4019.09</v>
      </c>
      <c r="Q4" s="21">
        <f>K4*N4</f>
        <v>13584524.200000001</v>
      </c>
      <c r="R4" s="21">
        <f>L4*O4</f>
        <v>0</v>
      </c>
      <c r="S4" s="21">
        <f>R4-Q4</f>
        <v>-13584524.200000001</v>
      </c>
      <c r="T4" t="str">
        <f>IF(R4&lt;= Q4,"No Monetizar","Monetizar")</f>
        <v>No Monetizar</v>
      </c>
    </row>
    <row r="5">
      <c r="B5">
        <v>3</v>
      </c>
      <c r="C5" t="str">
        <v>Safeguard World Inter Ltd</v>
      </c>
      <c r="D5" t="str">
        <v>FV-4-6312</v>
      </c>
      <c r="E5" s="1">
        <v>46085</v>
      </c>
      <c r="F5" s="1">
        <v>46145</v>
      </c>
      <c r="G5" s="1" t="str">
        <f>(TEXT(F5,"ddd"))</f>
        <v>dom</v>
      </c>
      <c r="H5" s="1" t="str">
        <f>(TEXT(F5,"mmm"))</f>
        <v>may</v>
      </c>
      <c r="I5" s="19">
        <f>F5-E5</f>
        <v>60</v>
      </c>
      <c r="J5" s="20">
        <f>IFERROR(IF(TODAY()&gt;=E5,(TODAY()-E5)/I5,0),0)</f>
        <v>0.6</v>
      </c>
      <c r="K5" s="5">
        <v>780</v>
      </c>
      <c r="L5" s="5">
        <v>778.9444701718854</v>
      </c>
      <c r="M5" s="5">
        <f>K5-L5</f>
        <v>1.0555298281145724</v>
      </c>
      <c r="N5" s="21">
        <v>3844.47</v>
      </c>
      <c r="Q5" s="21">
        <f>K5*N5</f>
        <v>2998686.5999999996</v>
      </c>
      <c r="R5" s="21">
        <f>L5*O5</f>
        <v>0</v>
      </c>
      <c r="S5" s="21">
        <f>R5-Q5</f>
        <v>-2998686.5999999996</v>
      </c>
      <c r="T5" t="str">
        <f>IF(R5&lt;= Q5,"No Monetizar","Monetizar")</f>
        <v>No Monetizar</v>
      </c>
    </row>
    <row r="6">
      <c r="B6">
        <v>4</v>
      </c>
      <c r="C6" t="str">
        <v>Safeguard World Inter Ltd</v>
      </c>
      <c r="D6" t="str">
        <v>FV-4-6620</v>
      </c>
      <c r="E6" s="1">
        <v>46085</v>
      </c>
      <c r="F6" s="1">
        <v>46145</v>
      </c>
      <c r="G6" s="1" t="str">
        <f>(TEXT(F6,"ddd"))</f>
        <v>dom</v>
      </c>
      <c r="H6" s="1" t="str">
        <f>(TEXT(F6,"mmm"))</f>
        <v>may</v>
      </c>
      <c r="I6" s="19">
        <f>F6-E6</f>
        <v>60</v>
      </c>
      <c r="J6" s="20">
        <f>IFERROR(IF(TODAY()&gt;=E6,(TODAY()-E6)/I6,0),0)</f>
        <v>0.6</v>
      </c>
      <c r="K6" s="5">
        <v>2003.42</v>
      </c>
      <c r="L6" s="5">
        <v>2000.708885168921</v>
      </c>
      <c r="M6" s="5">
        <f>K6-L6</f>
        <v>2.7111148310791577</v>
      </c>
      <c r="N6" s="21">
        <v>3682.97</v>
      </c>
      <c r="Q6" s="21">
        <f>K6*N6</f>
        <v>7378535.7574</v>
      </c>
      <c r="R6" s="21">
        <f>L6*O6</f>
        <v>0</v>
      </c>
      <c r="S6" s="21">
        <f>R6-Q6</f>
        <v>-7378535.7574</v>
      </c>
      <c r="T6" t="str">
        <f>IF(R6&lt;= Q6,"No Monetizar","Monetizar")</f>
        <v>No Monetizar</v>
      </c>
    </row>
    <row r="7">
      <c r="B7">
        <v>5</v>
      </c>
      <c r="C7" t="str">
        <v>Safeguard World Inter Ltd</v>
      </c>
      <c r="D7" t="str">
        <v>FV-4-6622</v>
      </c>
      <c r="E7" s="1">
        <v>46085</v>
      </c>
      <c r="F7" s="1">
        <v>46145</v>
      </c>
      <c r="G7" s="1" t="str">
        <f>(TEXT(F7,"ddd"))</f>
        <v>dom</v>
      </c>
      <c r="H7" s="1" t="str">
        <f>(TEXT(F7,"mmm"))</f>
        <v>may</v>
      </c>
      <c r="I7" s="19">
        <f>F7-E7</f>
        <v>60</v>
      </c>
      <c r="J7" s="20">
        <f>IFERROR(IF(TODAY()&gt;=E7,(TODAY()-E7)/I7,0),0)</f>
        <v>0.6</v>
      </c>
      <c r="K7" s="5">
        <v>2280</v>
      </c>
      <c r="L7" s="5">
        <v>2276.9146051178186</v>
      </c>
      <c r="M7" s="5">
        <f>K7-L7</f>
        <v>3.08539488218139</v>
      </c>
      <c r="N7" s="22">
        <v>3682.97</v>
      </c>
      <c r="Q7" s="21">
        <f>K7*N7</f>
        <v>8397171.6</v>
      </c>
      <c r="R7" s="21">
        <f>L7*O7</f>
        <v>0</v>
      </c>
      <c r="S7" s="21">
        <f>R7-Q7</f>
        <v>-8397171.6</v>
      </c>
      <c r="T7" t="str">
        <f>IF(R7&lt;= Q7,"No Monetizar","Monetizar")</f>
        <v>No Monetizar</v>
      </c>
    </row>
    <row r="8">
      <c r="B8">
        <v>6</v>
      </c>
      <c r="C8" t="str">
        <v>Safeguard World Inter Ltd</v>
      </c>
      <c r="D8" t="str">
        <v>FV-4-6707</v>
      </c>
      <c r="E8" s="1">
        <v>46085</v>
      </c>
      <c r="F8" s="1">
        <v>46145</v>
      </c>
      <c r="G8" s="1" t="str">
        <f>(TEXT(F8,"ddd"))</f>
        <v>dom</v>
      </c>
      <c r="H8" s="1" t="str">
        <f>(TEXT(F8,"mmm"))</f>
        <v>may</v>
      </c>
      <c r="I8" s="19">
        <f>F8-E8</f>
        <v>60</v>
      </c>
      <c r="J8" s="20">
        <f>IFERROR(IF(TODAY()&gt;=E8,(TODAY()-E8)/I8,0),0)</f>
        <v>0.6</v>
      </c>
      <c r="K8" s="5">
        <v>2055.84</v>
      </c>
      <c r="L8" s="5">
        <v>2053.0579481514987</v>
      </c>
      <c r="M8" s="5">
        <f>K8-L8</f>
        <v>2.7820518485013963</v>
      </c>
      <c r="N8" s="21">
        <v>3691.34</v>
      </c>
      <c r="Q8" s="21">
        <f>K8*N8</f>
        <v>7588804.425600001</v>
      </c>
      <c r="R8" s="21">
        <f>L8*O8</f>
        <v>0</v>
      </c>
      <c r="S8" s="21">
        <f>R8-Q8</f>
        <v>-7588804.425600001</v>
      </c>
      <c r="T8" t="str">
        <f>IF(R8&lt;= Q8,"No Monetizar","Monetizar")</f>
        <v>No Monetizar</v>
      </c>
    </row>
    <row r="9">
      <c r="B9">
        <v>7</v>
      </c>
      <c r="C9" t="str">
        <v>Safeguard World Inter Ltd</v>
      </c>
      <c r="D9" t="str">
        <v>FV-4-6575</v>
      </c>
      <c r="E9" s="1">
        <v>46080</v>
      </c>
      <c r="F9" s="1">
        <v>46140</v>
      </c>
      <c r="G9" s="1" t="str">
        <f>(TEXT(F9,"ddd"))</f>
        <v>mar</v>
      </c>
      <c r="H9" s="1" t="str">
        <f>(TEXT(F9,"mmm"))</f>
        <v>abr</v>
      </c>
      <c r="I9" s="19">
        <f>F9-E9</f>
        <v>60</v>
      </c>
      <c r="J9" s="20">
        <f>IFERROR(IF(TODAY()&gt;=E9,(TODAY()-E9)/I9,0),0)</f>
        <v>0.6833333333333333</v>
      </c>
      <c r="K9" s="5">
        <v>1969.45</v>
      </c>
      <c r="L9" s="5">
        <v>1969.45</v>
      </c>
      <c r="M9" s="5">
        <f>K9-L9</f>
        <v>0</v>
      </c>
      <c r="N9" s="21">
        <v>3817.93</v>
      </c>
      <c r="O9" s="21">
        <v>3650</v>
      </c>
      <c r="Q9" s="21">
        <f>K9*N9</f>
        <v>7519222.2385</v>
      </c>
      <c r="R9" s="21">
        <f>L9*O9</f>
        <v>7188492.5</v>
      </c>
      <c r="S9" s="21">
        <f>R9-Q9</f>
        <v>-330729.7385</v>
      </c>
      <c r="T9" t="str">
        <f>IF(R9&lt;= Q9,"No Monetizar","Monetizar")</f>
        <v>No Monetizar</v>
      </c>
    </row>
    <row r="10">
      <c r="B10">
        <v>8</v>
      </c>
      <c r="C10" t="str">
        <v>Safeguard World Inter Ltd</v>
      </c>
      <c r="D10" t="str">
        <v>FV-4-6576</v>
      </c>
      <c r="E10" s="1">
        <v>46080</v>
      </c>
      <c r="F10" s="1">
        <v>46140</v>
      </c>
      <c r="G10" s="1" t="str">
        <f>(TEXT(F10,"ddd"))</f>
        <v>mar</v>
      </c>
      <c r="H10" s="1" t="str">
        <f>(TEXT(F10,"mmm"))</f>
        <v>abr</v>
      </c>
      <c r="I10" s="19">
        <f>F10-E10</f>
        <v>60</v>
      </c>
      <c r="J10" s="20">
        <f>IFERROR(IF(TODAY()&gt;=E10,(TODAY()-E10)/I10,0),0)</f>
        <v>0.6833333333333333</v>
      </c>
      <c r="K10" s="5">
        <v>1523.38</v>
      </c>
      <c r="L10" s="5">
        <v>1523.38</v>
      </c>
      <c r="M10" s="5">
        <f>K10-L10</f>
        <v>0</v>
      </c>
      <c r="N10" s="22">
        <v>3817.93</v>
      </c>
      <c r="O10" s="21">
        <v>3650</v>
      </c>
      <c r="Q10" s="21">
        <f>K10*N10</f>
        <v>5816158.2034</v>
      </c>
      <c r="R10" s="21">
        <f>L10*O10</f>
        <v>5560337</v>
      </c>
      <c r="S10" s="21">
        <f>R10-Q10</f>
        <v>-255821.2034</v>
      </c>
      <c r="T10" t="str">
        <f>IF(R10&lt;= Q10,"No Monetizar","Monetizar")</f>
        <v>No Monetizar</v>
      </c>
    </row>
    <row r="11">
      <c r="B11">
        <v>9</v>
      </c>
      <c r="C11" t="str">
        <v>Safeguard World Inter Ltd</v>
      </c>
      <c r="D11" t="str">
        <v>FV-4-6577</v>
      </c>
      <c r="E11" s="1">
        <v>46080</v>
      </c>
      <c r="F11" s="1">
        <v>46140</v>
      </c>
      <c r="G11" s="1" t="str">
        <f>(TEXT(F11,"ddd"))</f>
        <v>mar</v>
      </c>
      <c r="H11" s="1" t="str">
        <f>(TEXT(F11,"mmm"))</f>
        <v>abr</v>
      </c>
      <c r="I11" s="19">
        <f>F11-E11</f>
        <v>60</v>
      </c>
      <c r="J11" s="20">
        <f>IFERROR(IF(TODAY()&gt;=E11,(TODAY()-E11)/I11,0),0)</f>
        <v>0.6833333333333333</v>
      </c>
      <c r="K11" s="5">
        <v>2280</v>
      </c>
      <c r="L11" s="5">
        <v>2280</v>
      </c>
      <c r="M11" s="5">
        <f>K11-L11</f>
        <v>0</v>
      </c>
      <c r="N11" s="21">
        <v>3817.93</v>
      </c>
      <c r="O11" s="21">
        <v>3650</v>
      </c>
      <c r="Q11" s="21">
        <f>K11*N11</f>
        <v>8704880.4</v>
      </c>
      <c r="R11" s="21">
        <f>L11*O11</f>
        <v>8322000</v>
      </c>
      <c r="S11" s="21">
        <f>R11-Q11</f>
        <v>-382880.4000000004</v>
      </c>
      <c r="T11" t="str">
        <f>IF(R11&lt;= Q11,"No Monetizar","Monetizar")</f>
        <v>No Monetizar</v>
      </c>
    </row>
    <row r="12">
      <c r="B12">
        <v>10</v>
      </c>
      <c r="C12" t="str">
        <v>Global Upside LLC</v>
      </c>
      <c r="D12">
        <v>6750</v>
      </c>
      <c r="E12" s="1">
        <v>46100</v>
      </c>
      <c r="F12" s="1">
        <v>46160</v>
      </c>
      <c r="G12" s="1" t="str">
        <f>(TEXT(F12,"ddd"))</f>
        <v>lun</v>
      </c>
      <c r="H12" s="1" t="str">
        <f>(TEXT(F12,"mmm"))</f>
        <v>may</v>
      </c>
      <c r="I12" s="19">
        <f>F12-E12</f>
        <v>60</v>
      </c>
      <c r="J12" s="20">
        <f>IFERROR(IF(TODAY()&gt;=E12,(TODAY()-E12)/I12,0),0)</f>
        <v>0.35</v>
      </c>
      <c r="K12" s="5">
        <v>1870</v>
      </c>
      <c r="L12" s="5">
        <v>1870</v>
      </c>
      <c r="M12" s="5">
        <f>K12-L12</f>
        <v>0</v>
      </c>
      <c r="N12" s="21">
        <v>3767.94</v>
      </c>
      <c r="O12" s="21">
        <v>3650</v>
      </c>
      <c r="Q12" s="21">
        <f>K12*N12</f>
        <v>7046047.8</v>
      </c>
      <c r="R12" s="21">
        <f>L12*O12</f>
        <v>6825500</v>
      </c>
      <c r="S12" s="21">
        <f>R12-Q12</f>
        <v>-220547.7999999998</v>
      </c>
      <c r="T12" t="str">
        <f>IF(R12&lt;= Q12,"No Monetizar","Monetizar")</f>
        <v>No Monetizar</v>
      </c>
    </row>
    <row r="13">
      <c r="B13">
        <v>11</v>
      </c>
      <c r="C13" t="str">
        <v xml:space="preserve">Solutions &amp; Payroll SAS </v>
      </c>
      <c r="D13" t="str">
        <v>Giros Western Union</v>
      </c>
      <c r="E13" s="1">
        <v>46105</v>
      </c>
      <c r="F13" s="1">
        <v>46165</v>
      </c>
      <c r="G13" s="1" t="str">
        <f>(TEXT(F13,"ddd"))</f>
        <v>sáb</v>
      </c>
      <c r="H13" s="1" t="str">
        <f>(TEXT(F13,"mmm"))</f>
        <v>may</v>
      </c>
      <c r="I13" s="19">
        <f>F13-E13</f>
        <v>60</v>
      </c>
      <c r="J13" s="20">
        <f>IFERROR(IF(TODAY()&gt;=E13,(TODAY()-E13)/I13,0),0)</f>
        <v>0.26666666666666666</v>
      </c>
      <c r="K13" s="5">
        <v>13129</v>
      </c>
      <c r="L13" s="5">
        <v>13129</v>
      </c>
      <c r="M13" s="5">
        <f>K13-L13</f>
        <v>0</v>
      </c>
      <c r="N13" s="21">
        <v>3704.87</v>
      </c>
      <c r="O13" s="21">
        <v>3650</v>
      </c>
      <c r="Q13" s="21">
        <f>K13*N13</f>
        <v>48641238.23</v>
      </c>
      <c r="R13" s="21">
        <f>L13*O13</f>
        <v>47920850</v>
      </c>
      <c r="S13" s="21">
        <f>R13-Q13</f>
        <v>-720388.2299999967</v>
      </c>
      <c r="T13" t="str">
        <f>IF(R13&lt;= Q13,"No Monetizar","Monetizar")</f>
        <v>No Monetizar</v>
      </c>
    </row>
    <row r="14" ht="30" customHeight="1">
      <c r="B14">
        <v>12</v>
      </c>
      <c r="C14" t="str">
        <v xml:space="preserve">Deel </v>
      </c>
      <c r="D14" t="str">
        <v>6728-6729-6730-6731-6732-6733-6734-6735-6736</v>
      </c>
      <c r="E14" s="1">
        <v>46105</v>
      </c>
      <c r="F14" s="1">
        <v>46165</v>
      </c>
      <c r="G14" s="1" t="str">
        <f>(TEXT(F14,"ddd"))</f>
        <v>sáb</v>
      </c>
      <c r="H14" s="1" t="str">
        <f>(TEXT(F14,"mmm"))</f>
        <v>may</v>
      </c>
      <c r="I14" s="19">
        <f>F14-E14</f>
        <v>60</v>
      </c>
      <c r="J14" s="20">
        <f>IFERROR(IF(TODAY()&gt;=E14,(TODAY()-E14)/I14,0),0)</f>
        <v>0.26666666666666666</v>
      </c>
      <c r="K14" s="5">
        <v>11314.66</v>
      </c>
      <c r="L14" s="5">
        <v>11299.66</v>
      </c>
      <c r="M14" s="5">
        <f>K14-L14</f>
        <v>15</v>
      </c>
      <c r="N14" s="21">
        <v>3703.69</v>
      </c>
      <c r="O14" s="21">
        <v>3650</v>
      </c>
      <c r="Q14" s="21">
        <f>K14*N14</f>
        <v>41905993.0954</v>
      </c>
      <c r="R14" s="21">
        <f>L14*O14</f>
        <v>41243759</v>
      </c>
      <c r="S14" s="21">
        <f>R14-Q14</f>
        <v>-662234.0953999981</v>
      </c>
      <c r="T14" t="str">
        <f>IF(R14&lt;= Q14,"No Monetizar","Monetizar")</f>
        <v>No Monetizar</v>
      </c>
    </row>
    <row r="15">
      <c r="B15">
        <v>13</v>
      </c>
      <c r="C15" t="str">
        <v xml:space="preserve">Deel </v>
      </c>
      <c r="D15" t="str">
        <v>6737-6738-6739-6740-6741</v>
      </c>
      <c r="E15" s="1">
        <v>46105</v>
      </c>
      <c r="F15" s="1">
        <v>46165</v>
      </c>
      <c r="G15" s="1" t="str">
        <f>(TEXT(F15,"ddd"))</f>
        <v>sáb</v>
      </c>
      <c r="H15" s="1" t="str">
        <f>(TEXT(F15,"mmm"))</f>
        <v>may</v>
      </c>
      <c r="I15" s="19">
        <f>F15-E15</f>
        <v>60</v>
      </c>
      <c r="J15" s="20">
        <f>IFERROR(IF(TODAY()&gt;=E15,(TODAY()-E15)/I15,0),0)</f>
        <v>0.26666666666666666</v>
      </c>
      <c r="K15" s="5">
        <v>5765.38</v>
      </c>
      <c r="L15" s="5">
        <v>5765.38</v>
      </c>
      <c r="M15" s="5">
        <f>K15-L15</f>
        <v>0</v>
      </c>
      <c r="N15" s="21">
        <v>3703.69</v>
      </c>
      <c r="O15" s="21">
        <v>3650</v>
      </c>
      <c r="Q15" s="21">
        <f>K15*N15</f>
        <v>21353180.2522</v>
      </c>
      <c r="R15" s="21">
        <f>L15*O15</f>
        <v>21043637</v>
      </c>
      <c r="S15" s="21">
        <f>R15-Q15</f>
        <v>-309543.2522</v>
      </c>
      <c r="T15" t="str">
        <f>IF(R15&lt;= Q15,"No Monetizar","Monetizar")</f>
        <v>No Monetizar</v>
      </c>
    </row>
    <row r="16">
      <c r="B16">
        <v>14</v>
      </c>
      <c r="C16" t="str">
        <v xml:space="preserve">Deel </v>
      </c>
      <c r="D16" t="str">
        <v>FV-4-6325</v>
      </c>
      <c r="E16" s="1">
        <v>46105</v>
      </c>
      <c r="F16" s="1">
        <v>46165</v>
      </c>
      <c r="G16" s="1" t="str">
        <f>(TEXT(F16,"ddd"))</f>
        <v>sáb</v>
      </c>
      <c r="H16" s="1" t="str">
        <f>(TEXT(F16,"mmm"))</f>
        <v>may</v>
      </c>
      <c r="I16" s="19">
        <f>F16-E16</f>
        <v>60</v>
      </c>
      <c r="J16" s="20">
        <f>IFERROR(IF(TODAY()&gt;=E16,(TODAY()-E16)/I16,0),0)</f>
        <v>0.26666666666666666</v>
      </c>
      <c r="K16" s="5">
        <v>1462.1</v>
      </c>
      <c r="L16" s="5">
        <v>1452.1</v>
      </c>
      <c r="M16" s="5">
        <f>K16-L16</f>
        <v>10</v>
      </c>
      <c r="N16" s="21">
        <v>3901.29</v>
      </c>
      <c r="O16" s="21">
        <v>3650</v>
      </c>
      <c r="Q16" s="21">
        <f>K16*N16</f>
        <v>5704076.108999999</v>
      </c>
      <c r="R16" s="21">
        <f>L16*O16</f>
        <v>5300165</v>
      </c>
      <c r="S16" s="21">
        <f>R16-Q16</f>
        <v>-403911.10899999924</v>
      </c>
      <c r="T16" t="str">
        <f>IF(R16&lt;= Q16,"No Monetizar","Monetizar")</f>
        <v>No Monetizar</v>
      </c>
    </row>
    <row r="17"/>
    <row r="18">
      <c r="B18">
        <v>4</v>
      </c>
      <c r="C18" t="str">
        <v>Bubble do Brasil</v>
      </c>
      <c r="D18" t="str">
        <v>FV-4-6815</v>
      </c>
      <c r="E18" s="1">
        <v>46112</v>
      </c>
      <c r="F18" s="1">
        <v>46172</v>
      </c>
      <c r="G18" s="1" t="str">
        <f>(TEXT(F18,"ddd"))</f>
        <v>sáb</v>
      </c>
      <c r="H18" s="1" t="str">
        <f>(TEXT(F18,"mmm"))</f>
        <v>may</v>
      </c>
      <c r="I18" s="19">
        <f>F18-E18</f>
        <v>60</v>
      </c>
      <c r="J18" s="20">
        <f>IFERROR(IF(TODAY()&gt;=E18,(TODAY()-E18)/I18,0),0)</f>
        <v>0.15</v>
      </c>
      <c r="K18" s="5">
        <v>129.22</v>
      </c>
      <c r="L18" s="5">
        <v>128.22901108171325</v>
      </c>
      <c r="M18" s="5">
        <f>K18-L18</f>
        <v>0.990988918286746</v>
      </c>
      <c r="N18" s="21">
        <v>3637.76</v>
      </c>
      <c r="O18" s="21">
        <v>3750</v>
      </c>
      <c r="Q18" s="21">
        <f>K18*N18</f>
        <v>470071.3472</v>
      </c>
      <c r="R18" s="21">
        <f>L18*O18</f>
        <v>480858.7915564247</v>
      </c>
      <c r="S18" s="21">
        <f>R18-Q18</f>
        <v>10787.444356424676</v>
      </c>
      <c r="T18" t="str">
        <f>IF(R18&lt;= Q18,"No Monetizar","Monetizar")</f>
        <v>Monetizar</v>
      </c>
    </row>
    <row r="19">
      <c r="B19">
        <v>5</v>
      </c>
      <c r="C19" t="str">
        <v>Bubble do Brasil</v>
      </c>
      <c r="D19" t="str">
        <v>FV-5-273</v>
      </c>
      <c r="E19" s="1">
        <v>46112</v>
      </c>
      <c r="F19" s="1">
        <v>46172</v>
      </c>
      <c r="G19" s="1" t="str">
        <f>(TEXT(F19,"ddd"))</f>
        <v>sáb</v>
      </c>
      <c r="H19" s="1" t="str">
        <f>(TEXT(F19,"mmm"))</f>
        <v>may</v>
      </c>
      <c r="I19" s="19">
        <f>F19-E19</f>
        <v>60</v>
      </c>
      <c r="J19" s="20">
        <f>IFERROR(IF(TODAY()&gt;=E19,(TODAY()-E19)/I19,0),0)</f>
        <v>0.15</v>
      </c>
      <c r="K19" s="5">
        <v>1174.73</v>
      </c>
      <c r="L19" s="5">
        <v>1165.7209889182866</v>
      </c>
      <c r="M19" s="5">
        <f>K19-L19</f>
        <v>9.009011081713425</v>
      </c>
      <c r="N19" s="21">
        <v>3637.76</v>
      </c>
      <c r="O19" s="21">
        <v>3750</v>
      </c>
      <c r="Q19" s="21">
        <f>K19*N19</f>
        <v>4273385.8048</v>
      </c>
      <c r="R19" s="21">
        <f>L19*O19</f>
        <v>4371453.708443575</v>
      </c>
      <c r="S19" s="21">
        <f>R19-Q19</f>
        <v>98067.90364357457</v>
      </c>
      <c r="T19" t="str">
        <f>IF(R19&lt;= Q19,"No Monetizar","Monetizar")</f>
        <v>Monetizar</v>
      </c>
    </row>
    <row r="20">
      <c r="J20" s="20">
        <f>IFERROR(IF(TODAY()&gt;=E20,(TODAY()-E20)/I20,0),0)</f>
        <v>0</v>
      </c>
    </row>
    <row r="21">
      <c r="J21" s="20">
        <f>IFERROR(IF(TODAY()&gt;=E21,(TODAY()-E21)/I21,0),0)</f>
        <v>0</v>
      </c>
      <c r="Q21" s="21">
        <f>K21*N21</f>
        <v>0</v>
      </c>
      <c r="R21" s="21">
        <f>L21*O21</f>
        <v>0</v>
      </c>
      <c r="S21" s="21">
        <f>R21-Q21</f>
        <v>0</v>
      </c>
      <c r="T21" t="str">
        <f>IF(R21&lt;= Q21,"No Monetizar","Monetizar")</f>
        <v>No Monetizar</v>
      </c>
    </row>
    <row r="22" ht="15.75" customHeight="1">
      <c r="Q22" s="21">
        <f>K22*N22</f>
        <v>0</v>
      </c>
      <c r="R22" s="21">
        <f>L22*O22</f>
        <v>0</v>
      </c>
      <c r="S22" s="21">
        <f>R22-Q22</f>
        <v>0</v>
      </c>
      <c r="T22" t="str">
        <f>IF(R22&lt;= Q22,"No Monetizar","Monetizar")</f>
        <v>No Monetizar</v>
      </c>
    </row>
    <row r="23" ht="15.75" customHeight="1">
      <c r="B23" t="str">
        <v>TOTAL</v>
      </c>
      <c r="K23" s="5">
        <f>SUBTOTAL(9,K3:K22)</f>
        <v>51717.18</v>
      </c>
      <c r="L23" s="5">
        <f>SUBTOTAL(9,L3:L22)</f>
        <v>51667.15999999999</v>
      </c>
      <c r="M23" s="5">
        <f>SUBTOTAL(9,M3:M22)</f>
        <v>50.02000000000004</v>
      </c>
      <c r="Q23" s="23">
        <f>SUBTOTAL(9,Q3:Q22)</f>
        <v>193793916.06350002</v>
      </c>
      <c r="R23" s="23">
        <f>SUBTOTAL(9,R3:R22)</f>
        <v>148257053</v>
      </c>
      <c r="S23" s="23">
        <f>SUBTOTAL(9,S3:S22)</f>
        <v>-45536863.06349999</v>
      </c>
      <c r="T23" s="20">
        <f>S23/Q23</f>
        <v>-0.2349757102208463</v>
      </c>
    </row>
    <row r="24"/>
    <row r="25">
      <c r="J25" s="5" t="str">
        <v>Trm 9/3/2026</v>
      </c>
    </row>
    <row r="26">
      <c r="K26" s="5">
        <v>3741.47</v>
      </c>
    </row>
    <row r="27"/>
    <row r="28" ht="15.75" customHeight="1"/>
    <row r="29" ht="15.75" customHeight="1">
      <c r="Q29" t="str">
        <v>CASH FLOW</v>
      </c>
      <c r="Z29" t="str">
        <v>ACCOUNTANT</v>
      </c>
    </row>
    <row r="30" ht="3.75" customHeight="1"/>
    <row r="31" ht="45.75" customHeight="1" xml:space="preserve">
      <c r="B31" t="str">
        <v>ID</v>
      </c>
      <c r="C31" t="str">
        <v>Client</v>
      </c>
      <c r="D31" t="str">
        <v>Invoice</v>
      </c>
      <c r="E31" t="str">
        <v>Incoming resources</v>
      </c>
      <c r="F31" t="str">
        <v>Maximum Date for Monetization</v>
      </c>
      <c r="I31" t="str">
        <v>Días</v>
      </c>
      <c r="J31" t="str">
        <v>Progress</v>
      </c>
      <c r="K31" t="str">
        <v>Invoiced</v>
      </c>
      <c r="L31" t="str">
        <v>Received</v>
      </c>
      <c r="M31" t="str">
        <v>Banking taxes</v>
      </c>
      <c r="N31" t="str" xml:space="preserve">
        <v xml:space="preserve">TRm Invoice_x000d_
Cops</v>
      </c>
      <c r="O31" t="str" xml:space="preserve">
        <v xml:space="preserve">TRM Bank (Average)_x000d_
Cops</v>
      </c>
      <c r="P31" t="str">
        <v>Difference in exchange rates</v>
      </c>
      <c r="Q31" t="str">
        <v>invoicing in COPS</v>
      </c>
      <c r="R31" t="str">
        <v xml:space="preserve"> negotiated COPS</v>
      </c>
      <c r="S31" t="str">
        <v>difference</v>
      </c>
      <c r="T31" t="str">
        <v>KPI</v>
      </c>
      <c r="U31" t="str">
        <v>Color KPI</v>
      </c>
      <c r="V31" t="str">
        <v>Transaction date</v>
      </c>
      <c r="W31" t="str">
        <v xml:space="preserve">Propuesto </v>
      </c>
      <c r="X31" t="str">
        <v xml:space="preserve">Aprobado </v>
      </c>
      <c r="Y31" t="str">
        <v>Observaciones</v>
      </c>
      <c r="Z31" t="str">
        <v xml:space="preserve"> negotiated COPS</v>
      </c>
      <c r="AA31" t="str">
        <v>difference</v>
      </c>
    </row>
    <row r="32" outlineLevel="1">
      <c r="B32">
        <v>1</v>
      </c>
      <c r="C32" t="str">
        <v>Action AD</v>
      </c>
      <c r="D32">
        <v>5618</v>
      </c>
      <c r="E32" s="1">
        <v>45670</v>
      </c>
      <c r="F32" s="1">
        <v>45730</v>
      </c>
      <c r="J32" s="20">
        <f>IFERROR(IF(TODAY()&gt;=E32,(TODAY()-E32)/I32,0),0)*0</f>
        <v>0</v>
      </c>
      <c r="K32" s="5">
        <v>6950.93</v>
      </c>
      <c r="L32" s="5">
        <v>6950.93</v>
      </c>
      <c r="M32" s="5">
        <f>K32-L32</f>
        <v>0</v>
      </c>
      <c r="N32" s="21">
        <v>4252.31</v>
      </c>
      <c r="O32" s="21">
        <v>4290.5</v>
      </c>
      <c r="P32" s="21">
        <f>O32-N32</f>
        <v>38.1899999999996</v>
      </c>
      <c r="Q32" s="21">
        <f>K32*N32</f>
        <v>29557509.148300003</v>
      </c>
      <c r="R32" s="21">
        <f>L32*O32</f>
        <v>29822965.165000003</v>
      </c>
      <c r="S32" s="21">
        <f>R32-Q32</f>
        <v>265456.01669999957</v>
      </c>
      <c r="T32" t="str">
        <f>IF(R32&lt;= Q32,"No Monetizar","Monetizar")</f>
        <v>Monetizar</v>
      </c>
      <c r="V32" s="1">
        <v>45684</v>
      </c>
      <c r="W32" t="str">
        <v>Alfonso Fonseca A</v>
      </c>
      <c r="X32" t="str">
        <v>Alfonso Fonseca A</v>
      </c>
      <c r="Y32" t="str">
        <v>Se monetiza ya que el valor ofrecido por el banco en cada divisa es superior al valor facturado</v>
      </c>
      <c r="Z32" s="21">
        <f>K32*O32</f>
        <v>29822965.165000003</v>
      </c>
      <c r="AA32" s="21">
        <f>Z32-Q32</f>
        <v>265456.01669999957</v>
      </c>
    </row>
    <row r="33" outlineLevel="1">
      <c r="B33">
        <v>2</v>
      </c>
      <c r="C33" t="str">
        <v>Remofirst</v>
      </c>
      <c r="D33">
        <v>5619</v>
      </c>
      <c r="E33" s="1">
        <v>45684</v>
      </c>
      <c r="F33" s="1">
        <v>45744</v>
      </c>
      <c r="J33" s="20">
        <f>IFERROR(IF(TODAY()&gt;=E33,(TODAY()-E33)/I33,0),0)*0</f>
        <v>0</v>
      </c>
      <c r="K33" s="5">
        <v>152785.56</v>
      </c>
      <c r="L33" s="5">
        <v>152785.56</v>
      </c>
      <c r="M33" s="5">
        <f>K33-L33</f>
        <v>0</v>
      </c>
      <c r="N33" s="21">
        <v>4235.51</v>
      </c>
      <c r="O33" s="21">
        <v>4303.83</v>
      </c>
      <c r="P33" s="21">
        <f>O33-N33</f>
        <v>68.31999999999971</v>
      </c>
      <c r="Q33" s="21">
        <f>K33*N33</f>
        <v>647124767.2356</v>
      </c>
      <c r="R33" s="21">
        <f>L33*O33</f>
        <v>657563076.6948</v>
      </c>
      <c r="S33" s="21">
        <f>R33-Q33</f>
        <v>10438309.459200025</v>
      </c>
      <c r="T33" t="str">
        <f>IF(R33&lt;= Q33,"No Monetizar","Monetizar")</f>
        <v>Monetizar</v>
      </c>
      <c r="V33" s="1">
        <v>45684</v>
      </c>
      <c r="W33" t="str">
        <v>Alfonso Fonseca A</v>
      </c>
      <c r="X33" t="str">
        <v>Alfonso Fonseca A</v>
      </c>
      <c r="Y33" t="str">
        <v>Se monetiza ya que el valor ofrecido por el banco en cada divisa es superior al valor facturado</v>
      </c>
      <c r="Z33" s="21">
        <f>K33*O33</f>
        <v>657563076.6948</v>
      </c>
      <c r="AA33" s="21">
        <f>Z33-Q33</f>
        <v>10438309.459200025</v>
      </c>
    </row>
    <row r="34" outlineLevel="1">
      <c r="B34">
        <v>3</v>
      </c>
      <c r="C34" t="str">
        <v>Endrington</v>
      </c>
      <c r="D34">
        <v>5629</v>
      </c>
      <c r="E34" s="1">
        <v>45684</v>
      </c>
      <c r="F34" s="1">
        <v>45744</v>
      </c>
      <c r="J34" s="20">
        <f>IFERROR(IF(TODAY()&gt;=E34,(TODAY()-E34)/I34,0),0)*0</f>
        <v>0</v>
      </c>
      <c r="K34" s="5">
        <v>22896.82</v>
      </c>
      <c r="L34" s="5">
        <v>22896.82</v>
      </c>
      <c r="M34" s="5">
        <f>K34-L34</f>
        <v>0</v>
      </c>
      <c r="N34" s="21">
        <v>4251.23</v>
      </c>
      <c r="O34" s="21">
        <v>4303.83</v>
      </c>
      <c r="P34" s="21">
        <f>O34-N34</f>
        <v>52.600000000000364</v>
      </c>
      <c r="Q34" s="21">
        <f>K34*N34</f>
        <v>97339648.0886</v>
      </c>
      <c r="R34" s="21">
        <f>L34*O34</f>
        <v>98544020.8206</v>
      </c>
      <c r="S34" s="21">
        <f>R34-Q34</f>
        <v>1204372.7320000082</v>
      </c>
      <c r="T34" t="str">
        <f>IF(R34&lt;= Q34,"No Monetizar","Monetizar")</f>
        <v>Monetizar</v>
      </c>
      <c r="V34" s="1">
        <v>45684</v>
      </c>
      <c r="W34" t="str">
        <v>Alfonso Fonseca A</v>
      </c>
      <c r="X34" t="str">
        <v>Alfonso Fonseca A</v>
      </c>
      <c r="Y34" t="str">
        <v>Se monetiza ya que el valor ofrecido por el banco en cada divisa es superior al valor facturado</v>
      </c>
      <c r="Z34" s="21">
        <f>K34*O34</f>
        <v>98544020.8206</v>
      </c>
      <c r="AA34" s="21">
        <f>Z34-Q34</f>
        <v>1204372.7320000082</v>
      </c>
    </row>
    <row r="35" outlineLevel="1">
      <c r="B35">
        <v>4</v>
      </c>
      <c r="C35" t="str">
        <v>Marketing Doctors</v>
      </c>
      <c r="D35">
        <v>5622</v>
      </c>
      <c r="E35" s="1">
        <v>45684</v>
      </c>
      <c r="F35" s="1">
        <v>45744</v>
      </c>
      <c r="J35" s="20">
        <f>IFERROR(IF(TODAY()&gt;=E35,(TODAY()-E35)/I35,0),0)*0</f>
        <v>0</v>
      </c>
      <c r="K35" s="5">
        <v>2660.37</v>
      </c>
      <c r="L35" s="5">
        <v>2660.37</v>
      </c>
      <c r="M35" s="5">
        <f>K35-L35</f>
        <v>0</v>
      </c>
      <c r="N35" s="21">
        <v>4231.23</v>
      </c>
      <c r="O35" s="21">
        <v>4303.83</v>
      </c>
      <c r="P35" s="21">
        <f>O35-N35</f>
        <v>72.60000000000036</v>
      </c>
      <c r="Q35" s="21">
        <f>K35*N35</f>
        <v>11256637.355099998</v>
      </c>
      <c r="R35" s="21">
        <f>L35*O35</f>
        <v>11449780.2171</v>
      </c>
      <c r="S35" s="21">
        <f>R35-Q35</f>
        <v>193142.8620000016</v>
      </c>
      <c r="T35" t="str">
        <f>IF(R35&lt;= Q35,"No Monetizar","Monetizar")</f>
        <v>Monetizar</v>
      </c>
      <c r="V35" s="1">
        <v>45684</v>
      </c>
      <c r="W35" t="str">
        <v>Alfonso Fonseca A</v>
      </c>
      <c r="X35" t="str">
        <v>Alfonso Fonseca A</v>
      </c>
      <c r="Y35" t="str">
        <v>Se monetiza ya que el valor ofrecido por el banco en cada divisa es superior al valor facturado</v>
      </c>
      <c r="Z35" s="21">
        <f>K35*O35</f>
        <v>11449780.2171</v>
      </c>
      <c r="AA35" s="21">
        <f>Z35-Q35</f>
        <v>193142.8620000016</v>
      </c>
    </row>
    <row r="36" ht="14.25" customHeight="1" outlineLevel="1">
      <c r="B36">
        <v>5</v>
      </c>
      <c r="C36" t="str">
        <v>Flexco</v>
      </c>
      <c r="D36">
        <v>5630</v>
      </c>
      <c r="E36" s="1">
        <v>45684</v>
      </c>
      <c r="F36" s="1">
        <v>45744</v>
      </c>
      <c r="J36" s="20">
        <f>IFERROR(IF(TODAY()&gt;=E36,(TODAY()-E36)/I36,0),0)*0</f>
        <v>0</v>
      </c>
      <c r="K36" s="5">
        <v>12800.27</v>
      </c>
      <c r="L36" s="5">
        <v>12785.27</v>
      </c>
      <c r="M36" s="5">
        <f>K36-L36</f>
        <v>15</v>
      </c>
      <c r="N36" s="21">
        <v>4194.11</v>
      </c>
      <c r="O36" s="21">
        <v>4303.83</v>
      </c>
      <c r="P36" s="21">
        <f>O36-N36</f>
        <v>109.72000000000025</v>
      </c>
      <c r="Q36" s="21">
        <f>K36*N36</f>
        <v>53685740.4097</v>
      </c>
      <c r="R36" s="21">
        <f>L36*O36</f>
        <v>55025628.5841</v>
      </c>
      <c r="S36" s="21">
        <f>R36-Q36</f>
        <v>1339888.1744000018</v>
      </c>
      <c r="T36" t="str">
        <f>IF(R36&lt;= Q36,"No Monetizar","Monetizar")</f>
        <v>Monetizar</v>
      </c>
      <c r="V36" s="1">
        <v>45684</v>
      </c>
      <c r="W36" t="str">
        <v>Alfonso Fonseca A</v>
      </c>
      <c r="X36" t="str">
        <v>Alfonso Fonseca A</v>
      </c>
      <c r="Y36" t="str">
        <v>Se monetiza ya que el valor ofrecido por el banco en cada divisa es superior al valor facturado</v>
      </c>
      <c r="Z36" s="21">
        <f>K36*O36</f>
        <v>55090186.0341</v>
      </c>
      <c r="AA36" s="21">
        <f>Z36-Q36</f>
        <v>1404445.6244000047</v>
      </c>
    </row>
    <row r="37" outlineLevel="1">
      <c r="B37">
        <v>6</v>
      </c>
      <c r="C37" t="str">
        <v>Nazdar ink technologies</v>
      </c>
      <c r="D37">
        <v>5623</v>
      </c>
      <c r="E37" s="1">
        <v>45684</v>
      </c>
      <c r="F37" s="1">
        <v>45744</v>
      </c>
      <c r="J37" s="20">
        <f>IFERROR(IF(TODAY()&gt;=E37,(TODAY()-E37)/I37,0),0)*0</f>
        <v>0</v>
      </c>
      <c r="K37" s="5">
        <v>18062.89</v>
      </c>
      <c r="L37" s="5">
        <v>18047.89</v>
      </c>
      <c r="M37" s="5">
        <f>K37-L37</f>
        <v>15</v>
      </c>
      <c r="N37" s="23">
        <v>4251.23</v>
      </c>
      <c r="O37" s="21">
        <v>4303.83</v>
      </c>
      <c r="P37" s="21">
        <f>O37-N37</f>
        <v>52.600000000000364</v>
      </c>
      <c r="Q37" s="21">
        <f>K37*N37</f>
        <v>76789499.85469998</v>
      </c>
      <c r="R37" s="21">
        <f>L37*O37</f>
        <v>77675050.4187</v>
      </c>
      <c r="S37" s="21">
        <f>R37-Q37</f>
        <v>885550.5640000105</v>
      </c>
      <c r="T37" t="str">
        <f>IF(R37&lt;= Q37,"No Monetizar","Monetizar")</f>
        <v>Monetizar</v>
      </c>
      <c r="V37" s="1">
        <v>45684</v>
      </c>
      <c r="W37" t="str">
        <v>Alfonso Fonseca A</v>
      </c>
      <c r="X37" t="str">
        <v>Alfonso Fonseca A</v>
      </c>
      <c r="Y37" t="str">
        <v>Se monetiza ya que el valor ofrecido por el banco en cada divisa es superior al valor facturado</v>
      </c>
      <c r="Z37" s="21">
        <f>K37*O37</f>
        <v>77739607.8687</v>
      </c>
      <c r="AA37" s="21">
        <f>Z37-Q37</f>
        <v>950108.0140000135</v>
      </c>
    </row>
    <row r="38" outlineLevel="1">
      <c r="B38">
        <v>7</v>
      </c>
      <c r="C38" t="str">
        <v>Oncehub</v>
      </c>
      <c r="D38">
        <v>5631</v>
      </c>
      <c r="E38" s="1">
        <v>45684</v>
      </c>
      <c r="F38" s="1">
        <v>45744</v>
      </c>
      <c r="J38" s="20">
        <f>IFERROR(IF(TODAY()&gt;=E38,(TODAY()-E38)/I38,0),0)*0</f>
        <v>0</v>
      </c>
      <c r="K38" s="5">
        <v>2833.35</v>
      </c>
      <c r="L38" s="5">
        <v>2813.35</v>
      </c>
      <c r="M38" s="5">
        <f>K38-L38</f>
        <v>20</v>
      </c>
      <c r="N38" s="23">
        <v>4231.53</v>
      </c>
      <c r="O38" s="21">
        <v>4303.83</v>
      </c>
      <c r="P38" s="21">
        <f>O38-N38</f>
        <v>72.30000000000018</v>
      </c>
      <c r="Q38" s="21">
        <f>K38*N38</f>
        <v>11989405.5255</v>
      </c>
      <c r="R38" s="21">
        <f>L38*O38</f>
        <v>12108180.1305</v>
      </c>
      <c r="S38" s="21">
        <f>R38-Q38</f>
        <v>118774.60500000045</v>
      </c>
      <c r="T38" t="str">
        <f>IF(R38&lt;= Q38,"No Monetizar","Monetizar")</f>
        <v>Monetizar</v>
      </c>
      <c r="V38" s="1">
        <v>45684</v>
      </c>
      <c r="W38" t="str">
        <v>Alfonso Fonseca A</v>
      </c>
      <c r="X38" t="str">
        <v>Alfonso Fonseca A</v>
      </c>
      <c r="Y38" t="str">
        <v>Se monetiza ya que el valor ofrecido por el banco en cada divisa es superior al valor facturado</v>
      </c>
      <c r="Z38" s="21">
        <f>K38*O38</f>
        <v>12194256.7305</v>
      </c>
      <c r="AA38" s="21">
        <f>Z38-Q38</f>
        <v>204851.20500000007</v>
      </c>
    </row>
    <row r="39" outlineLevel="1">
      <c r="B39">
        <v>8</v>
      </c>
      <c r="C39" t="str">
        <v>Insider</v>
      </c>
      <c r="D39">
        <v>5655</v>
      </c>
      <c r="E39" s="1">
        <v>45685</v>
      </c>
      <c r="F39" s="1">
        <v>45745</v>
      </c>
      <c r="J39" s="20">
        <f>IFERROR(IF(TODAY()&gt;=E39,(TODAY()-E39)/I39,0),0)*0</f>
        <v>0</v>
      </c>
      <c r="K39" s="5">
        <v>106150.36</v>
      </c>
      <c r="L39" s="5">
        <v>106135.36</v>
      </c>
      <c r="M39" s="5">
        <f>K39-L39</f>
        <v>15</v>
      </c>
      <c r="N39" s="23">
        <v>4070.86</v>
      </c>
      <c r="O39" s="21">
        <v>4177.7</v>
      </c>
      <c r="P39" s="21">
        <f>O39-N39</f>
        <v>106.83999999999969</v>
      </c>
      <c r="Q39" s="21">
        <f>K39*N39</f>
        <v>432123254.50960004</v>
      </c>
      <c r="R39" s="21">
        <f>L39*O39</f>
        <v>443401693.472</v>
      </c>
      <c r="S39" s="21">
        <f>R39-Q39</f>
        <v>11278438.96239996</v>
      </c>
      <c r="T39" t="str">
        <f>IF(R39&lt;= Q39,"No Monetizar","Monetizar")</f>
        <v>Monetizar</v>
      </c>
      <c r="V39" s="1">
        <v>45686</v>
      </c>
      <c r="W39" t="str">
        <v>Alfonso Fonseca A</v>
      </c>
      <c r="X39" t="str">
        <v>Alfonso Fonseca A</v>
      </c>
      <c r="Y39" t="str">
        <v>Se monetiza ya que el valor ofrecido por el banco en cada divisa es superior al valor facturado</v>
      </c>
      <c r="Z39" s="21">
        <f>K39*O39</f>
        <v>443464358.972</v>
      </c>
      <c r="AA39" s="21">
        <f>Z39-Q39</f>
        <v>11341104.46239996</v>
      </c>
    </row>
    <row r="40" outlineLevel="1">
      <c r="B40">
        <v>9</v>
      </c>
      <c r="C40" t="str">
        <v xml:space="preserve">Safeguard Payroll </v>
      </c>
      <c r="D40" t="str">
        <v>5389 a 5406</v>
      </c>
      <c r="E40" s="1">
        <v>45680</v>
      </c>
      <c r="F40" s="1">
        <v>45740</v>
      </c>
      <c r="J40" s="20">
        <f>IFERROR(IF(TODAY()&gt;=E40,(TODAY()-E40)/I40,0),0)*0</f>
        <v>0</v>
      </c>
      <c r="K40" s="5">
        <v>17192.43</v>
      </c>
      <c r="L40" s="5">
        <v>17177.43</v>
      </c>
      <c r="M40" s="5">
        <f>K40-L40</f>
        <v>15</v>
      </c>
      <c r="N40" s="23">
        <v>4367.39</v>
      </c>
      <c r="O40" s="21">
        <v>4441.62</v>
      </c>
      <c r="P40" s="21">
        <f>O40-N40</f>
        <v>74.22999999999956</v>
      </c>
      <c r="Q40" s="21">
        <f>K40*N40</f>
        <v>75086046.8577</v>
      </c>
      <c r="R40" s="21">
        <f>L40*O40</f>
        <v>76295616.6366</v>
      </c>
      <c r="S40" s="21">
        <f>R40-Q40</f>
        <v>1209569.7788999975</v>
      </c>
      <c r="T40" t="str">
        <f>IF(R40&lt;= Q40,"No Monetizar","Monetizar")</f>
        <v>Monetizar</v>
      </c>
      <c r="V40" s="1">
        <v>45687</v>
      </c>
      <c r="W40" t="str">
        <v>Alfonso Fonseca A</v>
      </c>
      <c r="X40" t="str">
        <v>Alfonso Fonseca A</v>
      </c>
      <c r="Y40" t="str">
        <v>Se monetiza ya que el valor ofrecido por el banco en cada divisa es superior al valor facturado</v>
      </c>
      <c r="Z40" s="21">
        <f>K40*O40</f>
        <v>76362240.9366</v>
      </c>
      <c r="AA40" s="21">
        <f>Z40-Q40</f>
        <v>1276194.0788999945</v>
      </c>
    </row>
    <row r="41" outlineLevel="1">
      <c r="B41">
        <v>10</v>
      </c>
      <c r="C41" t="str">
        <v>Remofirst-Abono</v>
      </c>
      <c r="D41">
        <v>5656</v>
      </c>
      <c r="E41" s="1">
        <v>45691</v>
      </c>
      <c r="F41" s="1">
        <v>45751</v>
      </c>
      <c r="J41" s="20">
        <f>IFERROR(IF(TODAY()&gt;=E41,(TODAY()-E41)/I41,0),0)*0</f>
        <v>0</v>
      </c>
      <c r="K41" s="5">
        <v>1459.33</v>
      </c>
      <c r="L41" s="5">
        <v>1459.33</v>
      </c>
      <c r="M41" s="5">
        <f>K41-L41</f>
        <v>0</v>
      </c>
      <c r="N41" s="21">
        <v>4100.86</v>
      </c>
      <c r="O41" s="21">
        <v>4136.07</v>
      </c>
      <c r="P41" s="21">
        <f>O41-N41</f>
        <v>35.210000000000036</v>
      </c>
      <c r="Q41" s="21">
        <f>K41*N41</f>
        <v>5984508.0238</v>
      </c>
      <c r="R41" s="21">
        <f>L41*O41</f>
        <v>6035891.0331</v>
      </c>
      <c r="S41" s="21">
        <f>R41-Q41</f>
        <v>51383.009300000034</v>
      </c>
      <c r="T41" t="str">
        <f>IF(R41&lt;= Q41,"No Monetizar","Monetizar")</f>
        <v>Monetizar</v>
      </c>
      <c r="V41" s="1">
        <v>45692</v>
      </c>
      <c r="W41" t="str">
        <v>Alfonso Fonseca A</v>
      </c>
      <c r="X41" t="str">
        <v>Alfonso Fonseca A</v>
      </c>
      <c r="Y41" t="str">
        <v>Se monetiza ya que el valor ofrecido por el banco en cada divisa es superior al valor facturado</v>
      </c>
      <c r="Z41" s="21">
        <f>K41*O41</f>
        <v>6035891.0331</v>
      </c>
      <c r="AA41" s="21">
        <f>Z41-Q41</f>
        <v>51383.009300000034</v>
      </c>
    </row>
    <row r="42" outlineLevel="1">
      <c r="B42">
        <v>11</v>
      </c>
      <c r="C42" t="str">
        <v>Remofirst-Saldo final</v>
      </c>
      <c r="D42">
        <v>5656</v>
      </c>
      <c r="E42" s="1">
        <v>45700</v>
      </c>
      <c r="F42" s="1">
        <v>45760</v>
      </c>
      <c r="J42" s="20">
        <f>IFERROR(IF(TODAY()&gt;=E42,(TODAY()-E42)/I42,0),0)*0</f>
        <v>0</v>
      </c>
      <c r="K42" s="5">
        <v>593.48</v>
      </c>
      <c r="L42" s="5">
        <v>593.48</v>
      </c>
      <c r="M42" s="5">
        <f>K42-L42</f>
        <v>0</v>
      </c>
      <c r="N42" s="21">
        <v>4100.86</v>
      </c>
      <c r="O42" s="21">
        <v>4147.5</v>
      </c>
      <c r="P42" s="21">
        <f>O42-N42</f>
        <v>46.64000000000033</v>
      </c>
      <c r="Q42" s="21">
        <f>K42*N42</f>
        <v>2433778.3928</v>
      </c>
      <c r="R42" s="21">
        <f>L42*O42</f>
        <v>2461458.3000000003</v>
      </c>
      <c r="S42" s="21">
        <f>R42-Q42</f>
        <v>27679.90720000025</v>
      </c>
      <c r="T42" t="str">
        <f>IF(R42&lt;= Q42,"No Monetizar","Monetizar")</f>
        <v>Monetizar</v>
      </c>
      <c r="V42" s="1">
        <v>45700</v>
      </c>
      <c r="W42" t="str">
        <v>Alfonso Fonseca A</v>
      </c>
      <c r="X42" t="str">
        <v>Alfonso Fonseca A</v>
      </c>
      <c r="Y42" t="str">
        <v>Se monetiza ya que el valor ofrecido por el banco en cada divisa es superior al valor facturado</v>
      </c>
      <c r="Z42" s="21">
        <f>K42*O42</f>
        <v>2461458.3000000003</v>
      </c>
      <c r="AA42" s="21">
        <f>Z42-Q42</f>
        <v>27679.90720000025</v>
      </c>
    </row>
    <row r="43" ht="30" customHeight="1" outlineLevel="1" xml:space="preserve">
      <c r="B43">
        <v>12</v>
      </c>
      <c r="C43" t="str">
        <v>Hong kong yonyou xinfushe cloud technology co</v>
      </c>
      <c r="D43">
        <v>5628</v>
      </c>
      <c r="E43" s="1">
        <v>45679</v>
      </c>
      <c r="F43" s="1">
        <v>45739</v>
      </c>
      <c r="J43" s="20">
        <f>IFERROR(IF(TODAY()&gt;=E43,(TODAY()-E43)/I43,0),0)*0</f>
        <v>0</v>
      </c>
      <c r="K43" s="5">
        <v>4737.5</v>
      </c>
      <c r="L43" s="5">
        <v>4737.5</v>
      </c>
      <c r="M43" s="5">
        <f>K43-L43</f>
        <v>0</v>
      </c>
      <c r="N43" s="21">
        <v>4231.23</v>
      </c>
      <c r="O43" s="21">
        <v>4143.44</v>
      </c>
      <c r="P43" s="21">
        <f>O43-N43</f>
        <v>-87.78999999999996</v>
      </c>
      <c r="Q43" s="21">
        <f>K43*N43</f>
        <v>20045452.124999996</v>
      </c>
      <c r="R43" s="21">
        <f>L43*O43</f>
        <v>19629546.999999996</v>
      </c>
      <c r="S43" s="21">
        <f>R43-Q43</f>
        <v>-415905.125</v>
      </c>
      <c r="T43" t="str">
        <f>IF(R43&lt;= Q43,"No Monetizar","Monetizar")</f>
        <v>No Monetizar</v>
      </c>
      <c r="V43" s="1">
        <v>45700</v>
      </c>
      <c r="W43" t="str">
        <v>Alfonso Fonseca A</v>
      </c>
      <c r="X43" t="str">
        <v>Eduard Forero</v>
      </c>
      <c r="Y43"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3" s="21">
        <f>K43*O43</f>
        <v>19629546.999999996</v>
      </c>
      <c r="AA43" s="21">
        <f>Z43-Q43</f>
        <v>-415905.125</v>
      </c>
    </row>
    <row r="44" outlineLevel="1" xml:space="preserve">
      <c r="B44">
        <v>13</v>
      </c>
      <c r="C44" t="str">
        <v>Hemmebarsch GMBH &amp; Co KG</v>
      </c>
      <c r="D44">
        <v>5586</v>
      </c>
      <c r="E44" s="1">
        <v>45679</v>
      </c>
      <c r="F44" s="1">
        <v>45739</v>
      </c>
      <c r="J44" s="20">
        <f>IFERROR(IF(TODAY()&gt;=E44,(TODAY()-E44)/I44,0),0)*0</f>
        <v>0</v>
      </c>
      <c r="K44" s="5">
        <v>867.66</v>
      </c>
      <c r="L44" s="5">
        <v>867.66</v>
      </c>
      <c r="M44" s="5">
        <f>K44-L44</f>
        <v>0</v>
      </c>
      <c r="N44" s="21">
        <v>4294.64</v>
      </c>
      <c r="O44" s="21">
        <v>4143.44</v>
      </c>
      <c r="P44" s="21">
        <f>O44-N44</f>
        <v>-151.20000000000073</v>
      </c>
      <c r="Q44" s="21">
        <f>K44*N44</f>
        <v>3726287.3424</v>
      </c>
      <c r="R44" s="21">
        <f>L44*O44</f>
        <v>3595097.1503999997</v>
      </c>
      <c r="S44" s="21">
        <f>R44-Q44</f>
        <v>-131190.19200000027</v>
      </c>
      <c r="T44" t="str">
        <f>IF(R44&lt;= Q44,"No Monetizar","Monetizar")</f>
        <v>No Monetizar</v>
      </c>
      <c r="V44" s="1">
        <v>45700</v>
      </c>
      <c r="W44" t="str">
        <v>Alfonso Fonseca A</v>
      </c>
      <c r="X44" t="str">
        <v>Eduard Forero</v>
      </c>
      <c r="Y44"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4" s="21">
        <f>K44*O44</f>
        <v>3595097.1503999997</v>
      </c>
      <c r="AA44" s="21">
        <f>Z44-Q44</f>
        <v>-131190.19200000027</v>
      </c>
    </row>
    <row r="45" outlineLevel="1" xml:space="preserve">
      <c r="B45">
        <v>14</v>
      </c>
      <c r="C45" t="str">
        <v xml:space="preserve">Neo </v>
      </c>
      <c r="D45">
        <v>5624</v>
      </c>
      <c r="E45" s="1">
        <v>45680</v>
      </c>
      <c r="F45" s="1">
        <v>45740</v>
      </c>
      <c r="J45" s="20">
        <f>IFERROR(IF(TODAY()&gt;=E45,(TODAY()-E45)/I45,0),0)*0</f>
        <v>0</v>
      </c>
      <c r="K45" s="5">
        <v>22499.23</v>
      </c>
      <c r="L45" s="5">
        <v>22453.23</v>
      </c>
      <c r="M45" s="5">
        <f>K45-L45</f>
        <v>46</v>
      </c>
      <c r="N45" s="21">
        <v>4216.23</v>
      </c>
      <c r="O45" s="21">
        <v>4143.44</v>
      </c>
      <c r="P45" s="21">
        <f>O45-N45</f>
        <v>-72.78999999999996</v>
      </c>
      <c r="Q45" s="21">
        <f>K45*N45</f>
        <v>94861928.50289999</v>
      </c>
      <c r="R45" s="21">
        <f>L45*O45</f>
        <v>93033611.3112</v>
      </c>
      <c r="S45" s="21">
        <f>R45-Q45</f>
        <v>-1828317.1916999966</v>
      </c>
      <c r="T45" t="str">
        <f>IF(R45&lt;= Q45,"No Monetizar","Monetizar")</f>
        <v>No Monetizar</v>
      </c>
      <c r="V45" s="1">
        <v>45700</v>
      </c>
      <c r="W45" t="str">
        <v>Alfonso Fonseca A</v>
      </c>
      <c r="X45" t="str">
        <v>Eduard Forero</v>
      </c>
      <c r="Y45"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5" s="21">
        <f>K45*O45</f>
        <v>93224209.55119999</v>
      </c>
      <c r="AA45" s="21">
        <f>Z45-Q45</f>
        <v>-1637718.951700002</v>
      </c>
    </row>
    <row r="46" outlineLevel="1" xml:space="preserve">
      <c r="B46">
        <v>15</v>
      </c>
      <c r="C46" t="str">
        <v>Hemmebarsch GMBH &amp; Co KG</v>
      </c>
      <c r="D46">
        <v>5585</v>
      </c>
      <c r="E46" s="1">
        <v>45687</v>
      </c>
      <c r="F46" s="1">
        <v>45747</v>
      </c>
      <c r="J46" s="20">
        <f>IFERROR(IF(TODAY()&gt;=E46,(TODAY()-E46)/I46,0),0)*0</f>
        <v>0</v>
      </c>
      <c r="K46" s="5">
        <v>3469.98</v>
      </c>
      <c r="L46" s="5">
        <v>3469.98</v>
      </c>
      <c r="M46" s="5">
        <f>K46-L46</f>
        <v>0</v>
      </c>
      <c r="N46" s="21">
        <v>4294.64</v>
      </c>
      <c r="O46" s="21">
        <v>4143.44</v>
      </c>
      <c r="P46" s="21">
        <f>O46-N46</f>
        <v>-151.20000000000073</v>
      </c>
      <c r="Q46" s="21">
        <f>K46*N46</f>
        <v>14902314.907200001</v>
      </c>
      <c r="R46" s="21">
        <f>L46*O46</f>
        <v>14377653.9312</v>
      </c>
      <c r="S46" s="21">
        <f>R46-Q46</f>
        <v>-524660.9760000017</v>
      </c>
      <c r="T46" t="str">
        <f>IF(R46&lt;= Q46,"No Monetizar","Monetizar")</f>
        <v>No Monetizar</v>
      </c>
      <c r="V46" s="1">
        <v>45700</v>
      </c>
      <c r="W46" t="str">
        <v>Alfonso Fonseca A</v>
      </c>
      <c r="X46" t="str">
        <v>Eduard Forero</v>
      </c>
      <c r="Y46"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6" s="21">
        <f>K46*O46</f>
        <v>14377653.9312</v>
      </c>
      <c r="AA46" s="21">
        <f>Z46-Q46</f>
        <v>-524660.9760000017</v>
      </c>
    </row>
    <row r="47" outlineLevel="1" xml:space="preserve">
      <c r="B47">
        <v>16</v>
      </c>
      <c r="C47" t="str">
        <v>Insider</v>
      </c>
      <c r="D47">
        <v>5575</v>
      </c>
      <c r="E47" s="1">
        <v>45691</v>
      </c>
      <c r="F47" s="1">
        <v>45751</v>
      </c>
      <c r="J47" s="20">
        <f>IFERROR(IF(TODAY()&gt;=E47,(TODAY()-E47)/I47,0),0)*0</f>
        <v>0</v>
      </c>
      <c r="K47" s="5">
        <v>672.6</v>
      </c>
      <c r="L47" s="5">
        <v>667.6</v>
      </c>
      <c r="M47" s="5">
        <f>K47-L47</f>
        <v>5</v>
      </c>
      <c r="N47" s="21">
        <v>4249.11</v>
      </c>
      <c r="O47" s="21">
        <v>4143.44</v>
      </c>
      <c r="P47" s="21">
        <f>O47-N47</f>
        <v>-105.67000000000007</v>
      </c>
      <c r="Q47" s="21">
        <f>K47*N47</f>
        <v>2857951.386</v>
      </c>
      <c r="R47" s="21">
        <f>L47*O47</f>
        <v>2766160.5439999998</v>
      </c>
      <c r="S47" s="21">
        <f>R47-Q47</f>
        <v>-91790.84200000018</v>
      </c>
      <c r="T47" t="str">
        <f>IF(R47&lt;= Q47,"No Monetizar","Monetizar")</f>
        <v>No Monetizar</v>
      </c>
      <c r="V47" s="1">
        <v>45700</v>
      </c>
      <c r="W47" t="str">
        <v>Alfonso Fonseca A</v>
      </c>
      <c r="X47" t="str">
        <v>Eduard Forero</v>
      </c>
      <c r="Y47"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7" s="21">
        <f>K47*O47</f>
        <v>2786877.744</v>
      </c>
      <c r="AA47" s="21">
        <f>Z47-Q47</f>
        <v>-71073.64199999999</v>
      </c>
    </row>
    <row r="48" outlineLevel="1" xml:space="preserve">
      <c r="B48">
        <v>17</v>
      </c>
      <c r="C48" t="str">
        <v>Hemmebarsch GMBH &amp; Co KG</v>
      </c>
      <c r="D48">
        <v>5626</v>
      </c>
      <c r="E48" s="1">
        <v>45695</v>
      </c>
      <c r="F48" s="1">
        <v>45755</v>
      </c>
      <c r="J48" s="20">
        <f>IFERROR(IF(TODAY()&gt;=E48,(TODAY()-E48)/I48,0),0)*0</f>
        <v>0</v>
      </c>
      <c r="K48" s="5">
        <v>1107.05</v>
      </c>
      <c r="L48" s="5">
        <v>1107.05</v>
      </c>
      <c r="M48" s="5">
        <f>K48-L48</f>
        <v>0</v>
      </c>
      <c r="N48" s="21">
        <v>4231.23</v>
      </c>
      <c r="O48" s="21">
        <v>4143.44</v>
      </c>
      <c r="P48" s="21">
        <f>O48-N48</f>
        <v>-87.78999999999996</v>
      </c>
      <c r="Q48" s="21">
        <f>K48*N48</f>
        <v>4684183.171499999</v>
      </c>
      <c r="R48" s="21">
        <f>L48*O48</f>
        <v>4586995.251999999</v>
      </c>
      <c r="S48" s="21">
        <f>R48-Q48</f>
        <v>-97187.91949999984</v>
      </c>
      <c r="T48" t="str">
        <f>IF(R48&lt;= Q48,"No Monetizar","Monetizar")</f>
        <v>No Monetizar</v>
      </c>
      <c r="V48" s="1">
        <v>45700</v>
      </c>
      <c r="W48" t="str">
        <v>Alfonso Fonseca A</v>
      </c>
      <c r="X48" t="str">
        <v>Eduard Forero</v>
      </c>
      <c r="Y48"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8" s="21">
        <f>K48*O48</f>
        <v>4586995.251999999</v>
      </c>
      <c r="AA48" s="21">
        <f>Z48-Q48</f>
        <v>-97187.91949999984</v>
      </c>
    </row>
    <row r="49" outlineLevel="1" xml:space="preserve">
      <c r="B49">
        <v>18</v>
      </c>
      <c r="C49" t="str">
        <v>Hemmebarsch GMBH &amp; Co KG</v>
      </c>
      <c r="D49">
        <v>5627</v>
      </c>
      <c r="E49" s="1">
        <v>45695</v>
      </c>
      <c r="F49" s="1">
        <v>45755</v>
      </c>
      <c r="J49" s="20">
        <f>IFERROR(IF(TODAY()&gt;=E49,(TODAY()-E49)/I49,0),0)*0</f>
        <v>0</v>
      </c>
      <c r="K49" s="5">
        <v>3521.96</v>
      </c>
      <c r="L49" s="5">
        <v>3521.96</v>
      </c>
      <c r="M49" s="5">
        <f>K49-L49</f>
        <v>0</v>
      </c>
      <c r="N49" s="21">
        <v>4231.23</v>
      </c>
      <c r="O49" s="21">
        <v>4143.44</v>
      </c>
      <c r="P49" s="21">
        <f>O49-N49</f>
        <v>-87.78999999999996</v>
      </c>
      <c r="Q49" s="21">
        <f>K49*N49</f>
        <v>14902222.8108</v>
      </c>
      <c r="R49" s="21">
        <f>L49*O49</f>
        <v>14593029.9424</v>
      </c>
      <c r="S49" s="21">
        <f>R49-Q49</f>
        <v>-309192.86840000004</v>
      </c>
      <c r="T49" t="str">
        <f>IF(R49&lt;= Q49,"No Monetizar","Monetizar")</f>
        <v>No Monetizar</v>
      </c>
      <c r="V49" s="1">
        <v>45700</v>
      </c>
      <c r="W49" t="str">
        <v>Alfonso Fonseca A</v>
      </c>
      <c r="X49" t="str">
        <v>Eduard Forero</v>
      </c>
      <c r="Y49"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49" s="21">
        <f>K49*O49</f>
        <v>14593029.9424</v>
      </c>
      <c r="AA49" s="21">
        <f>Z49-Q49</f>
        <v>-309192.86840000004</v>
      </c>
    </row>
    <row r="50" outlineLevel="1" xml:space="preserve">
      <c r="B50">
        <v>19</v>
      </c>
      <c r="C50" t="str">
        <v>Advancio</v>
      </c>
      <c r="D50">
        <v>5633</v>
      </c>
      <c r="E50" s="1">
        <v>45695</v>
      </c>
      <c r="F50" s="1">
        <v>45755</v>
      </c>
      <c r="J50" s="20">
        <f>IFERROR(IF(TODAY()&gt;=E50,(TODAY()-E50)/I50,0),0)*0</f>
        <v>0</v>
      </c>
      <c r="K50" s="5">
        <v>1250.93</v>
      </c>
      <c r="L50" s="5">
        <v>1250.93</v>
      </c>
      <c r="M50" s="5">
        <f>K50-L50</f>
        <v>0</v>
      </c>
      <c r="N50" s="21">
        <v>4194.11</v>
      </c>
      <c r="O50" s="21">
        <v>4143.44</v>
      </c>
      <c r="P50" s="21">
        <f>O50-N50</f>
        <v>-50.67000000000007</v>
      </c>
      <c r="Q50" s="21">
        <f>K50*N50</f>
        <v>5246538.0223</v>
      </c>
      <c r="R50" s="21">
        <f>L50*O50</f>
        <v>5183153.3992</v>
      </c>
      <c r="S50" s="21">
        <f>R50-Q50</f>
        <v>-63384.62310000043</v>
      </c>
      <c r="T50" t="str">
        <f>IF(R50&lt;= Q50,"No Monetizar","Monetizar")</f>
        <v>No Monetizar</v>
      </c>
      <c r="V50" s="1">
        <v>45700</v>
      </c>
      <c r="W50" t="str">
        <v>Alfonso Fonseca A</v>
      </c>
      <c r="X50" t="str">
        <v>Eduard Forero</v>
      </c>
      <c r="Y50"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50" s="21">
        <f>K50*O50</f>
        <v>5183153.3992</v>
      </c>
      <c r="AA50" s="21">
        <f>Z50-Q50</f>
        <v>-63384.62310000043</v>
      </c>
    </row>
    <row r="51" outlineLevel="1" xml:space="preserve">
      <c r="B51">
        <v>20</v>
      </c>
      <c r="C51" t="str">
        <v>Action AD</v>
      </c>
      <c r="D51">
        <v>5678</v>
      </c>
      <c r="E51" s="1">
        <v>45699</v>
      </c>
      <c r="F51" s="1">
        <v>45759</v>
      </c>
      <c r="J51" s="20">
        <f>IFERROR(IF(TODAY()&gt;=E51,(TODAY()-E51)/I51,0),0)*0</f>
        <v>0</v>
      </c>
      <c r="K51" s="5">
        <v>3689.78</v>
      </c>
      <c r="L51" s="5">
        <v>3689.78</v>
      </c>
      <c r="M51" s="5">
        <f>(K51-L51)*0</f>
        <v>0</v>
      </c>
      <c r="N51" s="21">
        <v>3980.06</v>
      </c>
      <c r="O51" s="21">
        <f>O50</f>
        <v>4143.44</v>
      </c>
      <c r="P51" s="21">
        <f>O51-N51</f>
        <v>163.37999999999965</v>
      </c>
      <c r="Q51" s="21">
        <f>K51*N51</f>
        <v>14685545.7868</v>
      </c>
      <c r="R51" s="21">
        <f>L51*O51</f>
        <v>15288382.0432</v>
      </c>
      <c r="S51" s="21">
        <f>R51-Q51</f>
        <v>602836.2563999984</v>
      </c>
      <c r="T51" t="str">
        <f>IF(R51&lt;= Q51,"No Monetizar","Monetizar")</f>
        <v>Monetizar</v>
      </c>
      <c r="V51" s="1">
        <v>45700</v>
      </c>
      <c r="W51" t="str">
        <v>Alfonso Fonseca A</v>
      </c>
      <c r="X51" t="str">
        <v>Eduard Forero</v>
      </c>
      <c r="Y51" t="str" xml:space="preserve">
        <v xml:space="preserve">Se monetizaron estas divisas por debajo del valor facturado debido a que, por el comportamiento del mercado, la TRM ha presentado una reducción notable desde el pasado 25 de enero, producto de factores externos de carácter económico._x000d_
_x000d_
Desde el 07 de enero se realizó un monitoreo constante del comportamiento de esta divisa. En dicho período, el máximo crecimiento registrado fue el 12 de febrero frente al 07 de febrero, con un incremento de $15,99, alcanzando un valor máximo de $4,143,44._x000d_
_x000d_
Entre el valor facturado y lo finalmente negociado, se tenía previsto un ingreso de $174 millones, pero el ingreso real fue de $173 millones, reflejando una desviación del 0,9 %._x000d_
_x000d_
Adicionalmente, era necesario disponer de los recursos para cumplir con obligaciones financieras urgentes, como el pago de seguridad social, impuestos de retención en la fuente y cesantías, programados para el jueves 13 y viernes 14 de febrero. Por esta razón, no era viable esperar un aumento del valor de la divisa por encima del rango facturado, estimado entre $4,251 y $4,294.</v>
      </c>
      <c r="Z51" s="21">
        <f>K51*O51</f>
        <v>15288382.0432</v>
      </c>
      <c r="AA51" s="21">
        <f>Z51-Q51</f>
        <v>602836.2563999984</v>
      </c>
    </row>
    <row r="52" outlineLevel="1">
      <c r="B52">
        <v>21</v>
      </c>
      <c r="C52" t="str">
        <v>Endrington</v>
      </c>
      <c r="D52">
        <v>5689</v>
      </c>
      <c r="E52" s="1">
        <v>45706</v>
      </c>
      <c r="F52" s="1">
        <v>45764</v>
      </c>
      <c r="J52" s="20">
        <f>IFERROR(IF(TODAY()&gt;=E52,(TODAY()-E52)/I52,0),0)*0</f>
        <v>0</v>
      </c>
      <c r="K52" s="5">
        <v>23626.52</v>
      </c>
      <c r="L52" s="5">
        <v>23626.52</v>
      </c>
      <c r="M52" s="5">
        <f>K52-L52</f>
        <v>0</v>
      </c>
      <c r="N52" s="21">
        <v>3953.8</v>
      </c>
      <c r="O52" s="21">
        <v>4410.1</v>
      </c>
      <c r="P52" s="21">
        <f>O52-N52</f>
        <v>456.3000000000002</v>
      </c>
      <c r="Q52" s="21">
        <f>K52*N52</f>
        <v>93414534.77600001</v>
      </c>
      <c r="R52" s="21">
        <f>L52*O52</f>
        <v>104195315.85200001</v>
      </c>
      <c r="S52" s="21">
        <f>R52-Q52</f>
        <v>10780781.076000005</v>
      </c>
      <c r="T52" t="str">
        <f>IF(R52&lt;= Q52,"No Monetizar","Monetizar")</f>
        <v>Monetizar</v>
      </c>
      <c r="V52" s="1">
        <v>45706</v>
      </c>
      <c r="W52" t="str">
        <v>Alfonso Fonseca A</v>
      </c>
      <c r="X52" t="str">
        <v>Alfonso Fonseca A</v>
      </c>
      <c r="Y52" t="str">
        <v>Se monetiza ya que el valor ofrecido por el banco en cada divisa es superior al valor facturado</v>
      </c>
      <c r="Z52" s="21">
        <f>K52*O52</f>
        <v>104195315.85200001</v>
      </c>
      <c r="AA52" s="21">
        <f>Z52-Q52</f>
        <v>10780781.076000005</v>
      </c>
    </row>
    <row r="53" outlineLevel="1">
      <c r="B53">
        <v>22</v>
      </c>
      <c r="C53" t="str">
        <v>Marketing Doctors</v>
      </c>
      <c r="D53">
        <v>5694</v>
      </c>
      <c r="E53" s="1">
        <v>45706</v>
      </c>
      <c r="F53" s="1">
        <v>45764</v>
      </c>
      <c r="J53" s="20">
        <f>IFERROR(IF(TODAY()&gt;=E53,(TODAY()-E53)/I53,0),0)*0</f>
        <v>0</v>
      </c>
      <c r="K53" s="5">
        <v>2546.09</v>
      </c>
      <c r="L53" s="5">
        <v>2546.09</v>
      </c>
      <c r="M53" s="5">
        <f>K53-L53</f>
        <v>0</v>
      </c>
      <c r="N53" s="21">
        <v>3953.8</v>
      </c>
      <c r="O53" s="21">
        <v>4410.1</v>
      </c>
      <c r="P53" s="21">
        <f>O53-N53</f>
        <v>456.3000000000002</v>
      </c>
      <c r="Q53" s="21">
        <f>K53*N53</f>
        <v>10066730.642</v>
      </c>
      <c r="R53" s="21">
        <f>L53*O53</f>
        <v>11228511.509000001</v>
      </c>
      <c r="S53" s="21">
        <f>R53-Q53</f>
        <v>1161780.8670000006</v>
      </c>
      <c r="T53" t="str">
        <f>IF(R53&lt;= Q53,"No Monetizar","Monetizar")</f>
        <v>Monetizar</v>
      </c>
      <c r="V53" s="1">
        <v>45706</v>
      </c>
      <c r="W53" t="str">
        <v>Alfonso Fonseca A</v>
      </c>
      <c r="X53" t="str">
        <v>Alfonso Fonseca A</v>
      </c>
      <c r="Y53" t="str">
        <v>Se monetiza ya que el valor ofrecido por el banco en cada divisa es superior al valor facturado</v>
      </c>
      <c r="Z53" s="21">
        <f>K53*O53</f>
        <v>11228511.509000001</v>
      </c>
      <c r="AA53" s="21">
        <f>Z53-Q53</f>
        <v>1161780.8670000006</v>
      </c>
    </row>
    <row r="54" outlineLevel="1">
      <c r="B54">
        <v>23</v>
      </c>
      <c r="C54" t="str">
        <v>Advancio</v>
      </c>
      <c r="D54">
        <v>5695</v>
      </c>
      <c r="E54" s="1">
        <v>45706</v>
      </c>
      <c r="F54" s="1">
        <v>45764</v>
      </c>
      <c r="J54" s="20">
        <f>IFERROR(IF(TODAY()&gt;=E54,(TODAY()-E54)/I54,0),0)*0</f>
        <v>0</v>
      </c>
      <c r="K54" s="5">
        <v>1308.12</v>
      </c>
      <c r="L54" s="5">
        <v>1308.12</v>
      </c>
      <c r="M54" s="5">
        <f>K54-L54</f>
        <v>0</v>
      </c>
      <c r="N54" s="21">
        <v>3953.8</v>
      </c>
      <c r="O54" s="21">
        <v>4075.6</v>
      </c>
      <c r="P54" s="21">
        <f>O54-N54</f>
        <v>121.79999999999973</v>
      </c>
      <c r="Q54" s="21">
        <f>K54*N54</f>
        <v>5172044.856</v>
      </c>
      <c r="R54" s="21">
        <f>L54*O54</f>
        <v>5331373.8719999995</v>
      </c>
      <c r="S54" s="21">
        <f>R54-Q54</f>
        <v>159329.01599999983</v>
      </c>
      <c r="T54" t="str">
        <f>IF(R54&lt;= Q54,"No Monetizar","Monetizar")</f>
        <v>Monetizar</v>
      </c>
      <c r="V54" s="1">
        <v>45707</v>
      </c>
      <c r="W54" t="str">
        <v>Alfonso Fonseca A</v>
      </c>
      <c r="X54" t="str">
        <v>Alfonso Fonseca A</v>
      </c>
      <c r="Y54" t="str">
        <v>Se monetiza ya que el valor ofrecido por el banco en cada divisa es superior al valor facturado</v>
      </c>
      <c r="Z54" s="21">
        <f>K54*O54</f>
        <v>5331373.8719999995</v>
      </c>
      <c r="AA54" s="21">
        <f>Z54-Q54</f>
        <v>159329.01599999983</v>
      </c>
    </row>
    <row r="55" outlineLevel="1">
      <c r="B55">
        <v>24</v>
      </c>
      <c r="C55" t="str">
        <v>Oncehub</v>
      </c>
      <c r="D55">
        <v>5691</v>
      </c>
      <c r="E55" s="1">
        <v>45706</v>
      </c>
      <c r="F55" s="1">
        <v>45764</v>
      </c>
      <c r="J55" s="20">
        <f>IFERROR(IF(TODAY()&gt;=E55,(TODAY()-E55)/I55,0),0)*0</f>
        <v>0</v>
      </c>
      <c r="K55" s="5">
        <v>3069.09</v>
      </c>
      <c r="L55" s="5">
        <v>3049.09</v>
      </c>
      <c r="M55" s="5">
        <f>K55-L55</f>
        <v>20</v>
      </c>
      <c r="N55" s="21">
        <v>3953.8</v>
      </c>
      <c r="O55" s="21">
        <v>4069.15</v>
      </c>
      <c r="P55" s="21">
        <f>O55-N55</f>
        <v>115.34999999999991</v>
      </c>
      <c r="Q55" s="21">
        <f>K55*N55</f>
        <v>12134568.042000001</v>
      </c>
      <c r="R55" s="21">
        <f>L55*O55</f>
        <v>12407204.5735</v>
      </c>
      <c r="S55" s="21">
        <f>(R55-Q55)/N55</f>
        <v>68.95556970509348</v>
      </c>
      <c r="T55" t="str">
        <f>IF(R55&lt;= Q55,"No Monetizar","Monetizar")</f>
        <v>Monetizar</v>
      </c>
      <c r="V55" s="1">
        <v>45708</v>
      </c>
      <c r="W55" t="str">
        <v>Alfonso Fonseca A</v>
      </c>
      <c r="X55" t="str">
        <v>Alfonso Fonseca A</v>
      </c>
      <c r="Y55" t="str">
        <v>Se monetiza ya que el valor ofrecido por el banco en cada divisa es superior al valor facturado</v>
      </c>
      <c r="Z55" s="21">
        <f>K55*O55</f>
        <v>12488587.5735</v>
      </c>
      <c r="AA55" s="21">
        <f>Z55-Q55</f>
        <v>354019.53149999864</v>
      </c>
    </row>
    <row r="56" outlineLevel="1">
      <c r="B56">
        <v>25</v>
      </c>
      <c r="C56" t="str">
        <v>Nazdar ink technologies</v>
      </c>
      <c r="D56">
        <v>5704</v>
      </c>
      <c r="E56" s="1">
        <v>45706</v>
      </c>
      <c r="F56" s="1">
        <v>45764</v>
      </c>
      <c r="J56" s="20">
        <f>IFERROR(IF(TODAY()&gt;=E56,(TODAY()-E56)/I56,0),0)*0</f>
        <v>0</v>
      </c>
      <c r="K56" s="5">
        <v>13815.14</v>
      </c>
      <c r="L56" s="5">
        <v>13800.14</v>
      </c>
      <c r="M56" s="5">
        <f>K56-L56</f>
        <v>15</v>
      </c>
      <c r="N56" s="21">
        <v>3800.18</v>
      </c>
      <c r="O56" s="21">
        <v>4061.2</v>
      </c>
      <c r="P56" s="21">
        <f>O56-N56</f>
        <v>261.02</v>
      </c>
      <c r="Q56" s="21">
        <f>K56*N56</f>
        <v>52500018.7252</v>
      </c>
      <c r="R56" s="21">
        <f>L56*O56</f>
        <v>56045128.567999996</v>
      </c>
      <c r="S56" s="21">
        <f>R56-Q56</f>
        <v>3545109.842799999</v>
      </c>
      <c r="T56" t="str">
        <f>IF(R56&lt;= Q56,"No Monetizar","Monetizar")</f>
        <v>Monetizar</v>
      </c>
      <c r="V56" s="1">
        <v>45708</v>
      </c>
      <c r="W56" t="str">
        <v>Alfonso Fonseca A</v>
      </c>
      <c r="X56" t="str">
        <v>Alfonso Fonseca A</v>
      </c>
      <c r="Y56" t="str">
        <v>Se monetiza ya que el valor ofrecido por el banco en cada divisa es superior al valor facturado</v>
      </c>
      <c r="Z56" s="21">
        <f>K56*O56</f>
        <v>56106046.567999996</v>
      </c>
      <c r="AA56" s="21">
        <f>Z56-Q56</f>
        <v>3606027.842799999</v>
      </c>
    </row>
    <row r="57" outlineLevel="1">
      <c r="B57">
        <v>26</v>
      </c>
      <c r="C57" t="str">
        <v>Flexco</v>
      </c>
      <c r="D57">
        <v>5690</v>
      </c>
      <c r="E57" s="1">
        <v>45706</v>
      </c>
      <c r="F57" s="1">
        <v>45764</v>
      </c>
      <c r="J57" s="20">
        <f>IFERROR(IF(TODAY()&gt;=E57,(TODAY()-E57)/I57,0),0)*0</f>
        <v>0</v>
      </c>
      <c r="K57" s="5">
        <v>3827.13</v>
      </c>
      <c r="L57" s="5">
        <v>3817.13</v>
      </c>
      <c r="M57" s="5">
        <f>K57-L57</f>
        <v>10</v>
      </c>
      <c r="N57" s="21">
        <v>3953.8</v>
      </c>
      <c r="O57" s="21">
        <v>4055.15</v>
      </c>
      <c r="P57" s="21">
        <f>O57-N57</f>
        <v>101.34999999999991</v>
      </c>
      <c r="Q57" s="21">
        <f>K57*N57</f>
        <v>15131706.594</v>
      </c>
      <c r="R57" s="21">
        <f>L57*O57</f>
        <v>15479034.719500002</v>
      </c>
      <c r="S57" s="21">
        <f>R57-Q57</f>
        <v>347328.125500001</v>
      </c>
      <c r="T57" t="str">
        <f>IF(R57&lt;= Q57,"No Monetizar","Monetizar")</f>
        <v>Monetizar</v>
      </c>
      <c r="V57" s="1">
        <v>45708</v>
      </c>
      <c r="W57" t="str">
        <v>Alfonso Fonseca A</v>
      </c>
      <c r="X57" t="str">
        <v>Alfonso Fonseca A</v>
      </c>
      <c r="Y57" t="str">
        <v>Se monetiza ya que el valor ofrecido por el banco en cada divisa es superior al valor facturado</v>
      </c>
      <c r="Z57" s="21">
        <f>K57*O57</f>
        <v>15519586.219500002</v>
      </c>
      <c r="AA57" s="21">
        <f>Z57-Q57</f>
        <v>387879.625500001</v>
      </c>
    </row>
    <row r="58" outlineLevel="1">
      <c r="B58">
        <v>27</v>
      </c>
      <c r="C58" t="str">
        <v xml:space="preserve">Neo </v>
      </c>
      <c r="D58">
        <v>5692</v>
      </c>
      <c r="E58" s="1">
        <v>45706</v>
      </c>
      <c r="F58" s="1">
        <v>45764</v>
      </c>
      <c r="J58" s="20">
        <f>IFERROR(IF(TODAY()&gt;=E58,(TODAY()-E58)/I58,0),0)*0</f>
        <v>0</v>
      </c>
      <c r="K58" s="5">
        <v>22597.84</v>
      </c>
      <c r="L58" s="5">
        <v>22551.84</v>
      </c>
      <c r="M58" s="5">
        <f>K58-L58</f>
        <v>46</v>
      </c>
      <c r="N58" s="21">
        <v>3953.8</v>
      </c>
      <c r="O58" s="21">
        <v>4094</v>
      </c>
      <c r="P58" s="21">
        <f>O58-N58</f>
        <v>140.19999999999982</v>
      </c>
      <c r="Q58" s="21">
        <f>K58*N58</f>
        <v>89347339.79200001</v>
      </c>
      <c r="R58" s="21">
        <f>L58*O58</f>
        <v>92327232.96</v>
      </c>
      <c r="S58" s="21">
        <f>R58-Q58</f>
        <v>2979893.167999983</v>
      </c>
      <c r="T58" t="str">
        <f>IF(R58&lt;= Q58,"No Monetizar","Monetizar")</f>
        <v>Monetizar</v>
      </c>
      <c r="V58" s="1">
        <v>45712</v>
      </c>
      <c r="W58" t="str">
        <v>Alfonso Fonseca A</v>
      </c>
      <c r="X58" t="str">
        <v>Alfonso Fonseca A</v>
      </c>
      <c r="Y58" t="str">
        <v>Se monetiza ya que el valor ofrecido por el banco en cada divisa es superior al valor facturado</v>
      </c>
      <c r="Z58" s="21">
        <f>K58*O58</f>
        <v>92515556.96</v>
      </c>
      <c r="AA58" s="21">
        <f>Z58-Q58</f>
        <v>3168217.167999983</v>
      </c>
    </row>
    <row r="59" outlineLevel="1">
      <c r="B59">
        <v>28</v>
      </c>
      <c r="C59" t="str">
        <v>Remofisrt</v>
      </c>
      <c r="D59">
        <v>5688</v>
      </c>
      <c r="E59" s="1">
        <v>45706</v>
      </c>
      <c r="F59" s="1">
        <v>45764</v>
      </c>
      <c r="J59" s="20">
        <f>IFERROR(IF(TODAY()&gt;=E59,(TODAY()-E59)/I59,0),0)*0</f>
        <v>0</v>
      </c>
      <c r="K59" s="5">
        <v>201884.45</v>
      </c>
      <c r="L59" s="5">
        <v>201884.45</v>
      </c>
      <c r="M59" s="5">
        <f>K59-L59</f>
        <v>0</v>
      </c>
      <c r="N59" s="21">
        <v>3850.81</v>
      </c>
      <c r="O59" s="21">
        <v>4098.61</v>
      </c>
      <c r="P59" s="21">
        <f>O59-N59</f>
        <v>247.79999999999973</v>
      </c>
      <c r="Q59" s="21">
        <f>K59*N59</f>
        <v>777418658.9045</v>
      </c>
      <c r="R59" s="21">
        <f>L59*O59</f>
        <v>827445625.6144999</v>
      </c>
      <c r="S59" s="21">
        <f>R59-Q59</f>
        <v>50026966.70999992</v>
      </c>
      <c r="T59" t="str">
        <f>IF(R59&lt;= Q59,"No Monetizar","Monetizar")</f>
        <v>Monetizar</v>
      </c>
      <c r="V59" s="1">
        <v>45712</v>
      </c>
      <c r="W59" t="str">
        <v>Alfonso Fonseca A</v>
      </c>
      <c r="X59" t="str">
        <v>Alfonso Fonseca A</v>
      </c>
      <c r="Y59" t="str">
        <v>Se monetiza ya que el valor ofrecido por el banco en cada divisa es superior al valor facturado</v>
      </c>
      <c r="Z59" s="21">
        <f>K59*O59</f>
        <v>827445625.6144999</v>
      </c>
      <c r="AA59" s="21">
        <f>Z59-Q59</f>
        <v>50026966.70999992</v>
      </c>
    </row>
    <row r="60" outlineLevel="1">
      <c r="B60">
        <v>29</v>
      </c>
      <c r="C60" t="str">
        <v>Insider</v>
      </c>
      <c r="D60">
        <v>5729</v>
      </c>
      <c r="E60" s="1">
        <v>45706</v>
      </c>
      <c r="F60" s="1">
        <v>45764</v>
      </c>
      <c r="J60" s="20">
        <f>IFERROR(IF(TODAY()&gt;=E60,(TODAY()-E60)/I60,0),0)*0</f>
        <v>0</v>
      </c>
      <c r="K60" s="5">
        <v>97590.24</v>
      </c>
      <c r="L60" s="5">
        <v>97575.24</v>
      </c>
      <c r="M60" s="5">
        <f>K60-L60</f>
        <v>15</v>
      </c>
      <c r="N60" s="21">
        <v>3862.63</v>
      </c>
      <c r="O60" s="21">
        <v>4112.15</v>
      </c>
      <c r="P60" s="21">
        <f>O60-N60</f>
        <v>249.51999999999953</v>
      </c>
      <c r="Q60" s="21">
        <f>K60*N60</f>
        <v>376954988.73120004</v>
      </c>
      <c r="R60" s="21">
        <f>L60*O60</f>
        <v>401244023.166</v>
      </c>
      <c r="S60" s="21">
        <f>R60-Q60</f>
        <v>24289034.43479997</v>
      </c>
      <c r="T60" t="str">
        <f>IF(R60&lt;= Q60,"No Monetizar","Monetizar")</f>
        <v>Monetizar</v>
      </c>
      <c r="V60" s="1">
        <v>45713</v>
      </c>
      <c r="W60" t="str">
        <v>Alfonso Fonseca A</v>
      </c>
      <c r="X60" t="str">
        <v>Alfonso Fonseca A</v>
      </c>
      <c r="Y60" t="str">
        <v>Se monetiza ya que el valor ofrecido por el banco en cada divisa es superior al valor facturado</v>
      </c>
      <c r="Z60" s="21">
        <f>K60*O60</f>
        <v>401305705.416</v>
      </c>
      <c r="AA60" s="21">
        <f>Z60-Q60</f>
        <v>24350716.68479997</v>
      </c>
    </row>
    <row r="61" ht="30" customHeight="1" outlineLevel="1">
      <c r="B61">
        <v>30</v>
      </c>
      <c r="C61" t="str">
        <v>Hong kong yonyou xinfushe cloud technology co</v>
      </c>
      <c r="D61">
        <v>5699</v>
      </c>
      <c r="E61" s="1">
        <v>45706</v>
      </c>
      <c r="F61" s="1">
        <v>45764</v>
      </c>
      <c r="J61" s="20">
        <f>IFERROR(IF(TODAY()&gt;=E61,(TODAY()-E61)/I61,0),0)*0</f>
        <v>0</v>
      </c>
      <c r="K61" s="5">
        <v>6079.63</v>
      </c>
      <c r="L61" s="5">
        <v>6079.63</v>
      </c>
      <c r="M61" s="5">
        <f>K61-L61</f>
        <v>0</v>
      </c>
      <c r="N61" s="21">
        <v>3865.07</v>
      </c>
      <c r="O61" s="21">
        <v>4096.5</v>
      </c>
      <c r="P61" s="21">
        <f>O61-N61</f>
        <v>231.42999999999984</v>
      </c>
      <c r="Q61" s="21">
        <f>K61*N61</f>
        <v>23498195.524100002</v>
      </c>
      <c r="R61" s="21">
        <f>L61*O61</f>
        <v>24905204.295</v>
      </c>
      <c r="S61" s="21">
        <f>R61-Q61</f>
        <v>1407008.7709</v>
      </c>
      <c r="T61" t="str">
        <f>IF(R61&lt;= Q61,"No Monetizar","Monetizar")</f>
        <v>Monetizar</v>
      </c>
      <c r="V61" s="1">
        <v>45715</v>
      </c>
      <c r="W61" t="str">
        <v>Alfonso Fonseca A</v>
      </c>
      <c r="X61" t="str">
        <v>Alfonso Fonseca A</v>
      </c>
      <c r="Y61" t="str">
        <v>Se monetiza ya que el valor ofrecido por el banco en cada divisa es superior al valor facturado</v>
      </c>
      <c r="Z61" s="21">
        <f>K61*O61</f>
        <v>24905204.295</v>
      </c>
      <c r="AA61" s="21">
        <f>Z61-Q61</f>
        <v>1407008.7709</v>
      </c>
    </row>
    <row r="62" ht="30" customHeight="1" outlineLevel="1">
      <c r="B62">
        <v>31</v>
      </c>
      <c r="C62" t="str">
        <v>Hong kong yonyou xinfushe cloud technology co</v>
      </c>
      <c r="D62">
        <v>5715</v>
      </c>
      <c r="E62" s="1">
        <v>45706</v>
      </c>
      <c r="F62" s="1">
        <v>45764</v>
      </c>
      <c r="J62" s="20">
        <f>IFERROR(IF(TODAY()&gt;=E62,(TODAY()-E62)/I62,0),0)*0</f>
        <v>0</v>
      </c>
      <c r="K62" s="5">
        <v>2753.32</v>
      </c>
      <c r="L62" s="5">
        <v>2753.32</v>
      </c>
      <c r="M62" s="5">
        <f>K62-L62</f>
        <v>0</v>
      </c>
      <c r="N62" s="21">
        <v>3865.07</v>
      </c>
      <c r="O62" s="21">
        <v>4096.5</v>
      </c>
      <c r="P62" s="21">
        <f>O62-N62</f>
        <v>231.42999999999984</v>
      </c>
      <c r="Q62" s="21">
        <f>K62*N62</f>
        <v>10641774.5324</v>
      </c>
      <c r="R62" s="21">
        <f>L62*O62</f>
        <v>11278975.38</v>
      </c>
      <c r="S62" s="21">
        <f>R62-Q62</f>
        <v>637200.8476</v>
      </c>
      <c r="T62" t="str">
        <f>IF(R62&lt;= Q62,"No Monetizar","Monetizar")</f>
        <v>Monetizar</v>
      </c>
      <c r="V62" s="1">
        <v>45715</v>
      </c>
      <c r="W62" t="str">
        <v>Alfonso Fonseca A</v>
      </c>
      <c r="X62" t="str">
        <v>Alfonso Fonseca A</v>
      </c>
      <c r="Y62" t="str">
        <v>Se monetiza ya que el valor ofrecido por el banco en cada divisa es superior al valor facturado</v>
      </c>
      <c r="Z62" s="21">
        <f>K62*O62</f>
        <v>11278975.38</v>
      </c>
      <c r="AA62" s="21">
        <f>Z62-Q62</f>
        <v>637200.8476</v>
      </c>
    </row>
    <row r="63" outlineLevel="1">
      <c r="B63">
        <v>32</v>
      </c>
      <c r="C63" t="str">
        <v>Insider</v>
      </c>
      <c r="D63">
        <v>5730</v>
      </c>
      <c r="E63" s="1">
        <v>45706</v>
      </c>
      <c r="F63" s="1">
        <v>45764</v>
      </c>
      <c r="J63" s="20">
        <f>IFERROR(IF(TODAY()&gt;=E63,(TODAY()-E63)/I63,0),0)*0</f>
        <v>0</v>
      </c>
      <c r="K63" s="5">
        <v>2920.43</v>
      </c>
      <c r="L63" s="5">
        <v>2910.43</v>
      </c>
      <c r="M63" s="5">
        <f>K63-L63</f>
        <v>10</v>
      </c>
      <c r="N63" s="21">
        <v>3862.63</v>
      </c>
      <c r="O63" s="21">
        <v>4134</v>
      </c>
      <c r="P63" s="21">
        <f>O63-N63</f>
        <v>271.3699999999999</v>
      </c>
      <c r="Q63" s="21">
        <f>K63*N63</f>
        <v>11280540.5309</v>
      </c>
      <c r="R63" s="21">
        <f>L63*O63</f>
        <v>12031717.62</v>
      </c>
      <c r="S63" s="21">
        <f>R63-Q63</f>
        <v>751177.0890999995</v>
      </c>
      <c r="T63" t="str">
        <f>IF(R63&lt;= Q63,"No Monetizar","Monetizar")</f>
        <v>Monetizar</v>
      </c>
      <c r="V63" s="1">
        <v>45716</v>
      </c>
      <c r="W63" t="str">
        <v>Alfonso Fonseca A</v>
      </c>
      <c r="X63" t="str">
        <v>Alfonso Fonseca A</v>
      </c>
      <c r="Y63" t="str">
        <v>Se monetiza ya que el valor ofrecido por el banco en cada divisa es superior al valor facturado</v>
      </c>
      <c r="Z63" s="21">
        <f>K63*O63</f>
        <v>12073057.62</v>
      </c>
      <c r="AA63" s="21">
        <f>Z63-Q63</f>
        <v>792517.0890999995</v>
      </c>
    </row>
    <row r="64" outlineLevel="1">
      <c r="B64">
        <v>33</v>
      </c>
      <c r="C64" t="str">
        <v>Remofisrt</v>
      </c>
      <c r="D64">
        <v>5736</v>
      </c>
      <c r="E64" s="1">
        <v>45706</v>
      </c>
      <c r="F64" s="1">
        <v>45764</v>
      </c>
      <c r="J64" s="20">
        <f>IFERROR(IF(TODAY()&gt;=E64,(TODAY()-E64)/I64,0),0)*0</f>
        <v>0</v>
      </c>
      <c r="K64" s="5">
        <v>5905.3</v>
      </c>
      <c r="L64" s="5">
        <v>6141.42</v>
      </c>
      <c r="M64" s="5">
        <f>K64-L64</f>
        <v>-236.1199999999999</v>
      </c>
      <c r="N64" s="21">
        <v>3850.81</v>
      </c>
      <c r="O64" s="21">
        <v>4119.3</v>
      </c>
      <c r="P64" s="21">
        <f>O64-N64</f>
        <v>268.49000000000024</v>
      </c>
      <c r="Q64" s="21">
        <f>K64*N64</f>
        <v>22740188.293</v>
      </c>
      <c r="R64" s="21">
        <f>L64*O64</f>
        <v>25298351.406000003</v>
      </c>
      <c r="S64" s="21">
        <f>R64-Q64</f>
        <v>2558163.1130000018</v>
      </c>
      <c r="T64" t="str">
        <f>IF(R64&lt;= Q64,"No Monetizar","Monetizar")</f>
        <v>Monetizar</v>
      </c>
      <c r="V64" s="1">
        <v>45721</v>
      </c>
      <c r="W64" t="str">
        <v>Alfonso Fonseca A</v>
      </c>
      <c r="X64" t="str">
        <v>Alfonso Fonseca A</v>
      </c>
      <c r="Y64" t="str">
        <v>Se monetiza ya que el valor ofrecido por el banco en cada divisa es superior al valor facturado</v>
      </c>
      <c r="Z64" s="21">
        <f>K64*O64</f>
        <v>24325702.290000003</v>
      </c>
      <c r="AA64" s="21">
        <f>Z64-Q64</f>
        <v>1585513.9970000014</v>
      </c>
    </row>
    <row r="65" outlineLevel="1">
      <c r="B65">
        <v>34</v>
      </c>
      <c r="C65" t="str">
        <v>Hemmebarsch GMBH &amp; Co KG</v>
      </c>
      <c r="D65">
        <v>5697</v>
      </c>
      <c r="E65" s="1">
        <v>45722</v>
      </c>
      <c r="F65" s="1">
        <v>45782</v>
      </c>
      <c r="J65" s="20">
        <f>IFERROR(IF(TODAY()&gt;=E65,(TODAY()-E65)/I65,0),0)*0</f>
        <v>0</v>
      </c>
      <c r="K65" s="5">
        <v>3852.15</v>
      </c>
      <c r="L65" s="5">
        <v>3852.15</v>
      </c>
      <c r="M65" s="5">
        <f>K65-L65</f>
        <v>0</v>
      </c>
      <c r="N65" s="21">
        <v>3865.07</v>
      </c>
      <c r="O65" s="21">
        <v>4136.54</v>
      </c>
      <c r="P65" s="21">
        <f>O65-N65</f>
        <v>271.4699999999998</v>
      </c>
      <c r="Q65" s="21">
        <f>K65*N65</f>
        <v>14888829.400500001</v>
      </c>
      <c r="R65" s="21">
        <f>L65*O65</f>
        <v>15934572.561</v>
      </c>
      <c r="S65" s="21">
        <f>R65-Q65</f>
        <v>1045743.1604999993</v>
      </c>
      <c r="T65" t="str">
        <f>IF(R65&lt;= Q65,"No Monetizar","Monetizar")</f>
        <v>Monetizar</v>
      </c>
      <c r="V65" s="1">
        <v>45726</v>
      </c>
      <c r="W65" t="str">
        <v>Alfonso Fonseca A</v>
      </c>
      <c r="X65" t="str">
        <v>Alfonso Fonseca A</v>
      </c>
      <c r="Y65" t="str">
        <v>Se monetiza ya que el valor ofrecido por el banco en cada divisa es superior al valor facturado</v>
      </c>
      <c r="Z65" s="21">
        <f>K65*O65</f>
        <v>15934572.561</v>
      </c>
      <c r="AA65" s="21">
        <f>Z65-Q65</f>
        <v>1045743.1604999993</v>
      </c>
    </row>
    <row r="66" outlineLevel="1">
      <c r="B66">
        <v>35</v>
      </c>
      <c r="C66" t="str">
        <v>Hemmebarsch GMBH &amp; Co KG</v>
      </c>
      <c r="D66">
        <v>5698</v>
      </c>
      <c r="E66" s="1">
        <v>45722</v>
      </c>
      <c r="F66" s="1">
        <v>45782</v>
      </c>
      <c r="J66" s="20">
        <f>IFERROR(IF(TODAY()&gt;=E66,(TODAY()-E66)/I66,0),0)*0</f>
        <v>0</v>
      </c>
      <c r="K66" s="5">
        <v>1203.24</v>
      </c>
      <c r="L66" s="5">
        <v>1203.24</v>
      </c>
      <c r="M66" s="5">
        <f>K66-L66</f>
        <v>0</v>
      </c>
      <c r="N66" s="21">
        <v>3865.07</v>
      </c>
      <c r="O66" s="21">
        <v>4136.54</v>
      </c>
      <c r="P66" s="21">
        <f>O66-N66</f>
        <v>271.4699999999998</v>
      </c>
      <c r="Q66" s="21">
        <f>K66*N66</f>
        <v>4650606.8268</v>
      </c>
      <c r="R66" s="21">
        <f>L66*O66</f>
        <v>4977250.3896</v>
      </c>
      <c r="S66" s="21">
        <f>R66-Q66</f>
        <v>326643.5628000004</v>
      </c>
      <c r="T66" t="str">
        <f>IF(R66&lt;= Q66,"No Monetizar","Monetizar")</f>
        <v>Monetizar</v>
      </c>
      <c r="V66" s="1">
        <v>45726</v>
      </c>
      <c r="W66" t="str">
        <v>Alfonso Fonseca A</v>
      </c>
      <c r="X66" t="str">
        <v>Alfonso Fonseca A</v>
      </c>
      <c r="Y66" t="str">
        <v>Se monetiza ya que el valor ofrecido por el banco en cada divisa es superior al valor facturado</v>
      </c>
      <c r="Z66" s="21">
        <f>K66*O66</f>
        <v>4977250.3896</v>
      </c>
      <c r="AA66" s="21">
        <f>Z66-Q66</f>
        <v>326643.5628000004</v>
      </c>
    </row>
    <row r="67" outlineLevel="1">
      <c r="B67">
        <v>36</v>
      </c>
      <c r="C67" t="str">
        <v>Insider</v>
      </c>
      <c r="D67">
        <v>5760</v>
      </c>
      <c r="E67" s="1">
        <v>45964</v>
      </c>
      <c r="F67" s="1">
        <v>45787</v>
      </c>
      <c r="J67" s="20">
        <f>IFERROR(IF(TODAY()&gt;=E67,(TODAY()-E67)/I67,0),0)*0</f>
        <v>0</v>
      </c>
      <c r="K67" s="5">
        <v>16477.68</v>
      </c>
      <c r="L67" s="5">
        <v>16462.68</v>
      </c>
      <c r="M67" s="5">
        <f>K67-L67</f>
        <v>15</v>
      </c>
      <c r="N67" s="21">
        <v>4036.8</v>
      </c>
      <c r="O67" s="21">
        <v>4146.11</v>
      </c>
      <c r="P67" s="21">
        <f>O67-N67</f>
        <v>109.30999999999949</v>
      </c>
      <c r="Q67" s="21">
        <f>K67*N67</f>
        <v>66517098.624000005</v>
      </c>
      <c r="R67" s="21">
        <f>L67*O67</f>
        <v>68256082.1748</v>
      </c>
      <c r="S67" s="21">
        <f>R67-Q67</f>
        <v>1738983.5507999882</v>
      </c>
      <c r="T67" t="str">
        <f>IF(R67&lt;= Q67,"No Monetizar","Monetizar")</f>
        <v>Monetizar</v>
      </c>
      <c r="V67" s="1">
        <v>45727</v>
      </c>
      <c r="W67" t="str">
        <v>Alfonso Fonseca A</v>
      </c>
      <c r="X67" t="str">
        <v>Alfonso Fonseca A</v>
      </c>
      <c r="Y67" t="str">
        <v>Se monetiza ya que el valor ofrecido por el banco en cada divisa es superior al valor facturado</v>
      </c>
      <c r="Z67" s="21">
        <f>K67*O67</f>
        <v>68318273.8248</v>
      </c>
      <c r="AA67" s="21">
        <f>Z67-Q67</f>
        <v>1801175.2007999942</v>
      </c>
    </row>
    <row r="68" outlineLevel="1" xml:space="preserve">
      <c r="B68">
        <v>37</v>
      </c>
      <c r="C68" t="str">
        <v>Global Project</v>
      </c>
      <c r="D68">
        <v>5411</v>
      </c>
      <c r="E68" s="1">
        <v>45672</v>
      </c>
      <c r="F68" s="1">
        <v>45732</v>
      </c>
      <c r="J68" s="20">
        <f>IFERROR(IF(TODAY()&gt;=E68,(TODAY()-E68)/I68,0),0)*0</f>
        <v>0</v>
      </c>
      <c r="K68" s="5">
        <f>471.97</f>
        <v>471.97</v>
      </c>
      <c r="L68" s="5">
        <v>470.5980061511092</v>
      </c>
      <c r="M68" s="5">
        <f>K68-L68</f>
        <v>1.3719938488908383</v>
      </c>
      <c r="N68" s="21">
        <v>4414</v>
      </c>
      <c r="O68" s="21">
        <v>4090.77</v>
      </c>
      <c r="P68" s="21">
        <f>O68-N68</f>
        <v>-323.23</v>
      </c>
      <c r="Q68" s="21">
        <f>K68*N68</f>
        <v>2083275.58</v>
      </c>
      <c r="R68" s="21">
        <f>L68*O68</f>
        <v>1925108.205622773</v>
      </c>
      <c r="S68" s="21">
        <f>R68-Q68</f>
        <v>-158167.37437722716</v>
      </c>
      <c r="T68" t="str">
        <f>IF(R68&lt;= Q68,"No Monetizar","Monetizar")</f>
        <v>No Monetizar</v>
      </c>
      <c r="V68" s="1">
        <v>45729</v>
      </c>
      <c r="W68" t="str">
        <v>Alfonso Fonseca A</v>
      </c>
      <c r="X68" t="str">
        <v>Alfonso Fonseca A</v>
      </c>
      <c r="Y68" t="str" xml:space="preserve">
        <v xml:space="preserve">Se ha decidido monetizar estas divisas a pesar de que el valor recibido está por debajo del monto facturado, considerando que la fecha límite para su devolución vencía el próximo domingo 16 de marzo._x000d_
_x000d_
Adicionalmente, al momento del cobro, la TRM se encontraba en $4,414, mientras que en la actualidad la divisa ha registrado disminuciones sustanciales, sin alcanzar siquiera los $4,100, y mucho menos el valor sobre el cual se generó el documento._x000d_
_x000d_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v>
      </c>
      <c r="Z68" s="21">
        <f>K68*O68</f>
        <v>1930720.7169</v>
      </c>
      <c r="AA68" s="21">
        <f>Z68-Q68</f>
        <v>-152554.86309999996</v>
      </c>
    </row>
    <row r="69" outlineLevel="1" xml:space="preserve">
      <c r="B69">
        <v>38</v>
      </c>
      <c r="C69" t="str">
        <v>Global Project</v>
      </c>
      <c r="D69">
        <v>5493</v>
      </c>
      <c r="E69" s="1">
        <v>45672</v>
      </c>
      <c r="F69" s="1">
        <v>45732</v>
      </c>
      <c r="J69" s="20">
        <f>IFERROR(IF(TODAY()&gt;=E69,(TODAY()-E69)/I69,0),0)*0</f>
        <v>0</v>
      </c>
      <c r="K69" s="5">
        <v>2318.06</v>
      </c>
      <c r="L69" s="5">
        <v>2311.3215122542533</v>
      </c>
      <c r="M69" s="5">
        <f>K69-L69</f>
        <v>6.738487745746625</v>
      </c>
      <c r="N69" s="21">
        <v>4418.58</v>
      </c>
      <c r="O69" s="21">
        <f>O68</f>
        <v>4090.77</v>
      </c>
      <c r="P69" s="21">
        <f>O69-N69</f>
        <v>-327.80999999999995</v>
      </c>
      <c r="Q69" s="21">
        <f>K69*N69</f>
        <v>10242533.5548</v>
      </c>
      <c r="R69" s="21">
        <f>L69*O69</f>
        <v>9455084.702684332</v>
      </c>
      <c r="S69" s="21">
        <f>R69-Q69</f>
        <v>-787448.8521156684</v>
      </c>
      <c r="T69" t="str">
        <f>IF(R69&lt;= Q69,"No Monetizar","Monetizar")</f>
        <v>No Monetizar</v>
      </c>
      <c r="V69" s="1">
        <v>45729</v>
      </c>
      <c r="W69" t="str">
        <v>Alfonso Fonseca A</v>
      </c>
      <c r="X69" t="str">
        <v>Alfonso Fonseca A</v>
      </c>
      <c r="Y69" t="str" xml:space="preserve">
        <v xml:space="preserve">Se ha decidido monetizar estas divisas a pesar de que el valor recibido está por debajo del monto facturado, considerando que la fecha límite para su devolución vencía el próximo domingo 16 de marzo._x000d_
_x000d_
Adicionalmente, al momento del cobro, la TRM se encontraba en $4,414, mientras que en la actualidad la divisa ha registrado disminuciones sustanciales, sin alcanzar siquiera los $4,100, y mucho menos el valor sobre el cual se generó el documento._x000d_
_x000d_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v>
      </c>
      <c r="Z69" s="21">
        <f>K69*O69</f>
        <v>9482650.3062</v>
      </c>
      <c r="AA69" s="21">
        <f>Z69-Q69</f>
        <v>-759883.2486000005</v>
      </c>
    </row>
    <row r="70" outlineLevel="1" xml:space="preserve">
      <c r="B70">
        <v>39</v>
      </c>
      <c r="C70" t="str">
        <v>Global Project</v>
      </c>
      <c r="D70">
        <v>5514</v>
      </c>
      <c r="E70" s="1">
        <v>45672</v>
      </c>
      <c r="F70" s="1">
        <v>45732</v>
      </c>
      <c r="J70" s="20">
        <f>IFERROR(IF(TODAY()&gt;=E70,(TODAY()-E70)/I70,0),0)*0</f>
        <v>0</v>
      </c>
      <c r="K70" s="5">
        <v>650</v>
      </c>
      <c r="L70" s="5">
        <v>648.1104815946372</v>
      </c>
      <c r="M70" s="5">
        <f>K70-L70</f>
        <v>1.8895184053627645</v>
      </c>
      <c r="N70" s="21">
        <v>4406.16</v>
      </c>
      <c r="O70" s="21">
        <f>O69</f>
        <v>4090.77</v>
      </c>
      <c r="P70" s="21">
        <f>O70-N70</f>
        <v>-315.3899999999999</v>
      </c>
      <c r="Q70" s="21">
        <f>K70*N70</f>
        <v>2864004</v>
      </c>
      <c r="R70" s="21">
        <f>L70*O70</f>
        <v>2651270.914792894</v>
      </c>
      <c r="S70" s="21">
        <f>R70-Q70</f>
        <v>-212733.08520710608</v>
      </c>
      <c r="T70" t="str">
        <f>IF(R70&lt;= Q70,"No Monetizar","Monetizar")</f>
        <v>No Monetizar</v>
      </c>
      <c r="V70" s="1">
        <v>45729</v>
      </c>
      <c r="W70" t="str">
        <v>Alfonso Fonseca A</v>
      </c>
      <c r="X70" t="str">
        <v>Alfonso Fonseca A</v>
      </c>
      <c r="Y70" t="str" xml:space="preserve">
        <v xml:space="preserve">Se ha decidido monetizar estas divisas a pesar de que el valor recibido está por debajo del monto facturado, considerando que la fecha límite para su devolución vencía el próximo domingo 16 de marzo._x000d_
_x000d_
Adicionalmente, al momento del cobro, la TRM se encontraba en $4,414, mientras que en la actualidad la divisa ha registrado disminuciones sustanciales, sin alcanzar siquiera los $4,100, y mucho menos el valor sobre el cual se generó el documento._x000d_
_x000d_
Esta situación fue presentada al Director General durante la reunión mensual de revisión de flujos de caja, quien evaluó el escenario y determinó que, pese a la pérdida por diferencia en cambio, no había opción de alcanzar el valor de la divisa facturado en noviembre y diciembre, además de que existía una alta probabilidad de que los recursos tuvieran que ser devueltos al cliente.</v>
      </c>
      <c r="Z70" s="21">
        <f>K70*O70</f>
        <v>2659000.5</v>
      </c>
      <c r="AA70" s="21">
        <f>Z70-Q70</f>
        <v>-205003.5</v>
      </c>
    </row>
    <row r="71" outlineLevel="1">
      <c r="B71">
        <v>40</v>
      </c>
      <c r="C71" t="str">
        <v>Action AD</v>
      </c>
      <c r="D71">
        <v>5762</v>
      </c>
      <c r="E71" s="1">
        <v>45733</v>
      </c>
      <c r="F71" s="1">
        <v>45793</v>
      </c>
      <c r="J71" s="20">
        <f>IFERROR(IF(TODAY()&gt;=E71,(TODAY()-E71)/I71,0),0)*0</f>
        <v>0</v>
      </c>
      <c r="K71" s="5">
        <v>3149.17</v>
      </c>
      <c r="L71" s="5">
        <v>3149.17</v>
      </c>
      <c r="M71" s="5">
        <f>K71-L71</f>
        <v>0</v>
      </c>
      <c r="N71" s="21">
        <v>4101.96</v>
      </c>
      <c r="O71" s="21">
        <v>4121.65</v>
      </c>
      <c r="P71" s="21">
        <f>O71-N71</f>
        <v>19.6899999999996</v>
      </c>
      <c r="Q71" s="21">
        <f>K71*N71</f>
        <v>12917769.373200001</v>
      </c>
      <c r="R71" s="21">
        <f>L71*O71</f>
        <v>12979776.530499998</v>
      </c>
      <c r="S71" s="21">
        <f>R71-Q71</f>
        <v>62007.157299997285</v>
      </c>
      <c r="T71" t="str">
        <f>IF(R71&lt;= Q71,"No Monetizar","Monetizar")</f>
        <v>Monetizar</v>
      </c>
      <c r="V71" s="1">
        <v>45733</v>
      </c>
      <c r="W71" t="str">
        <v>Alfonso Fonseca A</v>
      </c>
      <c r="X71" t="str">
        <v>Alfonso Fonseca A</v>
      </c>
      <c r="Y71" t="str">
        <v>Se monetiza ya que el valor ofrecido por el banco en cada divisa es superior al valor facturado</v>
      </c>
      <c r="Z71" s="21">
        <f>K71*O71</f>
        <v>12979776.530499998</v>
      </c>
      <c r="AA71" s="21">
        <f>Z71-Q71</f>
        <v>62007.157299997285</v>
      </c>
    </row>
    <row r="72" outlineLevel="1">
      <c r="B72">
        <v>41</v>
      </c>
      <c r="C72" t="str">
        <v>Remofisrt</v>
      </c>
      <c r="D72">
        <v>5736</v>
      </c>
      <c r="E72" s="1">
        <v>45735</v>
      </c>
      <c r="F72" s="1">
        <v>45795</v>
      </c>
      <c r="J72" s="20">
        <f>IFERROR(IF(TODAY()&gt;=E72,(TODAY()-E72)/I72,0),0)*0</f>
        <v>0</v>
      </c>
      <c r="K72" s="5">
        <v>1120.94</v>
      </c>
      <c r="L72" s="5">
        <v>1120.94</v>
      </c>
      <c r="M72" s="5">
        <f>K72-L72</f>
        <v>0</v>
      </c>
      <c r="N72" s="21">
        <v>3850.81</v>
      </c>
      <c r="O72" s="21">
        <v>4130.05</v>
      </c>
      <c r="P72" s="21">
        <f>O72-N72</f>
        <v>279.24000000000024</v>
      </c>
      <c r="Q72" s="21">
        <f>K72*N72</f>
        <v>4316526.9614</v>
      </c>
      <c r="R72" s="21">
        <f>L72*O72</f>
        <v>4629538.247</v>
      </c>
      <c r="S72" s="21">
        <f>R72-Q72</f>
        <v>313011.28560000006</v>
      </c>
      <c r="T72" t="str">
        <f>IF(R72&lt;= Q72,"No Monetizar","Monetizar")</f>
        <v>Monetizar</v>
      </c>
      <c r="V72" s="1">
        <v>45735</v>
      </c>
      <c r="W72" t="str">
        <v>Alfonso Fonseca A</v>
      </c>
      <c r="X72" t="str">
        <v>Alfonso Fonseca A</v>
      </c>
      <c r="Y72" t="str">
        <v>Se monetiza ya que el valor ofrecido por el banco en cada divisa es superior al valor facturado</v>
      </c>
      <c r="Z72" s="21">
        <f>K72*O72</f>
        <v>4629538.247</v>
      </c>
      <c r="AA72" s="21">
        <f>Z72-Q72</f>
        <v>313011.28560000006</v>
      </c>
    </row>
    <row r="73" outlineLevel="1">
      <c r="B73">
        <v>42</v>
      </c>
      <c r="C73" t="str">
        <v>Marketing Doctors</v>
      </c>
      <c r="D73">
        <v>5769</v>
      </c>
      <c r="E73" s="1">
        <v>45735</v>
      </c>
      <c r="F73" s="1">
        <v>45795</v>
      </c>
      <c r="J73" s="20">
        <f>IFERROR(IF(TODAY()&gt;=E73,(TODAY()-E73)/I73,0),0)*0</f>
        <v>0</v>
      </c>
      <c r="K73" s="5">
        <v>2513.44</v>
      </c>
      <c r="L73" s="5">
        <v>2513.44</v>
      </c>
      <c r="M73" s="5">
        <f>K73-L73</f>
        <v>0</v>
      </c>
      <c r="N73" s="21">
        <v>4010.08</v>
      </c>
      <c r="O73" s="21">
        <v>4177.22</v>
      </c>
      <c r="P73" s="21">
        <f>O73-N73</f>
        <v>167.14000000000033</v>
      </c>
      <c r="Q73" s="21">
        <f>K73*N73</f>
        <v>10079095.4752</v>
      </c>
      <c r="R73" s="21">
        <f>L73*O73</f>
        <v>10499191.836800002</v>
      </c>
      <c r="S73" s="21">
        <f>R73-Q73</f>
        <v>420096.3616000023</v>
      </c>
      <c r="T73" t="str">
        <f>IF(R73&lt;= Q73,"No Monetizar","Monetizar")</f>
        <v>Monetizar</v>
      </c>
      <c r="V73" s="1">
        <v>45736</v>
      </c>
      <c r="W73" t="str">
        <v>Alfonso Fonseca A</v>
      </c>
      <c r="X73" t="str">
        <v>Alfonso Fonseca A</v>
      </c>
      <c r="Y73" t="str">
        <v>Se monetiza ya que el valor ofrecido por el banco en cada divisa es superior al valor facturado</v>
      </c>
      <c r="Z73" s="21">
        <f>K73*O73</f>
        <v>10499191.836800002</v>
      </c>
      <c r="AA73" s="21">
        <f>Z73-Q73</f>
        <v>420096.3616000023</v>
      </c>
    </row>
    <row r="74" outlineLevel="1">
      <c r="B74">
        <v>43</v>
      </c>
      <c r="C74" t="str">
        <v>Nazdar ink technologies</v>
      </c>
      <c r="D74">
        <v>5771</v>
      </c>
      <c r="E74" s="1">
        <v>45736</v>
      </c>
      <c r="F74" s="1">
        <v>45796</v>
      </c>
      <c r="J74" s="20">
        <f>IFERROR(IF(TODAY()&gt;=E74,(TODAY()-E74)/I74,0),0)*0</f>
        <v>0</v>
      </c>
      <c r="K74" s="5">
        <v>13839.49</v>
      </c>
      <c r="L74" s="5">
        <v>13824.49</v>
      </c>
      <c r="M74" s="5">
        <f>K74-L74</f>
        <v>15</v>
      </c>
      <c r="N74" s="21">
        <v>4010.08</v>
      </c>
      <c r="O74" s="21">
        <v>4171.5</v>
      </c>
      <c r="P74" s="21">
        <f>O74-N74</f>
        <v>161.42000000000007</v>
      </c>
      <c r="Q74" s="21">
        <f>K74*N74</f>
        <v>55497462.0592</v>
      </c>
      <c r="R74" s="21">
        <f>L74*O74</f>
        <v>57668860.035</v>
      </c>
      <c r="S74" s="21">
        <f>R74-Q74</f>
        <v>2171397.9758</v>
      </c>
      <c r="T74" t="str">
        <f>IF(R74&lt;= Q74,"No Monetizar","Monetizar")</f>
        <v>Monetizar</v>
      </c>
      <c r="V74" s="1">
        <v>45736</v>
      </c>
      <c r="W74" t="str">
        <v>Alfonso Fonseca A</v>
      </c>
      <c r="X74" t="str">
        <v>Alfonso Fonseca A</v>
      </c>
      <c r="Y74" t="str">
        <v>Se monetiza ya que el valor ofrecido por el banco en cada divisa es superior al valor facturado</v>
      </c>
      <c r="Z74" s="21">
        <f>K74*O74</f>
        <v>57731432.535</v>
      </c>
      <c r="AA74" s="21">
        <f>Z74-Q74</f>
        <v>2233970.4758</v>
      </c>
    </row>
    <row r="75" outlineLevel="1">
      <c r="B75">
        <v>44</v>
      </c>
      <c r="C75" t="str">
        <v>Endrington</v>
      </c>
      <c r="D75">
        <v>5776</v>
      </c>
      <c r="E75" s="1">
        <v>45737</v>
      </c>
      <c r="F75" s="1">
        <v>45797</v>
      </c>
      <c r="J75" s="20">
        <f>IFERROR(IF(TODAY()&gt;=E75,(TODAY()-E75)/I75,0),0)*0</f>
        <v>0</v>
      </c>
      <c r="K75" s="5">
        <v>20615.23</v>
      </c>
      <c r="L75" s="5">
        <v>20615.23</v>
      </c>
      <c r="M75" s="5">
        <f>K75-L75</f>
        <v>0</v>
      </c>
      <c r="N75" s="21">
        <v>3990.08</v>
      </c>
      <c r="O75" s="21">
        <v>4159.1</v>
      </c>
      <c r="P75" s="21">
        <f>O75-N75</f>
        <v>169.02000000000044</v>
      </c>
      <c r="Q75" s="21">
        <f>K75*N75</f>
        <v>82256416.91839999</v>
      </c>
      <c r="R75" s="21">
        <f>L75*O75</f>
        <v>85740803.09300001</v>
      </c>
      <c r="S75" s="21">
        <f>R75-Q75</f>
        <v>3484386.17460002</v>
      </c>
      <c r="T75" t="str">
        <f>IF(R75&lt;= Q75,"No Monetizar","Monetizar")</f>
        <v>Monetizar</v>
      </c>
      <c r="V75" s="1">
        <v>45737</v>
      </c>
      <c r="W75" t="str">
        <v>Alfonso Fonseca A</v>
      </c>
      <c r="X75" t="str">
        <v>Alfonso Fonseca A</v>
      </c>
      <c r="Y75" t="str">
        <v>Se monetiza ya que el valor ofrecido por el banco en cada divisa es superior al valor facturado</v>
      </c>
      <c r="Z75" s="21">
        <f>K75*O75</f>
        <v>85740803.09300001</v>
      </c>
      <c r="AA75" s="21">
        <f>Z75-Q75</f>
        <v>3484386.17460002</v>
      </c>
    </row>
    <row r="76" outlineLevel="1">
      <c r="B76">
        <v>45</v>
      </c>
      <c r="C76" t="str">
        <v>Global Project</v>
      </c>
      <c r="D76">
        <v>5521</v>
      </c>
      <c r="E76" s="1">
        <v>45707</v>
      </c>
      <c r="F76" s="1">
        <v>45767</v>
      </c>
      <c r="J76" s="20">
        <f>IFERROR(IF(TODAY()&gt;=E76,(TODAY()-E76)/I76,0),0)*0</f>
        <v>0</v>
      </c>
      <c r="K76" s="5">
        <v>650</v>
      </c>
      <c r="L76" s="5">
        <v>645</v>
      </c>
      <c r="M76" s="5">
        <f>K76-L76</f>
        <v>5</v>
      </c>
      <c r="N76" s="21">
        <v>4424.56</v>
      </c>
      <c r="O76" s="21">
        <v>4130.6</v>
      </c>
      <c r="P76" s="21">
        <f>O76-N76</f>
        <v>-293.96000000000004</v>
      </c>
      <c r="Q76" s="21">
        <f>K76*N76</f>
        <v>2875964.0000000005</v>
      </c>
      <c r="R76" s="21">
        <f>L76*O76</f>
        <v>2664237.0000000005</v>
      </c>
      <c r="S76" s="21">
        <f>R76-Q76</f>
        <v>-211727</v>
      </c>
      <c r="T76" t="str">
        <f>IF(R76&lt;= Q76,"No Monetizar","Monetizar")</f>
        <v>No Monetizar</v>
      </c>
      <c r="V76" s="1">
        <v>45737</v>
      </c>
      <c r="W76" t="str">
        <v>Alfonso Fonseca A</v>
      </c>
      <c r="X76" t="str">
        <v>Eduard Forero</v>
      </c>
      <c r="Y76" t="str">
        <v>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v>
      </c>
      <c r="Z76" s="21">
        <f>K76*O76</f>
        <v>2684890.0000000005</v>
      </c>
      <c r="AA76" s="21">
        <f>Z76-Q76</f>
        <v>-191074</v>
      </c>
    </row>
    <row r="77" outlineLevel="1">
      <c r="B77">
        <v>46</v>
      </c>
      <c r="C77" t="str">
        <v>Safeguard LLC Payroll</v>
      </c>
      <c r="D77" t="str">
        <v>5600 al 5609</v>
      </c>
      <c r="E77" s="1">
        <v>45723</v>
      </c>
      <c r="F77" s="1">
        <v>45783</v>
      </c>
      <c r="J77" s="20">
        <f>IFERROR(IF(TODAY()&gt;=E77,(TODAY()-E77)/I77,0),0)*0</f>
        <v>0</v>
      </c>
      <c r="K77" s="5">
        <v>6120.339999999999</v>
      </c>
      <c r="L77" s="5">
        <f>6120.34-10</f>
        <v>6110.34</v>
      </c>
      <c r="M77" s="5">
        <f>K77-L77</f>
        <v>9.99999999999909</v>
      </c>
      <c r="N77" s="21">
        <v>4375.86</v>
      </c>
      <c r="O77" s="21">
        <f>O76</f>
        <v>4130.6</v>
      </c>
      <c r="P77" s="21">
        <f>O77-N77</f>
        <v>-245.2599999999993</v>
      </c>
      <c r="Q77" s="21">
        <f>K77*N77</f>
        <v>26781750.992399994</v>
      </c>
      <c r="R77" s="21">
        <f>L77*O77</f>
        <v>25239370.404000003</v>
      </c>
      <c r="S77" s="21">
        <f>R77-Q77</f>
        <v>-1542380.5883999914</v>
      </c>
      <c r="T77" t="str">
        <f>IF(R77&lt;= Q77,"No Monetizar","Monetizar")</f>
        <v>No Monetizar</v>
      </c>
      <c r="V77" s="1">
        <v>45737</v>
      </c>
      <c r="W77" t="str">
        <v>Alfonso Fonseca A</v>
      </c>
      <c r="X77" t="str">
        <v>Eduard Forero</v>
      </c>
      <c r="Y77" t="str">
        <v>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v>
      </c>
      <c r="Z77" s="21">
        <f>K77*O77</f>
        <v>25280676.404</v>
      </c>
      <c r="AA77" s="21">
        <f>Z77-Q77</f>
        <v>-1501074.5883999951</v>
      </c>
    </row>
    <row r="78" outlineLevel="1">
      <c r="B78">
        <v>47</v>
      </c>
      <c r="C78" t="str">
        <v>Safeguard LLC Payroll</v>
      </c>
      <c r="D78">
        <v>5599</v>
      </c>
      <c r="E78" s="1">
        <v>45723</v>
      </c>
      <c r="F78" s="1">
        <v>45783</v>
      </c>
      <c r="J78" s="20">
        <f>IFERROR(IF(TODAY()&gt;=E78,(TODAY()-E78)/I78,0),0)*0</f>
        <v>0</v>
      </c>
      <c r="K78" s="5">
        <v>955.43</v>
      </c>
      <c r="L78" s="5">
        <v>955.43</v>
      </c>
      <c r="M78" s="5">
        <f>K78-L78</f>
        <v>0</v>
      </c>
      <c r="N78" s="21">
        <v>4375.86</v>
      </c>
      <c r="O78" s="21">
        <f>O77</f>
        <v>4130.6</v>
      </c>
      <c r="P78" s="21">
        <f>O78-N78</f>
        <v>-245.2599999999993</v>
      </c>
      <c r="Q78" s="21">
        <f>K78*N78</f>
        <v>4180827.9197999993</v>
      </c>
      <c r="R78" s="21">
        <f>L78*O78</f>
        <v>3946499.1580000003</v>
      </c>
      <c r="S78" s="21">
        <f>R78-Q78</f>
        <v>-234328.76179999905</v>
      </c>
      <c r="T78" t="str">
        <f>IF(R78&lt;= Q78,"No Monetizar","Monetizar")</f>
        <v>No Monetizar</v>
      </c>
      <c r="V78" s="1">
        <v>45737</v>
      </c>
      <c r="W78" t="str">
        <v>Alfonso Fonseca A</v>
      </c>
      <c r="X78" t="str">
        <v>Eduard Forero</v>
      </c>
      <c r="Y78" t="str">
        <v>Se ha decidido monetizar estas divisas a pesar de que el valor recibido está por debajo del monto facturado, dado que se requieren recursos de manera inmediata para realizar el préstamo a PM . Inicialmente, se le planteó a Eduard la posibilidad de monetizar estos fondos ayer a una tasa de 4,170, lo que representaba una pérdida de $1.770.452. Sin embargo, no se autorizo  la operación . Hoy, debido a la urgencia de disponer de estos recursos, se autorizó la negociación, pero la tasa obtenida fue de 4,130.60, lo que resultó en una pérdida por diferencia en cambio de $1.988.436.</v>
      </c>
      <c r="Z78" s="21">
        <f>K78*O78</f>
        <v>3946499.1580000003</v>
      </c>
      <c r="AA78" s="21">
        <f>Z78-Q78</f>
        <v>-234328.76179999905</v>
      </c>
    </row>
    <row r="79" outlineLevel="1">
      <c r="B79">
        <v>48</v>
      </c>
      <c r="C79" t="str">
        <v>Remofisrt</v>
      </c>
      <c r="D79">
        <v>5768</v>
      </c>
      <c r="E79" s="1">
        <v>45737</v>
      </c>
      <c r="F79" s="1">
        <v>45797</v>
      </c>
      <c r="J79" s="20">
        <f>IFERROR(IF(TODAY()&gt;=E79,(TODAY()-E79)/I79,0),0)*0</f>
        <v>0</v>
      </c>
      <c r="K79" s="5">
        <v>185122.81</v>
      </c>
      <c r="L79" s="5">
        <v>185122.81</v>
      </c>
      <c r="M79" s="5">
        <f>K79-L79</f>
        <v>0</v>
      </c>
      <c r="N79" s="21">
        <v>3996.8</v>
      </c>
      <c r="O79" s="21">
        <v>4106</v>
      </c>
      <c r="P79" s="21">
        <f>O79-N79</f>
        <v>109.19999999999982</v>
      </c>
      <c r="Q79" s="21">
        <f>K79*N79</f>
        <v>739898847.008</v>
      </c>
      <c r="R79" s="21">
        <f>L79*O79</f>
        <v>760114257.86</v>
      </c>
      <c r="S79" s="21">
        <f>R79-Q79</f>
        <v>20215410.851999998</v>
      </c>
      <c r="T79" t="str">
        <f>IF(R79&lt;= Q79,"No Monetizar","Monetizar")</f>
        <v>Monetizar</v>
      </c>
      <c r="V79" s="1">
        <v>45741</v>
      </c>
      <c r="W79" t="str">
        <v>Alfonso Fonseca A</v>
      </c>
      <c r="X79" t="str">
        <v>Alfonso Fonseca A</v>
      </c>
      <c r="Y79" t="str">
        <v>Se monetiza ya que el valor ofrecido por el banco en cada divisa es superior al valor facturado</v>
      </c>
      <c r="Z79" s="21">
        <f>K79*O79</f>
        <v>760114257.86</v>
      </c>
      <c r="AA79" s="21">
        <f>Z79-Q79</f>
        <v>20215410.851999998</v>
      </c>
    </row>
    <row r="80" outlineLevel="1">
      <c r="B80">
        <v>49</v>
      </c>
      <c r="C80" t="str">
        <v xml:space="preserve">Neo </v>
      </c>
      <c r="D80">
        <v>5772</v>
      </c>
      <c r="E80" s="1">
        <v>45741</v>
      </c>
      <c r="F80" s="1">
        <v>45801</v>
      </c>
      <c r="J80" s="20">
        <f>IFERROR(IF(TODAY()&gt;=E80,(TODAY()-E80)/I80,0),0)*0</f>
        <v>0</v>
      </c>
      <c r="K80" s="5">
        <v>22511.27</v>
      </c>
      <c r="L80" s="5">
        <v>22465.27</v>
      </c>
      <c r="M80" s="5">
        <f>K80-L80</f>
        <v>46</v>
      </c>
      <c r="N80" s="21">
        <v>3980.08</v>
      </c>
      <c r="O80" s="21">
        <v>4103</v>
      </c>
      <c r="P80" s="21">
        <f>O80-N80</f>
        <v>122.92000000000007</v>
      </c>
      <c r="Q80" s="21">
        <f>K80*N80</f>
        <v>89596655.5016</v>
      </c>
      <c r="R80" s="21">
        <f>L80*O80</f>
        <v>92175002.81</v>
      </c>
      <c r="S80" s="21">
        <f>R80-Q80</f>
        <v>2578347.308400005</v>
      </c>
      <c r="T80" t="str">
        <f>IF(R80&lt;= Q80,"No Monetizar","Monetizar")</f>
        <v>Monetizar</v>
      </c>
      <c r="V80" s="1">
        <v>45741</v>
      </c>
      <c r="W80" t="str">
        <v>Alfonso Fonseca A</v>
      </c>
      <c r="X80" t="str">
        <v>Alfonso Fonseca A</v>
      </c>
      <c r="Y80" t="str">
        <v>Se monetiza ya que el valor ofrecido por el banco en cada divisa es superior al valor facturado</v>
      </c>
      <c r="Z80" s="21">
        <f>K80*O80</f>
        <v>92363740.81</v>
      </c>
      <c r="AA80" s="21">
        <f>Z80-Q80</f>
        <v>2767085.308400005</v>
      </c>
    </row>
    <row r="81" outlineLevel="1">
      <c r="B81">
        <v>50</v>
      </c>
      <c r="C81" t="str">
        <v>Oncehub</v>
      </c>
      <c r="D81">
        <v>5787</v>
      </c>
      <c r="E81" s="1">
        <v>45740</v>
      </c>
      <c r="F81" s="1">
        <v>45069</v>
      </c>
      <c r="J81" s="20">
        <f>IFERROR(IF(TODAY()&gt;=E81,(TODAY()-E81)/I81,0),0)*0</f>
        <v>0</v>
      </c>
      <c r="K81" s="5">
        <v>2996.07</v>
      </c>
      <c r="L81" s="5">
        <v>2976.07</v>
      </c>
      <c r="M81" s="5">
        <f>K81-L81</f>
        <v>20</v>
      </c>
      <c r="N81" s="21">
        <v>4060.08</v>
      </c>
      <c r="O81" s="21">
        <v>4100</v>
      </c>
      <c r="P81" s="21">
        <f>O81-N81</f>
        <v>39.92000000000007</v>
      </c>
      <c r="Q81" s="21">
        <f>K81*N81</f>
        <v>12164283.8856</v>
      </c>
      <c r="R81" s="21">
        <f>L81*O81</f>
        <v>12201887</v>
      </c>
      <c r="S81" s="21">
        <f>R81-Q81</f>
        <v>37603.11439999938</v>
      </c>
      <c r="T81" t="str">
        <f>IF(R81&lt;= Q81,"No Monetizar","Monetizar")</f>
        <v>Monetizar</v>
      </c>
      <c r="V81" s="1">
        <v>45741</v>
      </c>
      <c r="W81" t="str">
        <v>Alfonso Fonseca A</v>
      </c>
      <c r="X81" t="str">
        <v>Alfonso Fonseca A</v>
      </c>
      <c r="Y81" t="str">
        <v>Se monetiza ya que el valor ofrecido por el banco en cada divisa es superior al valor facturado</v>
      </c>
      <c r="Z81" s="21">
        <f>K81*O81</f>
        <v>12283887</v>
      </c>
      <c r="AA81" s="21">
        <f>Z81-Q81</f>
        <v>119603.11439999938</v>
      </c>
    </row>
    <row r="82" ht="30" customHeight="1" outlineLevel="1">
      <c r="B82">
        <v>51</v>
      </c>
      <c r="C82" t="str">
        <v>Hong kong yonyou xinfushe cloud technology co</v>
      </c>
      <c r="D82">
        <v>5775</v>
      </c>
      <c r="E82" s="1">
        <v>45741</v>
      </c>
      <c r="F82" s="1">
        <v>45801</v>
      </c>
      <c r="J82" s="20">
        <f>IFERROR(IF(TODAY()&gt;=E82,(TODAY()-E82)/I82,0),0)*0</f>
        <v>0</v>
      </c>
      <c r="K82" s="5">
        <v>14866.66</v>
      </c>
      <c r="L82" s="5">
        <v>14866.7</v>
      </c>
      <c r="M82" s="5">
        <f>K82-L82</f>
        <v>-0.040000000000873115</v>
      </c>
      <c r="N82" s="21">
        <v>4010.08</v>
      </c>
      <c r="O82" s="21">
        <v>4098</v>
      </c>
      <c r="P82" s="21">
        <f>O82-N82</f>
        <v>87.92000000000007</v>
      </c>
      <c r="Q82" s="21">
        <f>K82*N82</f>
        <v>59616495.932799995</v>
      </c>
      <c r="R82" s="21">
        <f>L82*O82</f>
        <v>60923736.6</v>
      </c>
      <c r="S82" s="21">
        <f>R82-Q82</f>
        <v>1307240.6672000065</v>
      </c>
      <c r="T82" t="str">
        <f>IF(R82&lt;= Q82,"No Monetizar","Monetizar")</f>
        <v>Monetizar</v>
      </c>
      <c r="V82" s="1">
        <v>45741</v>
      </c>
      <c r="W82" t="str">
        <v>Alfonso Fonseca A</v>
      </c>
      <c r="X82" t="str">
        <v>Alfonso Fonseca A</v>
      </c>
      <c r="Y82" t="str">
        <v>Se monetiza ya que el valor ofrecido por el banco en cada divisa es superior al valor facturado</v>
      </c>
      <c r="Z82" s="21">
        <f>K82*O82</f>
        <v>60923572.68</v>
      </c>
      <c r="AA82" s="21">
        <f>Z82-Q82</f>
        <v>1307076.7472000048</v>
      </c>
    </row>
    <row r="83" outlineLevel="1">
      <c r="B83">
        <v>52</v>
      </c>
      <c r="C83" t="str">
        <v>Flexco</v>
      </c>
      <c r="D83">
        <v>5770</v>
      </c>
      <c r="E83" s="1">
        <v>45741</v>
      </c>
      <c r="F83" s="1">
        <v>45801</v>
      </c>
      <c r="J83" s="20">
        <f>IFERROR(IF(TODAY()&gt;=E83,(TODAY()-E83)/I83,0),0)*0</f>
        <v>0</v>
      </c>
      <c r="K83" s="5">
        <v>3777.61</v>
      </c>
      <c r="L83" s="5">
        <v>3767.61</v>
      </c>
      <c r="M83" s="5">
        <f>K83-L83</f>
        <v>10</v>
      </c>
      <c r="N83" s="21">
        <v>4010.08</v>
      </c>
      <c r="O83" s="21">
        <v>4096</v>
      </c>
      <c r="P83" s="21">
        <f>O83-N83</f>
        <v>85.92000000000007</v>
      </c>
      <c r="Q83" s="21">
        <f>K83*N83</f>
        <v>15148518.3088</v>
      </c>
      <c r="R83" s="21">
        <f>L83*O83+6028.44</f>
        <v>15438159</v>
      </c>
      <c r="S83" s="21">
        <f>R83-Q83</f>
        <v>289640.6911999993</v>
      </c>
      <c r="T83" t="str">
        <f>IF(R83&lt;= Q83,"No Monetizar","Monetizar")</f>
        <v>Monetizar</v>
      </c>
      <c r="V83" s="1">
        <v>45742</v>
      </c>
      <c r="W83" t="str">
        <v>Alfonso Fonseca A</v>
      </c>
      <c r="X83" t="str">
        <v>Alfonso Fonseca A</v>
      </c>
      <c r="Y83" t="str">
        <v>Se monetiza ya que el valor ofrecido por el banco en cada divisa es superior al valor facturado</v>
      </c>
      <c r="Z83" s="21">
        <f>K83*O83</f>
        <v>15473090.56</v>
      </c>
      <c r="AA83" s="21">
        <f>Z83-Q83</f>
        <v>324572.2511999998</v>
      </c>
    </row>
    <row r="84" outlineLevel="1">
      <c r="B84">
        <v>53</v>
      </c>
      <c r="C84" t="str">
        <v>Insider</v>
      </c>
      <c r="D84">
        <v>5816</v>
      </c>
      <c r="E84" s="1">
        <v>45747</v>
      </c>
      <c r="F84" s="1">
        <v>45807</v>
      </c>
      <c r="J84" s="20">
        <f>IFERROR(IF(TODAY()&gt;=E84,(TODAY()-E84)/I84,0),0)*0</f>
        <v>0</v>
      </c>
      <c r="K84" s="5">
        <v>98661.98</v>
      </c>
      <c r="L84" s="5">
        <v>98646.98</v>
      </c>
      <c r="M84" s="5">
        <f>K84-L84</f>
        <v>15</v>
      </c>
      <c r="N84" s="21">
        <v>4036.8</v>
      </c>
      <c r="O84" s="21">
        <v>4168</v>
      </c>
      <c r="P84" s="21">
        <f>O84-N84</f>
        <v>131.19999999999982</v>
      </c>
      <c r="Q84" s="21">
        <f>K84*N84</f>
        <v>398278680.864</v>
      </c>
      <c r="R84" s="21">
        <f>L84*O84</f>
        <v>411160612.64</v>
      </c>
      <c r="S84" s="21">
        <f>R84-Q84</f>
        <v>12881931.775999963</v>
      </c>
      <c r="T84" t="str">
        <f>IF(R84&lt;= Q84,"No Monetizar","Monetizar")</f>
        <v>Monetizar</v>
      </c>
      <c r="V84" s="1">
        <v>45747</v>
      </c>
      <c r="W84" t="str">
        <v>Alfonso Fonseca A</v>
      </c>
      <c r="X84" t="str">
        <v>Alfonso Fonseca A</v>
      </c>
      <c r="Y84" t="str">
        <v>Se monetiza ya que el valor ofrecido por el banco en cada divisa es superior al valor facturado</v>
      </c>
      <c r="Z84" s="21">
        <f>K84*O84</f>
        <v>411223132.64</v>
      </c>
      <c r="AA84" s="21">
        <f>Z84-Q84</f>
        <v>12944451.775999963</v>
      </c>
    </row>
    <row r="85" outlineLevel="1">
      <c r="B85">
        <v>54</v>
      </c>
      <c r="C85" t="str">
        <v>Hemmebarsch GMBH &amp; Co KG</v>
      </c>
      <c r="D85">
        <v>5774</v>
      </c>
      <c r="E85" s="1">
        <v>45749</v>
      </c>
      <c r="F85" s="1">
        <v>45809</v>
      </c>
      <c r="J85" s="20">
        <f>IFERROR(IF(TODAY()&gt;=E85,(TODAY()-E85)/I85,0),0)*0</f>
        <v>0</v>
      </c>
      <c r="K85" s="5">
        <v>1162.6</v>
      </c>
      <c r="L85" s="5">
        <v>1162.6</v>
      </c>
      <c r="M85" s="5">
        <f>K85-L85</f>
        <v>0</v>
      </c>
      <c r="N85" s="21">
        <v>3865.07</v>
      </c>
      <c r="O85" s="21">
        <v>4138</v>
      </c>
      <c r="P85" s="21">
        <f>O85-N85</f>
        <v>272.92999999999984</v>
      </c>
      <c r="Q85" s="21">
        <f>K85*N85</f>
        <v>4493530.382</v>
      </c>
      <c r="R85" s="21">
        <f>L85*O85</f>
        <v>4810838.8</v>
      </c>
      <c r="S85" s="21">
        <f>R85-Q85</f>
        <v>317308.4179999996</v>
      </c>
      <c r="T85" t="str">
        <f>IF(R85&lt;= Q85,"No Monetizar","Monetizar")</f>
        <v>Monetizar</v>
      </c>
      <c r="V85" s="1">
        <v>45749</v>
      </c>
      <c r="W85" t="str">
        <v>Alfonso Fonseca A</v>
      </c>
      <c r="X85" t="str">
        <v>Alfonso Fonseca A</v>
      </c>
      <c r="Y85" t="str">
        <v>Se monetiza ya que el valor ofrecido por el banco en cada divisa es superior al valor facturado</v>
      </c>
      <c r="Z85" s="21">
        <f>K85*O85</f>
        <v>4810838.8</v>
      </c>
      <c r="AA85" s="21">
        <f>Z85-Q85</f>
        <v>317308.4179999996</v>
      </c>
    </row>
    <row r="86" outlineLevel="1" xml:space="preserve">
      <c r="B86">
        <v>55</v>
      </c>
      <c r="C86" t="str">
        <v>Safeguard LTD Payroll</v>
      </c>
      <c r="D86" t="str">
        <v>5509-5510-5511-5512-5513</v>
      </c>
      <c r="E86" s="1">
        <v>45709</v>
      </c>
      <c r="F86" s="1">
        <v>45769</v>
      </c>
      <c r="J86" s="20">
        <f>IFERROR(IF(TODAY()&gt;=E86,(TODAY()-E86)/I86,0),0)*0</f>
        <v>0</v>
      </c>
      <c r="K86" s="5">
        <v>5954.34</v>
      </c>
      <c r="L86" s="5">
        <v>5954.34</v>
      </c>
      <c r="M86" s="5">
        <f>K86-L86</f>
        <v>0</v>
      </c>
      <c r="N86" s="21">
        <v>4406.16</v>
      </c>
      <c r="O86" s="21">
        <v>4265</v>
      </c>
      <c r="P86" s="21">
        <f>O86-N86</f>
        <v>-141.15999999999985</v>
      </c>
      <c r="Q86" s="21">
        <f>K86*N86</f>
        <v>26235774.7344</v>
      </c>
      <c r="R86" s="21">
        <f>L86*O86</f>
        <v>25395260.1</v>
      </c>
      <c r="S86" s="21">
        <f>R86-Q86</f>
        <v>-840514.6343999989</v>
      </c>
      <c r="T86" t="str">
        <f>IF(R86&lt;= Q86,"No Monetizar","Monetizar")</f>
        <v>No Monetizar</v>
      </c>
      <c r="V86" s="1">
        <v>45751</v>
      </c>
      <c r="W86" t="str">
        <v>Alfonso Fonseca A</v>
      </c>
      <c r="X86" t="str">
        <v>Eduard Forero</v>
      </c>
      <c r="Y86" t="str" xml:space="preserve">
        <v xml:space="preserve">Se ha decidido monetizar estas divisas a pesar de que el valor recibido está por debajo del monto facturado, considerando que la fecha límite para su devolución vencía el próximo Martes 22 de abril._x000d_
_x000d_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_x000d_
_x000d_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v>
      </c>
      <c r="Z86" s="21">
        <f>K86*O86</f>
        <v>25395260.1</v>
      </c>
      <c r="AA86" s="21">
        <f>Z86-Q86</f>
        <v>-840514.6343999989</v>
      </c>
    </row>
    <row r="87" outlineLevel="1" xml:space="preserve">
      <c r="B87">
        <v>56</v>
      </c>
      <c r="C87" t="str">
        <v>Safeguard LTD Panamá</v>
      </c>
      <c r="D87">
        <v>5418</v>
      </c>
      <c r="E87" s="1">
        <v>45709</v>
      </c>
      <c r="F87" s="1">
        <v>45769</v>
      </c>
      <c r="J87" s="20">
        <f>IFERROR(IF(TODAY()&gt;=E87,(TODAY()-E87)/I87,0),0)*0</f>
        <v>0</v>
      </c>
      <c r="K87" s="5">
        <v>2634.12</v>
      </c>
      <c r="L87" s="5">
        <v>2634.12</v>
      </c>
      <c r="M87" s="5">
        <f>K87-L87</f>
        <v>0</v>
      </c>
      <c r="N87" s="21">
        <v>4344.55</v>
      </c>
      <c r="O87" s="21">
        <f>O86</f>
        <v>4265</v>
      </c>
      <c r="P87" s="21">
        <f>O87-N87</f>
        <v>-79.55000000000018</v>
      </c>
      <c r="Q87" s="21">
        <f>K87*N87</f>
        <v>11444066.046</v>
      </c>
      <c r="R87" s="21">
        <f>L87*O87</f>
        <v>11234521.799999999</v>
      </c>
      <c r="S87" s="21">
        <f>R87-Q87</f>
        <v>-209544.2460000012</v>
      </c>
      <c r="T87" t="str">
        <f>IF(R87&lt;= Q87,"No Monetizar","Monetizar")</f>
        <v>No Monetizar</v>
      </c>
      <c r="V87" s="1">
        <v>45751</v>
      </c>
      <c r="W87" t="str">
        <v>Alfonso Fonseca A</v>
      </c>
      <c r="X87" t="str">
        <v>Eduard Forero</v>
      </c>
      <c r="Y87" t="str" xml:space="preserve">
        <v xml:space="preserve">Se ha decidido monetizar estas divisas a pesar de que el valor recibido está por debajo del monto facturado, considerando que la fecha límite para su devolución vencía el próximo Martes 22 de abril._x000d_
_x000d_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_x000d_
_x000d_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v>
      </c>
      <c r="Z87" s="21">
        <f>K87*O87</f>
        <v>11234521.799999999</v>
      </c>
      <c r="AA87" s="21">
        <f>Z87-Q87</f>
        <v>-209544.2460000012</v>
      </c>
    </row>
    <row r="88" outlineLevel="1" xml:space="preserve">
      <c r="B88">
        <v>57</v>
      </c>
      <c r="C88" t="str">
        <v>Safeguard LLC Payroll</v>
      </c>
      <c r="D88" t="str">
        <v>5497 a 5508</v>
      </c>
      <c r="E88" s="1">
        <v>45709</v>
      </c>
      <c r="F88" s="1">
        <v>45769</v>
      </c>
      <c r="J88" s="20">
        <f>IFERROR(IF(TODAY()&gt;=E88,(TODAY()-E88)/I88,0),0)*0</f>
        <v>0</v>
      </c>
      <c r="K88" s="5">
        <v>7836.92</v>
      </c>
      <c r="L88" s="5">
        <f>7836.92-10</f>
        <v>7826.92</v>
      </c>
      <c r="M88" s="5">
        <f>K88-L88</f>
        <v>10</v>
      </c>
      <c r="N88" s="21">
        <v>4406.16</v>
      </c>
      <c r="O88" s="21">
        <v>4266.5</v>
      </c>
      <c r="P88" s="21">
        <f>O88-N88</f>
        <v>-139.65999999999985</v>
      </c>
      <c r="Q88" s="21">
        <f>K88*N88</f>
        <v>34530723.4272</v>
      </c>
      <c r="R88" s="21">
        <f>L88*O88</f>
        <v>33393554.18</v>
      </c>
      <c r="S88" s="21">
        <f>R88-Q88</f>
        <v>-1137169.2471999973</v>
      </c>
      <c r="T88" t="str">
        <f>IF(R88&lt;= Q88,"No Monetizar","Monetizar")</f>
        <v>No Monetizar</v>
      </c>
      <c r="V88" s="1">
        <v>45751</v>
      </c>
      <c r="W88" t="str">
        <v>Alfonso Fonseca A</v>
      </c>
      <c r="X88" t="str">
        <v>Eduard Forero</v>
      </c>
      <c r="Y88" t="str" xml:space="preserve">
        <v xml:space="preserve">Se ha decidido monetizar estas divisas a pesar de que el valor recibido está por debajo del monto facturado, considerando que la fecha límite para su devolución vencía el próximo Martes 22 de abril._x000d_
_x000d_
Adicionalmente, al momento del cobro, la TRM se encontraba en $4,406,16, mientras que en la actualidad la divisa ha registrado disminuciones sustanciales, sin alcanzar esa equivalencia frente a lo facturado, se ingresa hoy 04 de abril aprovechando la coyuntura  del mercado debido al alza de arandeceles por parte EE.UU a sus socios comerciales  que genero la devaluación del dolar y caida en las bolsas y se logro un valor de $ 4,265 . el valor que se pierde en esta transacción entre lo facturado y monetizado fue de 3% con un total de mesnos $ 2.187.228,13  _x000d_
_x000d_
Esta situación fue presentada al Director General durante la reunión mensual de revisión de flujos de caja, quien evaluó el escenario y determinó que, pese a la pérdida por diferencia en cambio, no había opción de alcanzar el valor de la divisa facturado , además de que existía una alta probabilidad de que los recursos tuvieran que ser devueltos al cliente.</v>
      </c>
      <c r="Z88" s="21">
        <f>K88*O88</f>
        <v>33436219.18</v>
      </c>
      <c r="AA88" s="21">
        <f>Z88-Q88</f>
        <v>-1094504.2471999973</v>
      </c>
    </row>
    <row r="89" outlineLevel="1">
      <c r="B89">
        <v>58</v>
      </c>
      <c r="C89" t="str">
        <v>Global Project</v>
      </c>
      <c r="D89">
        <v>5679</v>
      </c>
      <c r="E89" s="1">
        <v>45742</v>
      </c>
      <c r="F89" s="1">
        <v>45802</v>
      </c>
      <c r="J89" s="20">
        <f>IFERROR(IF(TODAY()&gt;=E89,(TODAY()-E89)/I89,0),0)</f>
        <v>0</v>
      </c>
      <c r="K89" s="5">
        <v>650</v>
      </c>
      <c r="L89" s="5">
        <v>645</v>
      </c>
      <c r="M89" s="5">
        <f>K89-L89</f>
        <v>5</v>
      </c>
      <c r="N89" s="21">
        <v>4150</v>
      </c>
      <c r="O89" s="21">
        <v>4273.3</v>
      </c>
      <c r="P89" s="21">
        <f>O89-N89</f>
        <v>123.30000000000018</v>
      </c>
      <c r="Q89" s="21">
        <f>K89*N89</f>
        <v>2697500</v>
      </c>
      <c r="R89" s="21">
        <f>L89*O89</f>
        <v>2756278.5</v>
      </c>
      <c r="S89" s="21">
        <f>R89-Q89</f>
        <v>58778.5</v>
      </c>
      <c r="T89" t="str">
        <f>IF(R89&lt;= Q89,"No Monetizar","Monetizar")</f>
        <v>Monetizar</v>
      </c>
      <c r="V89" s="1">
        <v>45751</v>
      </c>
      <c r="W89" t="str">
        <v>Alfonso Fonseca A</v>
      </c>
      <c r="X89" t="str">
        <v>Alfonso Fonseca A</v>
      </c>
      <c r="Y89" t="str">
        <v>Se monetiza ya que el valor ofrecido por el banco en cada divisa es superior al valor facturado</v>
      </c>
      <c r="Z89" s="21">
        <f>K89*O89</f>
        <v>2777645</v>
      </c>
      <c r="AA89" s="21">
        <f>Z89-Q89</f>
        <v>80145</v>
      </c>
    </row>
    <row r="90" outlineLevel="1">
      <c r="B90">
        <v>59</v>
      </c>
      <c r="C90" t="str">
        <v>Safeguard LTD Payroll</v>
      </c>
      <c r="D90" t="str">
        <v>5610 a la 5614</v>
      </c>
      <c r="E90" s="1">
        <v>45723</v>
      </c>
      <c r="F90" s="1">
        <v>45783</v>
      </c>
      <c r="J90" s="20">
        <f>IFERROR(IF(TODAY()&gt;=E90,(TODAY()-E90)/I90,0),0)</f>
        <v>0</v>
      </c>
      <c r="K90" s="5">
        <v>6572.35</v>
      </c>
      <c r="L90" s="5">
        <v>6572.35</v>
      </c>
      <c r="M90" s="5">
        <f>K90-L90</f>
        <v>0</v>
      </c>
      <c r="N90" s="21">
        <v>4375.86</v>
      </c>
      <c r="O90" s="21">
        <v>4397.02</v>
      </c>
      <c r="P90" s="21">
        <f>O90-N90</f>
        <v>21.160000000000764</v>
      </c>
      <c r="Q90" s="21">
        <f>K90*N90</f>
        <v>28759683.471</v>
      </c>
      <c r="R90" s="21">
        <f>L90*O90</f>
        <v>28898754.397000004</v>
      </c>
      <c r="S90" s="21">
        <f>R90-Q90</f>
        <v>139070.92600000277</v>
      </c>
      <c r="T90" t="str">
        <f>IF(R90&lt;= Q90,"No Monetizar","Monetizar")</f>
        <v>Monetizar</v>
      </c>
      <c r="V90" s="1">
        <v>45754</v>
      </c>
      <c r="W90" t="str">
        <v>Alfonso Fonseca A</v>
      </c>
      <c r="X90" t="str">
        <v>Alfonso Fonseca A</v>
      </c>
      <c r="Y90" t="str">
        <v>Se monetiza ya que el valor ofrecido por el banco en cada divisa es superior al valor facturado</v>
      </c>
      <c r="Z90" s="21">
        <f>K90*O90</f>
        <v>28898754.397000004</v>
      </c>
      <c r="AA90" s="21">
        <f>Z90-Q90</f>
        <v>139070.92600000277</v>
      </c>
    </row>
    <row r="91" outlineLevel="1">
      <c r="B91">
        <v>60</v>
      </c>
      <c r="C91" t="str">
        <v>Global Project</v>
      </c>
      <c r="D91">
        <v>5616</v>
      </c>
      <c r="E91" s="1">
        <v>45728</v>
      </c>
      <c r="F91" s="1">
        <v>45788</v>
      </c>
      <c r="J91" s="20">
        <f>IFERROR(IF(TODAY()&gt;=E91,(TODAY()-E91)/I91,0),0)</f>
        <v>0</v>
      </c>
      <c r="K91" s="5">
        <v>1927.79</v>
      </c>
      <c r="L91" s="5">
        <f>1927.79-5</f>
        <v>1922.79</v>
      </c>
      <c r="M91" s="5">
        <f>K91-L91</f>
        <v>5</v>
      </c>
      <c r="N91" s="21">
        <v>4401.98</v>
      </c>
      <c r="O91" s="21">
        <v>4417.43</v>
      </c>
      <c r="P91" s="21">
        <f>O91-N91</f>
        <v>15.450000000000728</v>
      </c>
      <c r="Q91" s="21">
        <f>K91*N91</f>
        <v>8486093.0242</v>
      </c>
      <c r="R91" s="21">
        <f>L91*O91</f>
        <v>8493790.229700001</v>
      </c>
      <c r="S91" s="21">
        <f>R91-Q91</f>
        <v>7697.205500001088</v>
      </c>
      <c r="T91" t="str">
        <f>IF(R91&lt;= Q91,"No Monetizar","Monetizar")</f>
        <v>Monetizar</v>
      </c>
      <c r="V91" s="1">
        <v>45756</v>
      </c>
      <c r="W91" t="str">
        <v>Alfonso Fonseca A</v>
      </c>
      <c r="X91" t="str">
        <v>Alfonso Fonseca A</v>
      </c>
      <c r="Y91" t="str">
        <v>Se monetiza ya que el valor ofrecido por el banco en cada divisa es superior al valor facturado</v>
      </c>
      <c r="Z91" s="21">
        <f>K91*O91</f>
        <v>8515877.379700001</v>
      </c>
      <c r="AA91" s="21">
        <f>Z91-Q91</f>
        <v>29784.35550000146</v>
      </c>
    </row>
    <row r="92" outlineLevel="1">
      <c r="B92">
        <v>61</v>
      </c>
      <c r="C92" t="str">
        <v>Global Project</v>
      </c>
      <c r="D92">
        <v>5634</v>
      </c>
      <c r="E92" s="1">
        <v>45728</v>
      </c>
      <c r="F92" s="1">
        <v>45788</v>
      </c>
      <c r="J92" s="20">
        <f>IFERROR(IF(TODAY()&gt;=E92,(TODAY()-E92)/I92,0),0)</f>
        <v>0</v>
      </c>
      <c r="K92" s="5">
        <v>1405.81</v>
      </c>
      <c r="L92" s="5">
        <f>1405.81-5</f>
        <v>1400.81</v>
      </c>
      <c r="M92" s="5">
        <f>K92-L92</f>
        <v>5</v>
      </c>
      <c r="N92" s="21">
        <v>4401.98</v>
      </c>
      <c r="O92" s="21">
        <f>O91</f>
        <v>4417.43</v>
      </c>
      <c r="P92" s="21">
        <f>O92-N92</f>
        <v>15.450000000000728</v>
      </c>
      <c r="Q92" s="21">
        <f>K92*N92</f>
        <v>6188347.503799999</v>
      </c>
      <c r="R92" s="21">
        <f>L92*O92</f>
        <v>6187980.1183</v>
      </c>
      <c r="S92" s="21">
        <f>R92-Q92</f>
        <v>-367.3854999989271</v>
      </c>
      <c r="T92" t="str">
        <f>IF(R92&lt;= Q92,"No Monetizar","Monetizar")</f>
        <v>No Monetizar</v>
      </c>
      <c r="V92" s="1">
        <v>45756</v>
      </c>
      <c r="W92" t="str">
        <v>Alfonso Fonseca A</v>
      </c>
      <c r="X92" t="str">
        <v>Alfonso Fonseca A</v>
      </c>
      <c r="Y92" t="str">
        <v>Se monetiza ya que el valor ofrecido por el banco en cada divisa es superior al valor facturado</v>
      </c>
      <c r="Z92" s="21">
        <f>K92*O92</f>
        <v>6210067.268300001</v>
      </c>
      <c r="AA92" s="21">
        <f>Z92-Q92</f>
        <v>21719.764500001445</v>
      </c>
    </row>
    <row r="93" outlineLevel="1">
      <c r="B93">
        <v>62</v>
      </c>
      <c r="C93" t="str">
        <v>Hemmebarsch GMBH &amp; Co KG</v>
      </c>
      <c r="D93">
        <v>5773</v>
      </c>
      <c r="E93" s="1">
        <v>45758</v>
      </c>
      <c r="F93" s="1">
        <v>45818</v>
      </c>
      <c r="J93" s="20">
        <f>IFERROR(IF(TODAY()&gt;=E93,(TODAY()-E93)/I93,0),0)*0</f>
        <v>0</v>
      </c>
      <c r="K93" s="5">
        <v>1860.99</v>
      </c>
      <c r="L93" s="5">
        <v>1860.99</v>
      </c>
      <c r="M93" s="5">
        <f>K93-L93</f>
        <v>0</v>
      </c>
      <c r="N93" s="21">
        <v>4010.08</v>
      </c>
      <c r="O93" s="21">
        <v>4333</v>
      </c>
      <c r="P93" s="21">
        <f>O93-N93</f>
        <v>322.9200000000001</v>
      </c>
      <c r="Q93" s="21">
        <f>K93*N93</f>
        <v>7462718.7792</v>
      </c>
      <c r="R93" s="21">
        <f>L93*O93</f>
        <v>8063669.67</v>
      </c>
      <c r="S93" s="21">
        <f>R93-Q93</f>
        <v>600950.8908000002</v>
      </c>
      <c r="T93" t="str">
        <f>IF(R93&lt;= Q93,"No Monetizar","Monetizar")</f>
        <v>Monetizar</v>
      </c>
      <c r="V93" s="1">
        <v>45758</v>
      </c>
      <c r="W93" t="str">
        <v>Alfonso Fonseca A</v>
      </c>
      <c r="X93" t="str">
        <v>Alfonso Fonseca A</v>
      </c>
      <c r="Y93" t="str">
        <v>Se monetiza ya que el valor ofrecido por el banco en cada divisa es superior al valor facturado</v>
      </c>
      <c r="Z93" s="21">
        <f>K93*O93</f>
        <v>8063669.67</v>
      </c>
      <c r="AA93" s="21">
        <f>Z93-Q93</f>
        <v>600950.8908000002</v>
      </c>
    </row>
    <row r="94" outlineLevel="1">
      <c r="B94">
        <v>63</v>
      </c>
      <c r="C94" t="str">
        <v>Action AD</v>
      </c>
      <c r="D94">
        <v>5848</v>
      </c>
      <c r="E94" s="1">
        <v>45761</v>
      </c>
      <c r="F94" s="1">
        <v>45821</v>
      </c>
      <c r="J94" s="20">
        <f>IFERROR(IF(TODAY()&gt;=E94,(TODAY()-E94)/I94,0),0)*0</f>
        <v>0</v>
      </c>
      <c r="K94" s="5">
        <v>3028.43</v>
      </c>
      <c r="L94" s="5">
        <v>3028.43</v>
      </c>
      <c r="M94" s="5">
        <f>K94-L94</f>
        <v>0</v>
      </c>
      <c r="N94" s="21">
        <v>4316.69</v>
      </c>
      <c r="O94" s="21">
        <v>4325</v>
      </c>
      <c r="P94" s="21">
        <f>O94-N94</f>
        <v>8.3100000000004</v>
      </c>
      <c r="Q94" s="21">
        <f>K94*N94</f>
        <v>13072793.496699998</v>
      </c>
      <c r="R94" s="21">
        <f>L94*O94</f>
        <v>13097959.75</v>
      </c>
      <c r="S94" s="21">
        <f>R94-Q94</f>
        <v>25166.253300001845</v>
      </c>
      <c r="T94" t="str">
        <f>IF(R94&lt;= Q94,"No Monetizar","Monetizar")</f>
        <v>Monetizar</v>
      </c>
      <c r="V94" s="1">
        <v>45762</v>
      </c>
      <c r="W94" t="str">
        <v>Alfonso Fonseca A</v>
      </c>
      <c r="X94" t="str">
        <v>Alfonso Fonseca A</v>
      </c>
      <c r="Y94" t="str">
        <v>Se monetiza ya que el valor ofrecido por el banco en cada divisa es superior al valor facturado</v>
      </c>
      <c r="Z94" s="21">
        <f>K94*O94</f>
        <v>13097959.75</v>
      </c>
      <c r="AA94" s="21">
        <f>Z94-Q94</f>
        <v>25166.253300001845</v>
      </c>
    </row>
    <row r="95" outlineLevel="1">
      <c r="B95">
        <v>64</v>
      </c>
      <c r="C95" t="str">
        <v>Global Project</v>
      </c>
      <c r="D95">
        <v>5737</v>
      </c>
      <c r="E95" s="1">
        <v>45762</v>
      </c>
      <c r="F95" s="1">
        <v>45822</v>
      </c>
      <c r="J95" s="20">
        <f>IFERROR(IF(TODAY()&gt;=E95,(TODAY()-E95)/I95,0),0)*0</f>
        <v>0</v>
      </c>
      <c r="K95" s="5">
        <v>2725.4</v>
      </c>
      <c r="L95" s="5">
        <v>2715.4</v>
      </c>
      <c r="M95" s="5">
        <f>K95-L95</f>
        <v>10</v>
      </c>
      <c r="N95" s="21">
        <v>4123.1</v>
      </c>
      <c r="O95" s="21">
        <v>4335</v>
      </c>
      <c r="P95" s="21">
        <f>O95-N95</f>
        <v>211.89999999999964</v>
      </c>
      <c r="Q95" s="21">
        <f>K95*N95</f>
        <v>11237096.740000002</v>
      </c>
      <c r="R95" s="21">
        <f>L95*O95</f>
        <v>11771259</v>
      </c>
      <c r="S95" s="21">
        <f>R95-Q95</f>
        <v>534162.2599999979</v>
      </c>
      <c r="T95" t="str">
        <f>IF(R95&lt;= Q95,"No Monetizar","Monetizar")</f>
        <v>Monetizar</v>
      </c>
      <c r="V95" s="1">
        <v>45762</v>
      </c>
      <c r="W95" t="str">
        <v>Alfonso Fonseca A</v>
      </c>
      <c r="X95" t="str">
        <v>Alfonso Fonseca A</v>
      </c>
      <c r="Y95" t="str">
        <v>Se monetiza ya que el valor ofrecido por el banco en cada divisa es superior al valor facturado</v>
      </c>
      <c r="Z95" s="21">
        <f>K95*O95</f>
        <v>11814609</v>
      </c>
      <c r="AA95" s="21">
        <f>Z95-Q95</f>
        <v>577512.2599999979</v>
      </c>
    </row>
    <row r="96" outlineLevel="1">
      <c r="B96">
        <v>65</v>
      </c>
      <c r="C96" t="str">
        <v>Hemmebarsch GMBH &amp; Co KG</v>
      </c>
      <c r="D96">
        <v>5714</v>
      </c>
      <c r="E96" s="1">
        <v>45763</v>
      </c>
      <c r="F96" s="1">
        <v>45823</v>
      </c>
      <c r="J96" s="20">
        <f>IFERROR(IF(TODAY()&gt;=E96,(TODAY()-E96)/I96,0),0)*0</f>
        <v>0</v>
      </c>
      <c r="K96" s="5">
        <v>2596.03</v>
      </c>
      <c r="L96" s="5">
        <v>2596.03</v>
      </c>
      <c r="M96" s="5">
        <f>K96-L96</f>
        <v>0</v>
      </c>
      <c r="N96" s="21">
        <v>3865.07</v>
      </c>
      <c r="O96" s="21">
        <v>4272</v>
      </c>
      <c r="P96" s="21">
        <f>O96-N96</f>
        <v>406.92999999999984</v>
      </c>
      <c r="Q96" s="21">
        <f>K96*N96</f>
        <v>10033837.672100002</v>
      </c>
      <c r="R96" s="21">
        <f>L96*O96</f>
        <v>11090240.16</v>
      </c>
      <c r="S96" s="21">
        <f>R96-Q96</f>
        <v>1056402.4878999982</v>
      </c>
      <c r="T96" t="str">
        <f>IF(R96&lt;= Q96,"No Monetizar","Monetizar")</f>
        <v>Monetizar</v>
      </c>
      <c r="V96" s="1">
        <v>45762</v>
      </c>
      <c r="W96" t="str">
        <v>Alfonso Fonseca A</v>
      </c>
      <c r="X96" t="str">
        <v>Alfonso Fonseca A</v>
      </c>
      <c r="Y96" t="str">
        <v>Se monetiza ya que el valor ofrecido por el banco en cada divisa es superior al valor facturado</v>
      </c>
      <c r="Z96" s="21">
        <f>K96*O96</f>
        <v>11090240.16</v>
      </c>
      <c r="AA96" s="21">
        <f>Z96-Q96</f>
        <v>1056402.4878999982</v>
      </c>
    </row>
    <row r="97" outlineLevel="1">
      <c r="B97">
        <v>66</v>
      </c>
      <c r="C97" t="str">
        <v>Remofisrt</v>
      </c>
      <c r="D97">
        <v>5835</v>
      </c>
      <c r="E97" s="1">
        <v>45764</v>
      </c>
      <c r="F97" s="1">
        <v>45824</v>
      </c>
      <c r="J97" s="20">
        <f>IFERROR(IF(TODAY()&gt;=E97,(TODAY()-E97)/I97,0),0)*0</f>
        <v>0</v>
      </c>
      <c r="K97" s="5">
        <v>15689.99</v>
      </c>
      <c r="L97" s="5">
        <v>15689.99</v>
      </c>
      <c r="M97" s="5">
        <f>K97-L97</f>
        <v>0</v>
      </c>
      <c r="N97" s="21">
        <v>4029.24</v>
      </c>
      <c r="O97" s="21">
        <v>4247.56</v>
      </c>
      <c r="P97" s="21">
        <f>O97-N97</f>
        <v>218.32000000000062</v>
      </c>
      <c r="Q97" s="21">
        <f>K97*N97</f>
        <v>63218735.3076</v>
      </c>
      <c r="R97" s="21">
        <f>L97*O97</f>
        <v>66644173.9244</v>
      </c>
      <c r="S97" s="21">
        <f>R97-Q97</f>
        <v>3425438.6168000028</v>
      </c>
      <c r="T97" t="str">
        <f>IF(R97&lt;= Q97,"No Monetizar","Monetizar")</f>
        <v>Monetizar</v>
      </c>
      <c r="V97" s="1">
        <v>45768</v>
      </c>
      <c r="W97" t="str">
        <v>Alfonso Fonseca A</v>
      </c>
      <c r="X97" t="str">
        <v>Alfonso Fonseca A</v>
      </c>
      <c r="Y97" t="str">
        <v>Se monetiza ya que el valor ofrecido por el banco en cada divisa es superior al valor facturado</v>
      </c>
      <c r="Z97" s="21">
        <f>K97*O97</f>
        <v>66644173.9244</v>
      </c>
      <c r="AA97" s="21">
        <f>Z97-Q97</f>
        <v>3425438.6168000028</v>
      </c>
    </row>
    <row r="98" outlineLevel="1">
      <c r="B98">
        <v>67</v>
      </c>
      <c r="C98" t="str">
        <v>Remofisrt</v>
      </c>
      <c r="D98">
        <v>5836</v>
      </c>
      <c r="E98" s="1">
        <v>45764</v>
      </c>
      <c r="F98" s="1">
        <v>45824</v>
      </c>
      <c r="J98" s="20">
        <f>IFERROR(IF(TODAY()&gt;=E98,(TODAY()-E98)/I98,0),0)*0</f>
        <v>0</v>
      </c>
      <c r="K98" s="5">
        <v>264.97</v>
      </c>
      <c r="L98" s="5">
        <v>264.97</v>
      </c>
      <c r="M98" s="5">
        <f>K98-L98</f>
        <v>0</v>
      </c>
      <c r="N98" s="21">
        <v>4029.24</v>
      </c>
      <c r="O98" s="21">
        <v>4247.56</v>
      </c>
      <c r="P98" s="21">
        <f>O98-N98</f>
        <v>218.32000000000062</v>
      </c>
      <c r="Q98" s="21">
        <f>K98*N98</f>
        <v>1067627.7228</v>
      </c>
      <c r="R98" s="21">
        <f>L98*O98</f>
        <v>1125475.9732000001</v>
      </c>
      <c r="S98" s="21">
        <f>R98-Q98</f>
        <v>57848.25040000002</v>
      </c>
      <c r="T98" t="str">
        <f>IF(R98&lt;= Q98,"No Monetizar","Monetizar")</f>
        <v>Monetizar</v>
      </c>
      <c r="V98" s="1">
        <v>45768</v>
      </c>
      <c r="W98" t="str">
        <v>Alfonso Fonseca A</v>
      </c>
      <c r="X98" t="str">
        <v>Alfonso Fonseca A</v>
      </c>
      <c r="Y98" t="str">
        <v>Se monetiza ya que el valor ofrecido por el banco en cada divisa es superior al valor facturado</v>
      </c>
      <c r="Z98" s="21">
        <f>K98*O98</f>
        <v>1125475.9732000001</v>
      </c>
      <c r="AA98" s="21">
        <f>Z98-Q98</f>
        <v>57848.25040000002</v>
      </c>
    </row>
    <row r="99" outlineLevel="1">
      <c r="B99">
        <v>68</v>
      </c>
      <c r="C99" t="str">
        <v>Flexco</v>
      </c>
      <c r="D99">
        <v>5860</v>
      </c>
      <c r="E99" s="1">
        <v>45765</v>
      </c>
      <c r="F99" s="1">
        <v>45825</v>
      </c>
      <c r="J99" s="20">
        <f>IFERROR(IF(TODAY()&gt;=E99,(TODAY()-E99)/I99,0),0)*0</f>
        <v>0</v>
      </c>
      <c r="K99" s="5">
        <v>11210.98</v>
      </c>
      <c r="L99" s="5">
        <v>11195.98</v>
      </c>
      <c r="M99" s="5">
        <f>K99-L99</f>
        <v>15</v>
      </c>
      <c r="N99" s="21">
        <v>4186.17</v>
      </c>
      <c r="O99" s="21">
        <v>4249.01</v>
      </c>
      <c r="P99" s="21">
        <f>O99-N99</f>
        <v>62.840000000000146</v>
      </c>
      <c r="Q99" s="21">
        <f>K99*N99</f>
        <v>46931068.1466</v>
      </c>
      <c r="R99" s="21">
        <f>L99*O99</f>
        <v>47571830.9798</v>
      </c>
      <c r="S99" s="21">
        <f>R99-Q99</f>
        <v>640762.8332000002</v>
      </c>
      <c r="T99" t="str">
        <f>IF(R99&lt;= Q99,"No Monetizar","Monetizar")</f>
        <v>Monetizar</v>
      </c>
      <c r="V99" s="1">
        <v>45768</v>
      </c>
      <c r="W99" t="str">
        <v>Alfonso Fonseca A</v>
      </c>
      <c r="X99" t="str">
        <v>Alfonso Fonseca A</v>
      </c>
      <c r="Y99" t="str">
        <v>Se monetiza ya que el valor ofrecido por el banco en cada divisa es superior al valor facturado</v>
      </c>
      <c r="Z99" s="21">
        <f>K99*O99</f>
        <v>47635566.1298</v>
      </c>
      <c r="AA99" s="21">
        <f>Z99-Q99</f>
        <v>704497.9831999987</v>
      </c>
    </row>
    <row r="100" outlineLevel="1">
      <c r="B100">
        <v>69</v>
      </c>
      <c r="C100" t="str">
        <v>Advantage</v>
      </c>
      <c r="D100">
        <v>5837</v>
      </c>
      <c r="E100" s="1">
        <v>45765</v>
      </c>
      <c r="F100" s="1">
        <v>45825</v>
      </c>
      <c r="J100" s="20">
        <f>IFERROR(IF(TODAY()&gt;=E100,(TODAY()-E100)/I100,0),0)*0</f>
        <v>0</v>
      </c>
      <c r="K100" s="5">
        <v>775.77</v>
      </c>
      <c r="L100" s="5">
        <v>775.77</v>
      </c>
      <c r="M100" s="5">
        <f>K100-L100</f>
        <v>0</v>
      </c>
      <c r="N100" s="21">
        <v>4049.24</v>
      </c>
      <c r="O100" s="21">
        <v>4253.5</v>
      </c>
      <c r="P100" s="21">
        <f>O100-N100</f>
        <v>204.26000000000022</v>
      </c>
      <c r="Q100" s="21">
        <f>K100*N100</f>
        <v>3141278.9148</v>
      </c>
      <c r="R100" s="21">
        <f>L100*O100</f>
        <v>3299737.695</v>
      </c>
      <c r="S100" s="21">
        <f>R100-Q100</f>
        <v>158458.78019999992</v>
      </c>
      <c r="T100" t="str">
        <f>IF(R100&lt;= Q100,"No Monetizar","Monetizar")</f>
        <v>Monetizar</v>
      </c>
      <c r="V100" s="1">
        <v>45768</v>
      </c>
      <c r="W100" t="str">
        <v>Alfonso Fonseca A</v>
      </c>
      <c r="X100" t="str">
        <v>Alfonso Fonseca A</v>
      </c>
      <c r="Y100" t="str">
        <v>Se monetiza ya que el valor ofrecido por el banco en cada divisa es superior al valor facturado</v>
      </c>
      <c r="Z100" s="21">
        <f>K100*O100</f>
        <v>3299737.695</v>
      </c>
      <c r="AA100" s="21">
        <f>Z100-Q100</f>
        <v>158458.78019999992</v>
      </c>
    </row>
    <row r="101" outlineLevel="1">
      <c r="B101">
        <v>70</v>
      </c>
      <c r="C101" t="str">
        <v>Marketing Doctors</v>
      </c>
      <c r="D101">
        <v>5859</v>
      </c>
      <c r="E101" s="1">
        <v>45768</v>
      </c>
      <c r="F101" s="1">
        <v>45828</v>
      </c>
      <c r="J101" s="20">
        <f>IFERROR(IF(TODAY()&gt;=E101,(TODAY()-E101)/I101,0),0)*0</f>
        <v>0</v>
      </c>
      <c r="K101" s="5">
        <v>2410.68</v>
      </c>
      <c r="L101" s="5">
        <v>2410.68</v>
      </c>
      <c r="M101" s="5">
        <f>K101-L101</f>
        <v>0</v>
      </c>
      <c r="N101" s="21">
        <v>4186.17</v>
      </c>
      <c r="O101" s="21">
        <v>4273.91</v>
      </c>
      <c r="P101" s="21">
        <f>O101-N101</f>
        <v>87.73999999999978</v>
      </c>
      <c r="Q101" s="21">
        <f>K101*N101</f>
        <v>10091516.295599999</v>
      </c>
      <c r="R101" s="21">
        <f>L101*O101</f>
        <v>10303029.3588</v>
      </c>
      <c r="S101" s="21">
        <f>R101-Q101</f>
        <v>211513.06320000067</v>
      </c>
      <c r="T101" t="str">
        <f>IF(R101&lt;= Q101,"No Monetizar","Monetizar")</f>
        <v>Monetizar</v>
      </c>
      <c r="V101" s="1">
        <v>45769</v>
      </c>
      <c r="W101" t="str">
        <v>Alfonso Fonseca A</v>
      </c>
      <c r="X101" t="str">
        <v>Alfonso Fonseca A</v>
      </c>
      <c r="Y101" t="str">
        <v>Se monetiza ya que el valor ofrecido por el banco en cada divisa es superior al valor facturado</v>
      </c>
      <c r="Z101" s="21">
        <f>K101*O101</f>
        <v>10303029.3588</v>
      </c>
      <c r="AA101" s="21">
        <f>Z101-Q101</f>
        <v>211513.06320000067</v>
      </c>
    </row>
    <row r="102" outlineLevel="1">
      <c r="B102">
        <v>71</v>
      </c>
      <c r="C102" t="str">
        <v>Remofisrt</v>
      </c>
      <c r="D102">
        <v>5833</v>
      </c>
      <c r="E102" s="1">
        <v>45768</v>
      </c>
      <c r="F102" s="1">
        <v>45828</v>
      </c>
      <c r="J102" s="20">
        <f>IFERROR(IF(TODAY()&gt;=E102,(TODAY()-E102)/I102,0),0)*0</f>
        <v>0</v>
      </c>
      <c r="K102" s="5">
        <f>7876.1-827.72</f>
        <v>7048.38</v>
      </c>
      <c r="L102" s="5">
        <v>7048.38</v>
      </c>
      <c r="M102" s="5">
        <f>K102-L102</f>
        <v>0</v>
      </c>
      <c r="N102" s="21">
        <v>3996.8</v>
      </c>
      <c r="O102" s="21">
        <v>4273.91</v>
      </c>
      <c r="P102" s="21">
        <f>O102-N102</f>
        <v>277.1099999999997</v>
      </c>
      <c r="Q102" s="21">
        <f>K102*N102</f>
        <v>28170965.184</v>
      </c>
      <c r="R102" s="21">
        <f>L102*O102</f>
        <v>30124141.7658</v>
      </c>
      <c r="S102" s="21">
        <f>R102-Q102</f>
        <v>1953176.5817999989</v>
      </c>
      <c r="T102" t="str">
        <f>IF(R102&lt;= Q102,"No Monetizar","Monetizar")</f>
        <v>Monetizar</v>
      </c>
      <c r="V102" s="1">
        <v>45769</v>
      </c>
      <c r="W102" t="str">
        <v>Alfonso Fonseca A</v>
      </c>
      <c r="X102" t="str">
        <v>Alfonso Fonseca A</v>
      </c>
      <c r="Y102" t="str">
        <v>Se monetiza ya que el valor ofrecido por el banco en cada divisa es superior al valor facturado</v>
      </c>
      <c r="Z102" s="21">
        <f>K102*O102</f>
        <v>30124141.7658</v>
      </c>
      <c r="AA102" s="21">
        <f>Z102-Q102</f>
        <v>1953176.5817999989</v>
      </c>
    </row>
    <row r="103" outlineLevel="1">
      <c r="B103">
        <v>72</v>
      </c>
      <c r="C103" t="str">
        <v>Safeguard LLC Payroll</v>
      </c>
      <c r="D103" t="str">
        <v>5658 a la 5669</v>
      </c>
      <c r="E103" s="1">
        <v>45768</v>
      </c>
      <c r="F103" s="1">
        <v>45828</v>
      </c>
      <c r="J103" s="20">
        <f>IFERROR(IF(TODAY()&gt;=E103,(TODAY()-E103)/I103,0),0)*0</f>
        <v>0</v>
      </c>
      <c r="K103" s="5">
        <v>22529.600000000002</v>
      </c>
      <c r="L103" s="5">
        <v>22514.6</v>
      </c>
      <c r="M103" s="5">
        <f>K103-L103</f>
        <v>15.000000000003638</v>
      </c>
      <c r="N103" s="21">
        <v>4170.01</v>
      </c>
      <c r="O103" s="21">
        <v>4278.2</v>
      </c>
      <c r="P103" s="21">
        <f>O103-N103</f>
        <v>108.1899999999996</v>
      </c>
      <c r="Q103" s="21">
        <f>K103*N103</f>
        <v>93948657.29600002</v>
      </c>
      <c r="R103" s="21">
        <f>L103*O103</f>
        <v>96321961.71999998</v>
      </c>
      <c r="S103" s="21">
        <f>R103-Q103</f>
        <v>2373304.423999965</v>
      </c>
      <c r="T103" t="str">
        <f>IF(R103&lt;= Q103,"No Monetizar","Monetizar")</f>
        <v>Monetizar</v>
      </c>
      <c r="V103" s="1">
        <v>45769</v>
      </c>
      <c r="W103" t="str">
        <v>Alfonso Fonseca A</v>
      </c>
      <c r="X103" t="str">
        <v>Alfonso Fonseca A</v>
      </c>
      <c r="Y103" t="str">
        <v>Se monetiza ya que el valor ofrecido por el banco en cada divisa es superior al valor facturado</v>
      </c>
      <c r="Z103" s="21">
        <f>K103*O103</f>
        <v>96386134.72</v>
      </c>
      <c r="AA103" s="21">
        <f>Z103-Q103</f>
        <v>2437477.42399998</v>
      </c>
    </row>
    <row r="104" outlineLevel="1">
      <c r="B104">
        <v>73</v>
      </c>
      <c r="C104" t="str">
        <v>Safeguard LTD Payroll</v>
      </c>
      <c r="D104" t="str">
        <v>5670 a la 5674</v>
      </c>
      <c r="E104" s="1">
        <v>45768</v>
      </c>
      <c r="F104" s="1">
        <v>45828</v>
      </c>
      <c r="J104" s="20">
        <f>IFERROR(IF(TODAY()&gt;=E104,(TODAY()-E104)/I104,0),0)*0</f>
        <v>0</v>
      </c>
      <c r="K104" s="5">
        <v>19607.61</v>
      </c>
      <c r="L104" s="5">
        <v>19607.61</v>
      </c>
      <c r="M104" s="5">
        <f>K104-L104</f>
        <v>0</v>
      </c>
      <c r="N104" s="21">
        <v>4170.01</v>
      </c>
      <c r="O104" s="21">
        <v>4278.2</v>
      </c>
      <c r="P104" s="21">
        <f>O104-N104</f>
        <v>108.1899999999996</v>
      </c>
      <c r="Q104" s="21">
        <f>K104*N104</f>
        <v>81763929.77610001</v>
      </c>
      <c r="R104" s="21">
        <f>L104*O104</f>
        <v>83885277.102</v>
      </c>
      <c r="S104" s="21">
        <f>R104-Q104</f>
        <v>2121347.3258999884</v>
      </c>
      <c r="T104" t="str">
        <f>IF(R104&lt;= Q104,"No Monetizar","Monetizar")</f>
        <v>Monetizar</v>
      </c>
      <c r="V104" s="1">
        <v>45769</v>
      </c>
      <c r="W104" t="str">
        <v>Alfonso Fonseca A</v>
      </c>
      <c r="X104" t="str">
        <v>Alfonso Fonseca A</v>
      </c>
      <c r="Y104" t="str">
        <v>Se monetiza ya que el valor ofrecido por el banco en cada divisa es superior al valor facturado</v>
      </c>
      <c r="Z104" s="21">
        <f>K104*O104</f>
        <v>83885277.102</v>
      </c>
      <c r="AA104" s="21">
        <f>Z104-Q104</f>
        <v>2121347.3258999884</v>
      </c>
    </row>
    <row r="105" outlineLevel="1">
      <c r="B105">
        <v>74</v>
      </c>
      <c r="C105" t="str">
        <v>Remofisrt</v>
      </c>
      <c r="D105">
        <v>5850</v>
      </c>
      <c r="E105" s="1">
        <v>45770</v>
      </c>
      <c r="F105" s="1">
        <v>45830</v>
      </c>
      <c r="J105" s="20">
        <f>IFERROR(IF(TODAY()&gt;=E105,(TODAY()-E105)/I105,0),0)*0</f>
        <v>0</v>
      </c>
      <c r="K105" s="5">
        <v>198689.68</v>
      </c>
      <c r="L105" s="5">
        <v>198689.68</v>
      </c>
      <c r="M105" s="5">
        <f>K105-L105</f>
        <v>0</v>
      </c>
      <c r="N105" s="21">
        <v>4237</v>
      </c>
      <c r="O105" s="21">
        <v>4286.2</v>
      </c>
      <c r="P105" s="21">
        <f>O105-N105</f>
        <v>49.19999999999982</v>
      </c>
      <c r="Q105" s="21">
        <f>K105*N105</f>
        <v>841848174.16</v>
      </c>
      <c r="R105" s="21">
        <f>L105*O105</f>
        <v>851623706.4159999</v>
      </c>
      <c r="S105" s="21">
        <f>R105-Q105</f>
        <v>9775532.255999923</v>
      </c>
      <c r="T105" t="str">
        <f>IF(R105&lt;= Q105,"No Monetizar","Monetizar")</f>
        <v>Monetizar</v>
      </c>
      <c r="V105" s="1">
        <v>45770</v>
      </c>
      <c r="W105" t="str">
        <v>Alfonso Fonseca A</v>
      </c>
      <c r="X105" t="str">
        <v>Alfonso Fonseca A</v>
      </c>
      <c r="Y105" t="str">
        <v>Se monetiza ya que el valor ofrecido por el banco en cada divisa es superior al valor facturado</v>
      </c>
      <c r="Z105" s="21">
        <f>K105*O105</f>
        <v>851623706.4159999</v>
      </c>
      <c r="AA105" s="21">
        <f>Z105-Q105</f>
        <v>9775532.255999923</v>
      </c>
    </row>
    <row r="106" outlineLevel="1">
      <c r="B106">
        <v>75</v>
      </c>
      <c r="C106" t="str">
        <v>Nazdar ink technologies</v>
      </c>
      <c r="D106">
        <v>5861</v>
      </c>
      <c r="E106" s="1">
        <v>45771</v>
      </c>
      <c r="F106" s="1">
        <v>45831</v>
      </c>
      <c r="J106" s="20">
        <f>IFERROR(IF(TODAY()&gt;=E106,(TODAY()-E106)/I106,0),0)*0</f>
        <v>0</v>
      </c>
      <c r="K106" s="5">
        <v>15658.81</v>
      </c>
      <c r="L106" s="5">
        <v>15643.81</v>
      </c>
      <c r="M106" s="5">
        <f>K106-L106</f>
        <v>15</v>
      </c>
      <c r="N106" s="21">
        <v>4186.17</v>
      </c>
      <c r="O106" s="21">
        <v>4250</v>
      </c>
      <c r="P106" s="21">
        <f>O106-N106</f>
        <v>63.82999999999993</v>
      </c>
      <c r="Q106" s="21">
        <f>K106*N106</f>
        <v>65550440.6577</v>
      </c>
      <c r="R106" s="21">
        <f>L106*O106</f>
        <v>66486192.5</v>
      </c>
      <c r="S106" s="21">
        <f>R106-Q106</f>
        <v>935751.8422999978</v>
      </c>
      <c r="T106" t="str">
        <f>IF(R106&lt;= Q106,"No Monetizar","Monetizar")</f>
        <v>Monetizar</v>
      </c>
      <c r="V106" s="1">
        <v>45771</v>
      </c>
      <c r="W106" t="str">
        <v>Alfonso Fonseca A</v>
      </c>
      <c r="X106" t="str">
        <v>Alfonso Fonseca A</v>
      </c>
      <c r="Y106" t="str">
        <v>Se monetiza ya que el valor ofrecido por el banco en cada divisa es superior al valor facturado</v>
      </c>
      <c r="Z106" s="21">
        <f>K106*O106</f>
        <v>66549942.5</v>
      </c>
      <c r="AA106" s="21">
        <f>Z106-Q106</f>
        <v>999501.8422999978</v>
      </c>
    </row>
    <row r="107" outlineLevel="1">
      <c r="B107">
        <v>76</v>
      </c>
      <c r="C107" t="str">
        <v xml:space="preserve">Neo </v>
      </c>
      <c r="D107">
        <v>5863</v>
      </c>
      <c r="E107" s="1">
        <v>45771</v>
      </c>
      <c r="F107" s="1">
        <v>45831</v>
      </c>
      <c r="J107" s="20">
        <f>IFERROR(IF(TODAY()&gt;=E107,(TODAY()-E107)/I107,0),0)*0</f>
        <v>0</v>
      </c>
      <c r="K107" s="5">
        <v>21396.56</v>
      </c>
      <c r="L107" s="5">
        <v>21350.56</v>
      </c>
      <c r="M107" s="5">
        <f>K107-L107</f>
        <v>46</v>
      </c>
      <c r="N107" s="21">
        <v>4186.17</v>
      </c>
      <c r="O107" s="21">
        <v>4248.5</v>
      </c>
      <c r="P107" s="21">
        <f>O107-N107</f>
        <v>62.32999999999993</v>
      </c>
      <c r="Q107" s="21">
        <f>K107*N107</f>
        <v>89569637.5752</v>
      </c>
      <c r="R107" s="21">
        <f>L107*O107</f>
        <v>90707854.16000001</v>
      </c>
      <c r="S107" s="21">
        <f>R107-Q107</f>
        <v>1138216.584800005</v>
      </c>
      <c r="T107" t="str">
        <f>IF(R107&lt;= Q107,"No Monetizar","Monetizar")</f>
        <v>Monetizar</v>
      </c>
      <c r="V107" s="1">
        <v>45771</v>
      </c>
      <c r="W107" t="str">
        <v>Alfonso Fonseca A</v>
      </c>
      <c r="X107" t="str">
        <v>Alfonso Fonseca A</v>
      </c>
      <c r="Y107" t="str">
        <v>Se monetiza ya que el valor ofrecido por el banco en cada divisa es superior al valor facturado</v>
      </c>
      <c r="Z107" s="21">
        <f>K107*O107</f>
        <v>90903285.16000001</v>
      </c>
      <c r="AA107" s="21">
        <f>Z107-Q107</f>
        <v>1333647.584800005</v>
      </c>
    </row>
    <row r="108" ht="30" customHeight="1" outlineLevel="1">
      <c r="B108">
        <v>77</v>
      </c>
      <c r="C108" t="str">
        <v>Hong kong yonyou xinfushe cloud technology co</v>
      </c>
      <c r="D108">
        <v>5867</v>
      </c>
      <c r="E108" s="1">
        <v>45772</v>
      </c>
      <c r="F108" s="1">
        <v>45832</v>
      </c>
      <c r="J108" s="20">
        <f>IFERROR(IF(TODAY()&gt;=E108,(TODAY()-E108)/I108,0),0)*0</f>
        <v>0</v>
      </c>
      <c r="K108" s="5">
        <v>11703.3</v>
      </c>
      <c r="L108" s="5">
        <v>11703.24</v>
      </c>
      <c r="M108" s="5">
        <f>K108-L108</f>
        <v>0.05999999999949068</v>
      </c>
      <c r="N108" s="21">
        <v>4186.17</v>
      </c>
      <c r="O108" s="21">
        <v>4225</v>
      </c>
      <c r="P108" s="21">
        <f>O108-N108</f>
        <v>38.82999999999993</v>
      </c>
      <c r="Q108" s="21">
        <f>K108*N108</f>
        <v>48992003.361</v>
      </c>
      <c r="R108" s="21">
        <f>L108*O108</f>
        <v>49446189</v>
      </c>
      <c r="S108" s="21">
        <f>R108-Q108</f>
        <v>454185.63899999857</v>
      </c>
      <c r="T108" t="str">
        <f>IF(R108&lt;= Q108,"No Monetizar","Monetizar")</f>
        <v>Monetizar</v>
      </c>
      <c r="V108" s="1">
        <v>45775</v>
      </c>
      <c r="W108" t="str">
        <v>Alfonso Fonseca A</v>
      </c>
      <c r="X108" t="str">
        <v>Alfonso Fonseca A</v>
      </c>
      <c r="Y108" t="str">
        <v>Se monetiza ya que el valor ofrecido por el banco en cada divisa es superior al valor facturado</v>
      </c>
      <c r="Z108" s="21">
        <f>K108*O108</f>
        <v>49446442.5</v>
      </c>
      <c r="AA108" s="21">
        <f>Z108-Q108</f>
        <v>454439.13899999857</v>
      </c>
    </row>
    <row r="109" outlineLevel="1">
      <c r="B109">
        <v>78</v>
      </c>
      <c r="C109" t="str">
        <v>Endrington</v>
      </c>
      <c r="D109">
        <v>5868</v>
      </c>
      <c r="E109" s="1">
        <v>45777</v>
      </c>
      <c r="F109" s="1">
        <v>45837</v>
      </c>
      <c r="J109" s="20">
        <f>IFERROR(IF(TODAY()&gt;=E109,(TODAY()-E109)/I109,0),0)*0</f>
        <v>0</v>
      </c>
      <c r="K109" s="5">
        <v>28973.84</v>
      </c>
      <c r="L109" s="5">
        <v>28973.84</v>
      </c>
      <c r="M109" s="5">
        <f>K109-L109</f>
        <v>0</v>
      </c>
      <c r="N109" s="21">
        <v>4186.17</v>
      </c>
      <c r="O109" s="21">
        <v>4208.5</v>
      </c>
      <c r="P109" s="21">
        <f>O109-N109</f>
        <v>22.329999999999927</v>
      </c>
      <c r="Q109" s="21">
        <f>K109*N109</f>
        <v>121289419.79280001</v>
      </c>
      <c r="R109" s="21">
        <f>L109*O109</f>
        <v>121936405.64</v>
      </c>
      <c r="S109" s="21">
        <f>R109-Q109</f>
        <v>646985.8471999913</v>
      </c>
      <c r="T109" t="str">
        <f>IF(R109&lt;= Q109,"No Monetizar","Monetizar")</f>
        <v>Monetizar</v>
      </c>
      <c r="V109" s="1">
        <v>45775</v>
      </c>
      <c r="W109" t="str">
        <v>Alfonso Fonseca A</v>
      </c>
      <c r="X109" t="str">
        <v>Alfonso Fonseca A</v>
      </c>
      <c r="Y109" t="str">
        <v>Se monetiza ya que el valor ofrecido por el banco en cada divisa es superior al valor facturado</v>
      </c>
      <c r="Z109" s="21">
        <f>K109*O109</f>
        <v>121936405.64</v>
      </c>
      <c r="AA109" s="21">
        <f>Z109-Q109</f>
        <v>646985.8471999913</v>
      </c>
    </row>
    <row r="110" outlineLevel="1">
      <c r="B110">
        <v>79</v>
      </c>
      <c r="C110" t="str">
        <v>Insider</v>
      </c>
      <c r="D110">
        <v>5905</v>
      </c>
      <c r="E110" s="1">
        <v>45782</v>
      </c>
      <c r="F110" s="1">
        <v>45839</v>
      </c>
      <c r="J110" s="20">
        <f>IFERROR(IF(TODAY()&gt;=E110,(TODAY()-E110)/I110,0),0)*0</f>
        <v>0</v>
      </c>
      <c r="K110" s="5">
        <v>124104.3</v>
      </c>
      <c r="L110" s="5">
        <v>124089.3</v>
      </c>
      <c r="M110" s="5">
        <f>K110-L110</f>
        <v>15</v>
      </c>
      <c r="N110" s="21">
        <v>4164.57</v>
      </c>
      <c r="O110" s="21">
        <v>4236.1</v>
      </c>
      <c r="P110" s="21">
        <f>O110-N110</f>
        <v>71.53000000000065</v>
      </c>
      <c r="Q110" s="21">
        <f>K110*N110</f>
        <v>516841044.65099996</v>
      </c>
      <c r="R110" s="21">
        <f>L110*O110</f>
        <v>525654683.7300001</v>
      </c>
      <c r="S110" s="21">
        <f>R110-Q110</f>
        <v>8813639.079000115</v>
      </c>
      <c r="T110" t="str">
        <f>IF(R110&lt;= Q110,"No Monetizar","Monetizar")</f>
        <v>Monetizar</v>
      </c>
      <c r="V110" s="1">
        <v>45779</v>
      </c>
      <c r="W110" t="str">
        <v>Alfonso Fonseca A</v>
      </c>
      <c r="X110" t="str">
        <v>Alfonso Fonseca A</v>
      </c>
      <c r="Y110" t="str">
        <v>Se monetiza ya que el valor ofrecido por el banco en cada divisa es superior al valor facturado</v>
      </c>
      <c r="Z110" s="21">
        <f>K110*O110</f>
        <v>525718225.2300001</v>
      </c>
      <c r="AA110" s="21">
        <f>Z110-Q110</f>
        <v>8877180.579000115</v>
      </c>
    </row>
    <row r="111" outlineLevel="1">
      <c r="B111">
        <v>80</v>
      </c>
      <c r="C111" t="str">
        <v>Insider</v>
      </c>
      <c r="D111">
        <v>5900</v>
      </c>
      <c r="E111" s="1">
        <v>45777</v>
      </c>
      <c r="F111" s="1">
        <v>45837</v>
      </c>
      <c r="J111" s="20">
        <f>IFERROR(IF(TODAY()&gt;=E111,(TODAY()-E111)/I111,0),0)*0</f>
        <v>0</v>
      </c>
      <c r="K111" s="5">
        <v>337.29</v>
      </c>
      <c r="L111" s="5">
        <v>337.29</v>
      </c>
      <c r="M111" s="5">
        <f>K111-L111</f>
        <v>0</v>
      </c>
      <c r="N111" s="21">
        <v>4164.57</v>
      </c>
      <c r="O111" s="21">
        <v>4236.1</v>
      </c>
      <c r="P111" s="21">
        <f>O111-N111</f>
        <v>71.53000000000065</v>
      </c>
      <c r="Q111" s="21">
        <f>K111*N111</f>
        <v>1404667.8153</v>
      </c>
      <c r="R111" s="21">
        <f>L111*O111</f>
        <v>1428794.1690000002</v>
      </c>
      <c r="S111" s="21">
        <f>R111-Q111</f>
        <v>24126.353700000327</v>
      </c>
      <c r="T111" t="str">
        <f>IF(R111&lt;= Q111,"No Monetizar","Monetizar")</f>
        <v>Monetizar</v>
      </c>
      <c r="V111" s="1">
        <v>45779</v>
      </c>
      <c r="W111" t="str">
        <v>Alfonso Fonseca A</v>
      </c>
      <c r="X111" t="str">
        <v>Alfonso Fonseca A</v>
      </c>
      <c r="Y111" t="str">
        <v>Se monetiza ya que el valor ofrecido por el banco en cada divisa es superior al valor facturado</v>
      </c>
      <c r="Z111" s="21">
        <f>K111*O111</f>
        <v>1428794.1690000002</v>
      </c>
      <c r="AA111" s="21">
        <f>Z111-Q111</f>
        <v>24126.353700000327</v>
      </c>
    </row>
    <row r="112" outlineLevel="1">
      <c r="B112">
        <v>81</v>
      </c>
      <c r="C112" t="str">
        <v>Remofirst</v>
      </c>
      <c r="D112">
        <v>5884</v>
      </c>
      <c r="E112" s="1">
        <v>45776</v>
      </c>
      <c r="F112" s="1">
        <v>45836</v>
      </c>
      <c r="J112" s="20">
        <f>IFERROR(IF(TODAY()&gt;=E112,(TODAY()-E112)/I112,0),0)*0</f>
        <v>0</v>
      </c>
      <c r="K112" s="5">
        <v>4875.81</v>
      </c>
      <c r="L112" s="5">
        <v>4752.642754939404</v>
      </c>
      <c r="M112" s="5">
        <f>K112-L112</f>
        <v>123.16724506059654</v>
      </c>
      <c r="N112" s="21">
        <v>4237.98</v>
      </c>
      <c r="O112" s="21">
        <v>4241</v>
      </c>
      <c r="P112" s="21">
        <f>O112-N112</f>
        <v>3.0200000000004366</v>
      </c>
      <c r="Q112" s="21">
        <f>K112*N112</f>
        <v>20663585.2638</v>
      </c>
      <c r="R112" s="21">
        <f>L112*O112</f>
        <v>20155957.92369801</v>
      </c>
      <c r="S112" s="21">
        <f>R112-Q112</f>
        <v>-507627.3401019871</v>
      </c>
      <c r="T112" t="str">
        <f>IF(R112&lt;= Q112,"No Monetizar","Monetizar")</f>
        <v>No Monetizar</v>
      </c>
      <c r="V112" s="1">
        <v>45782</v>
      </c>
      <c r="W112" t="str">
        <v>Alfonso Fonseca A</v>
      </c>
      <c r="X112" t="str">
        <v>Alfonso Fonseca A</v>
      </c>
      <c r="Y112" t="str">
        <v>Se monetiza ya que el valor ofrecido por el banco en cada divisa es superior al valor facturado</v>
      </c>
      <c r="Z112" s="21">
        <f>K112*O112</f>
        <v>20678310.21</v>
      </c>
      <c r="AA112" s="21">
        <f>Z112-Q112</f>
        <v>14724.946200001985</v>
      </c>
    </row>
    <row r="113" outlineLevel="1">
      <c r="B113">
        <v>82</v>
      </c>
      <c r="C113" t="str">
        <v>Remofirst</v>
      </c>
      <c r="D113">
        <v>5885</v>
      </c>
      <c r="E113" s="1">
        <v>45776</v>
      </c>
      <c r="F113" s="1">
        <v>45836</v>
      </c>
      <c r="J113" s="20">
        <f>IFERROR(IF(TODAY()&gt;=E113,(TODAY()-E113)/I113,0),0)*0</f>
        <v>0</v>
      </c>
      <c r="K113" s="5">
        <v>777.2</v>
      </c>
      <c r="L113" s="5">
        <v>757.5672450605961</v>
      </c>
      <c r="M113" s="5">
        <f>K113-L113</f>
        <v>19.63275493940398</v>
      </c>
      <c r="N113" s="21">
        <v>4237.98</v>
      </c>
      <c r="O113" s="21">
        <v>4241</v>
      </c>
      <c r="P113" s="21">
        <f>O113-N113</f>
        <v>3.0200000000004366</v>
      </c>
      <c r="Q113" s="21">
        <f>K113*N113</f>
        <v>3293758.056</v>
      </c>
      <c r="R113" s="21">
        <f>L113*O113</f>
        <v>3212842.686301988</v>
      </c>
      <c r="S113" s="21">
        <f>R113-Q113</f>
        <v>-80915.36969801178</v>
      </c>
      <c r="T113" t="str">
        <f>IF(R113&lt;= Q113,"No Monetizar","Monetizar")</f>
        <v>No Monetizar</v>
      </c>
      <c r="V113" s="1">
        <v>45782</v>
      </c>
      <c r="W113" t="str">
        <v>Alfonso Fonseca A</v>
      </c>
      <c r="X113" t="str">
        <v>Alfonso Fonseca A</v>
      </c>
      <c r="Y113" t="str">
        <v>Se monetiza ya que el valor ofrecido por el banco en cada divisa es superior al valor facturado</v>
      </c>
      <c r="Z113" s="21">
        <f>K113*O113</f>
        <v>3296105.2</v>
      </c>
      <c r="AA113" s="21">
        <f>Z113-Q113</f>
        <v>2347.1440000003204</v>
      </c>
    </row>
    <row r="114" outlineLevel="1">
      <c r="B114">
        <v>83</v>
      </c>
      <c r="C114" t="str">
        <v>Ingreso dinero Prestamo</v>
      </c>
      <c r="D114" t="str">
        <v>S/N</v>
      </c>
      <c r="E114" s="1">
        <v>45782</v>
      </c>
      <c r="F114" s="1">
        <v>45842</v>
      </c>
      <c r="J114" s="20">
        <f>IFERROR(IF(TODAY()&gt;=E114,(TODAY()-E114)/I114,0),0)*0</f>
        <v>0</v>
      </c>
      <c r="K114" s="5">
        <v>14154.974361905579</v>
      </c>
      <c r="L114" s="5">
        <v>13921.4</v>
      </c>
      <c r="M114" s="5">
        <f>K114-L114+30</f>
        <v>263.5743619055793</v>
      </c>
      <c r="N114" s="21">
        <v>4198.83</v>
      </c>
      <c r="O114" s="21">
        <v>4277.79</v>
      </c>
      <c r="P114" s="21">
        <f>O114-N114</f>
        <v>78.96000000000004</v>
      </c>
      <c r="Q114" s="21">
        <f>K114*N114</f>
        <v>59434331</v>
      </c>
      <c r="R114" s="21">
        <f>L114*O114</f>
        <v>59552825.706</v>
      </c>
      <c r="S114" s="21">
        <f>R114-Q114</f>
        <v>118494.70600000024</v>
      </c>
      <c r="T114" t="str">
        <f>IF(R114&lt;= Q114,"No Monetizar","Monetizar")</f>
        <v>Monetizar</v>
      </c>
      <c r="V114" s="1">
        <v>45783</v>
      </c>
      <c r="W114" t="str">
        <v>Alfonso Fonseca A</v>
      </c>
      <c r="X114" t="str">
        <v>Alfonso Fonseca A</v>
      </c>
      <c r="Y114" t="str">
        <v>Se monetiza ya que el valor ofrecido por el banco en cada divisa es superior al valor facturado</v>
      </c>
      <c r="Z114" s="21">
        <f>K114*O114</f>
        <v>60552007.775616065</v>
      </c>
      <c r="AA114" s="21">
        <f>Z114-Q114</f>
        <v>1117676.7756160647</v>
      </c>
    </row>
    <row r="115" outlineLevel="1">
      <c r="B115">
        <v>84</v>
      </c>
      <c r="C115" t="str">
        <v>Global Project</v>
      </c>
      <c r="D115">
        <v>5739</v>
      </c>
      <c r="E115" s="1">
        <v>45786</v>
      </c>
      <c r="F115" s="1">
        <v>45846</v>
      </c>
      <c r="J115" s="20">
        <f>IFERROR(IF(TODAY()&gt;=E115,(TODAY()-E115)/I115,0),0)*0</f>
        <v>0</v>
      </c>
      <c r="K115" s="5">
        <v>650</v>
      </c>
      <c r="L115" s="5">
        <v>645</v>
      </c>
      <c r="M115" s="5">
        <f>K115-L115</f>
        <v>5</v>
      </c>
      <c r="N115" s="21">
        <v>4123.1</v>
      </c>
      <c r="O115" s="21">
        <v>4217.5</v>
      </c>
      <c r="P115" s="21">
        <f>O115-N115</f>
        <v>94.39999999999964</v>
      </c>
      <c r="Q115" s="21">
        <f>K115*N115</f>
        <v>2680015.0000000005</v>
      </c>
      <c r="R115" s="21">
        <f>L115*O115</f>
        <v>2720287.5</v>
      </c>
      <c r="S115" s="21">
        <f>R115-Q115</f>
        <v>40272.499999999534</v>
      </c>
      <c r="T115" t="str">
        <f>IF(R115&lt;= Q115,"No Monetizar","Monetizar")</f>
        <v>Monetizar</v>
      </c>
      <c r="V115" s="1">
        <v>45786</v>
      </c>
      <c r="W115" t="str">
        <v>Alfonso Fonseca A</v>
      </c>
      <c r="X115" t="str">
        <v>Alfonso Fonseca A</v>
      </c>
      <c r="Y115" t="str">
        <v>Se monetiza ya que el valor ofrecido por el banco en cada divisa es superior al valor facturado</v>
      </c>
      <c r="Z115" s="21">
        <f>K115*O115</f>
        <v>2741375</v>
      </c>
      <c r="AA115" s="21">
        <f>Z115-Q115</f>
        <v>61359.999999999534</v>
      </c>
    </row>
    <row r="116" outlineLevel="1">
      <c r="B116">
        <v>85</v>
      </c>
      <c r="C116" t="str">
        <v>Global Project</v>
      </c>
      <c r="D116">
        <v>5785</v>
      </c>
      <c r="E116" s="1">
        <v>45786</v>
      </c>
      <c r="F116" s="1">
        <v>45846</v>
      </c>
      <c r="J116" s="20">
        <f>IFERROR(IF(TODAY()&gt;=E116,(TODAY()-E116)/I116,0),0)*0</f>
        <v>0</v>
      </c>
      <c r="K116" s="5">
        <v>286.75</v>
      </c>
      <c r="L116" s="5">
        <v>286.75</v>
      </c>
      <c r="M116" s="5">
        <f>K116-L116</f>
        <v>0</v>
      </c>
      <c r="N116" s="21">
        <v>4102.67</v>
      </c>
      <c r="O116" s="21">
        <v>4217.5</v>
      </c>
      <c r="P116" s="21">
        <f>O116-N116</f>
        <v>114.82999999999993</v>
      </c>
      <c r="Q116" s="21">
        <f>K116*N116</f>
        <v>1176440.6225</v>
      </c>
      <c r="R116" s="21">
        <f>L116*O116</f>
        <v>1209368.125</v>
      </c>
      <c r="S116" s="21">
        <f>R116-Q116</f>
        <v>32927.502499999944</v>
      </c>
      <c r="T116" t="str">
        <f>IF(R116&lt;= Q116,"No Monetizar","Monetizar")</f>
        <v>Monetizar</v>
      </c>
      <c r="V116" s="1">
        <v>45786</v>
      </c>
      <c r="W116" t="str">
        <v>Alfonso Fonseca A</v>
      </c>
      <c r="X116" t="str">
        <v>Alfonso Fonseca A</v>
      </c>
      <c r="Y116" t="str">
        <v>Se monetiza ya que el valor ofrecido por el banco en cada divisa es superior al valor facturado</v>
      </c>
      <c r="Z116" s="21">
        <f>K116*O116</f>
        <v>1209368.125</v>
      </c>
      <c r="AA116" s="21">
        <f>Z116-Q116</f>
        <v>32927.502499999944</v>
      </c>
    </row>
    <row r="117" outlineLevel="1">
      <c r="B117">
        <v>86</v>
      </c>
      <c r="C117" t="str">
        <v>Action</v>
      </c>
      <c r="D117">
        <v>5944</v>
      </c>
      <c r="E117" s="1">
        <v>45797</v>
      </c>
      <c r="F117" s="1">
        <v>45857</v>
      </c>
      <c r="J117" s="20">
        <f>IFERROR(IF(TODAY()&gt;=E117,(TODAY()-E117)/I117,0),0)*0</f>
        <v>0</v>
      </c>
      <c r="K117" s="5">
        <v>3176.19</v>
      </c>
      <c r="L117" s="5">
        <v>3176.19</v>
      </c>
      <c r="M117" s="5">
        <f>K117-L117</f>
        <v>0</v>
      </c>
      <c r="N117" s="21">
        <v>4108.6</v>
      </c>
      <c r="O117" s="21">
        <v>4158</v>
      </c>
      <c r="P117" s="21">
        <f>O117-N117</f>
        <v>49.399999999999636</v>
      </c>
      <c r="Q117" s="21">
        <f>K117*N117</f>
        <v>13049694.234000001</v>
      </c>
      <c r="R117" s="21">
        <f>L117*O117</f>
        <v>13206598.02</v>
      </c>
      <c r="S117" s="21">
        <f>R117-Q117</f>
        <v>156903.78599999845</v>
      </c>
      <c r="T117" t="str">
        <f>IF(R117&lt;= Q117,"No Monetizar","Monetizar")</f>
        <v>Monetizar</v>
      </c>
      <c r="V117" s="1">
        <v>45797</v>
      </c>
      <c r="W117" t="str">
        <v>Alfonso Fonseca A</v>
      </c>
      <c r="X117" t="str">
        <v>Alfonso Fonseca A</v>
      </c>
      <c r="Y117" t="str">
        <v>Se monetiza ya que el valor ofrecido por el banco en cada divisa es superior al valor facturado</v>
      </c>
      <c r="Z117" s="21">
        <f>K117*O117</f>
        <v>13206598.02</v>
      </c>
      <c r="AA117" s="21">
        <f>Z117-Q117</f>
        <v>156903.78599999845</v>
      </c>
    </row>
    <row r="118" outlineLevel="1">
      <c r="B118">
        <v>87</v>
      </c>
      <c r="C118" t="str">
        <v>Marketing Doctors</v>
      </c>
      <c r="D118">
        <v>5946</v>
      </c>
      <c r="E118" s="1">
        <v>45797</v>
      </c>
      <c r="F118" s="1">
        <v>45857</v>
      </c>
      <c r="J118" s="20">
        <f>IFERROR(IF(TODAY()&gt;=E118,(TODAY()-E118)/I118,0),0)*0</f>
        <v>0</v>
      </c>
      <c r="K118" s="5">
        <v>2489.2</v>
      </c>
      <c r="L118" s="5">
        <v>2489.2</v>
      </c>
      <c r="M118" s="5">
        <f>K118-L118</f>
        <v>0</v>
      </c>
      <c r="N118" s="21">
        <v>4108.6</v>
      </c>
      <c r="O118" s="21">
        <v>4158.5</v>
      </c>
      <c r="P118" s="21">
        <f>O118-N118</f>
        <v>49.899999999999636</v>
      </c>
      <c r="Q118" s="21">
        <f>K118*N118</f>
        <v>10227127.120000001</v>
      </c>
      <c r="R118" s="21">
        <f>L118*O118</f>
        <v>10351338.2</v>
      </c>
      <c r="S118" s="21">
        <f>R118-Q118</f>
        <v>124211.07999999821</v>
      </c>
      <c r="T118" t="str">
        <f>IF(R118&lt;= Q118,"No Monetizar","Monetizar")</f>
        <v>Monetizar</v>
      </c>
      <c r="V118" s="1">
        <v>45798</v>
      </c>
      <c r="W118" t="str">
        <v>Alfonso Fonseca A</v>
      </c>
      <c r="X118" t="str">
        <v>Alfonso Fonseca A</v>
      </c>
      <c r="Y118" t="str">
        <v>Se monetiza ya que el valor ofrecido por el banco en cada divisa es superior al valor facturado</v>
      </c>
      <c r="Z118" s="21">
        <f>K118*O118</f>
        <v>10351338.2</v>
      </c>
      <c r="AA118" s="21">
        <f>Z118-Q118</f>
        <v>124211.07999999821</v>
      </c>
    </row>
    <row r="119" outlineLevel="1">
      <c r="B119">
        <v>88</v>
      </c>
      <c r="C119" t="str">
        <v>Nazdar ink technologies</v>
      </c>
      <c r="D119">
        <v>5948</v>
      </c>
      <c r="E119" s="1">
        <v>45799</v>
      </c>
      <c r="F119" s="1">
        <v>45859</v>
      </c>
      <c r="J119" s="20">
        <f>IFERROR(IF(TODAY()&gt;=E119,(TODAY()-E119)/I119,0),0)*0</f>
        <v>0</v>
      </c>
      <c r="K119" s="5">
        <v>13845.93</v>
      </c>
      <c r="L119" s="5">
        <v>13830.93</v>
      </c>
      <c r="M119" s="5">
        <f>K119-L119</f>
        <v>15</v>
      </c>
      <c r="N119" s="21">
        <v>4118.6</v>
      </c>
      <c r="O119" s="21">
        <v>4163.05</v>
      </c>
      <c r="P119" s="21">
        <f>O119-N119</f>
        <v>44.44999999999982</v>
      </c>
      <c r="Q119" s="21">
        <f>K119*N119</f>
        <v>57025847.29800001</v>
      </c>
      <c r="R119" s="21">
        <f>L119*O119</f>
        <v>57578853.1365</v>
      </c>
      <c r="S119" s="21">
        <f>R119-Q119</f>
        <v>553005.8384999931</v>
      </c>
      <c r="T119" t="str">
        <f>IF(R119&lt;= Q119,"No Monetizar","Monetizar")</f>
        <v>Monetizar</v>
      </c>
      <c r="V119" s="1">
        <v>45799</v>
      </c>
      <c r="W119" t="str">
        <v>Alfonso Fonseca A</v>
      </c>
      <c r="X119" t="str">
        <v>Alfonso Fonseca A</v>
      </c>
      <c r="Y119" t="str">
        <v>Se monetiza ya que el valor ofrecido por el banco en cada divisa es superior al valor facturado</v>
      </c>
      <c r="Z119" s="21">
        <f>K119*O119</f>
        <v>57641298.8865</v>
      </c>
      <c r="AA119" s="21">
        <f>Z119-Q119</f>
        <v>615451.5884999931</v>
      </c>
    </row>
    <row r="120" outlineLevel="1">
      <c r="B120">
        <v>89</v>
      </c>
      <c r="C120" t="str">
        <v xml:space="preserve">Neo </v>
      </c>
      <c r="D120">
        <v>5950</v>
      </c>
      <c r="E120" s="1">
        <v>45800</v>
      </c>
      <c r="F120" s="1">
        <v>45860</v>
      </c>
      <c r="J120" s="20">
        <f>IFERROR(IF(TODAY()&gt;=E120,(TODAY()-E120)/I120,0),0)*0</f>
        <v>0</v>
      </c>
      <c r="K120" s="5">
        <v>21960</v>
      </c>
      <c r="L120" s="5">
        <v>21914.26</v>
      </c>
      <c r="M120" s="5">
        <f>K120-L120</f>
        <v>45.7400000000016</v>
      </c>
      <c r="N120" s="21">
        <v>4098.6</v>
      </c>
      <c r="O120" s="21">
        <v>4150.5</v>
      </c>
      <c r="P120" s="21">
        <f>O120-N120</f>
        <v>51.899999999999636</v>
      </c>
      <c r="Q120" s="21">
        <f>K120*N120</f>
        <v>90005256.00000001</v>
      </c>
      <c r="R120" s="21">
        <f>L120*O120</f>
        <v>90955136.13</v>
      </c>
      <c r="S120" s="21">
        <f>R120-Q120</f>
        <v>949880.1299999803</v>
      </c>
      <c r="T120" t="str">
        <f>IF(R120&lt;= Q120,"No Monetizar","Monetizar")</f>
        <v>Monetizar</v>
      </c>
      <c r="V120" s="1">
        <v>45800</v>
      </c>
      <c r="W120" t="str">
        <v>Alfonso Fonseca A</v>
      </c>
      <c r="X120" t="str">
        <v>Alfonso Fonseca A</v>
      </c>
      <c r="Y120" t="str">
        <v>Se monetiza ya que el valor ofrecido por el banco en cada divisa es superior al valor facturado</v>
      </c>
      <c r="Z120" s="21">
        <f>K120*O120</f>
        <v>91144980</v>
      </c>
      <c r="AA120" s="21">
        <f>Z120-Q120</f>
        <v>1139723.999999985</v>
      </c>
    </row>
    <row r="121" outlineLevel="1">
      <c r="B121">
        <v>90</v>
      </c>
      <c r="C121" t="str">
        <v>Safeguard Payroll LLC</v>
      </c>
      <c r="D121" t="str">
        <v>5741 a la 5751</v>
      </c>
      <c r="E121" s="1">
        <v>45800</v>
      </c>
      <c r="F121" s="1">
        <v>45860</v>
      </c>
      <c r="J121" s="20">
        <f>IFERROR(IF(TODAY()&gt;=E121,(TODAY()-E121)/I121,0),0)*0</f>
        <v>0</v>
      </c>
      <c r="K121" s="5">
        <v>12054.49</v>
      </c>
      <c r="L121" s="5">
        <v>12039.49</v>
      </c>
      <c r="M121" s="5">
        <f>K121-L121</f>
        <v>15</v>
      </c>
      <c r="N121" s="21">
        <v>4120.11</v>
      </c>
      <c r="O121" s="21">
        <v>4150.5</v>
      </c>
      <c r="P121" s="21">
        <f>O121-N121</f>
        <v>30.390000000000327</v>
      </c>
      <c r="Q121" s="21">
        <f>K121*N121</f>
        <v>49665824.7939</v>
      </c>
      <c r="R121" s="21">
        <f>L121*O121</f>
        <v>49969903.245</v>
      </c>
      <c r="S121" s="21">
        <f>R121-Q121</f>
        <v>304078.45109999925</v>
      </c>
      <c r="T121" t="str">
        <f>IF(R121&lt;= Q121,"No Monetizar","Monetizar")</f>
        <v>Monetizar</v>
      </c>
      <c r="V121" s="1">
        <v>45800</v>
      </c>
      <c r="W121" t="str">
        <v>Alfonso Fonseca A</v>
      </c>
      <c r="X121" t="str">
        <v>Alfonso Fonseca A</v>
      </c>
      <c r="Y121" t="str">
        <v>Se monetiza ya que el valor ofrecido por el banco en cada divisa es superior al valor facturado</v>
      </c>
      <c r="Z121" s="21">
        <f>K121*O121</f>
        <v>50032160.745</v>
      </c>
      <c r="AA121" s="21">
        <f>Z121-Q121</f>
        <v>366335.95109999925</v>
      </c>
    </row>
    <row r="122" outlineLevel="1">
      <c r="B122">
        <v>91</v>
      </c>
      <c r="C122" t="str">
        <v>Safeguard Payroll LTD</v>
      </c>
      <c r="D122" t="str">
        <v xml:space="preserve">5752 a la 5756 </v>
      </c>
      <c r="E122" s="1">
        <v>45800</v>
      </c>
      <c r="F122" s="1">
        <v>45860</v>
      </c>
      <c r="J122" s="20">
        <f>IFERROR(IF(TODAY()&gt;=E122,(TODAY()-E122)/I122,0),0)*0</f>
        <v>0</v>
      </c>
      <c r="K122" s="5">
        <v>9806.32</v>
      </c>
      <c r="L122" s="5">
        <v>9806.32</v>
      </c>
      <c r="M122" s="5">
        <f>K122-L122</f>
        <v>0</v>
      </c>
      <c r="N122" s="21">
        <v>4120.11</v>
      </c>
      <c r="O122" s="21">
        <v>4150.5</v>
      </c>
      <c r="P122" s="21">
        <f>O122-N122</f>
        <v>30.390000000000327</v>
      </c>
      <c r="Q122" s="21">
        <f>K122*N122</f>
        <v>40403117.095199995</v>
      </c>
      <c r="R122" s="21">
        <f>L122*O122</f>
        <v>40701131.16</v>
      </c>
      <c r="S122" s="21">
        <f>R122-Q122</f>
        <v>298014.0648000017</v>
      </c>
      <c r="T122" t="str">
        <f>IF(R122&lt;= Q122,"No Monetizar","Monetizar")</f>
        <v>Monetizar</v>
      </c>
      <c r="V122" s="1">
        <v>45800</v>
      </c>
      <c r="W122" t="str">
        <v>Alfonso Fonseca A</v>
      </c>
      <c r="X122" t="str">
        <v>Alfonso Fonseca A</v>
      </c>
      <c r="Y122" t="str">
        <v>Se monetiza ya que el valor ofrecido por el banco en cada divisa es superior al valor facturado</v>
      </c>
      <c r="Z122" s="21">
        <f>K122*O122</f>
        <v>40701131.16</v>
      </c>
      <c r="AA122" s="21">
        <f>Z122-Q122</f>
        <v>298014.0648000017</v>
      </c>
    </row>
    <row r="123" outlineLevel="1">
      <c r="B123">
        <v>92</v>
      </c>
      <c r="C123" t="str">
        <v>Safeguard Payroll LTD</v>
      </c>
      <c r="D123">
        <v>5707</v>
      </c>
      <c r="E123" s="1">
        <v>45800</v>
      </c>
      <c r="F123" s="1">
        <v>45860</v>
      </c>
      <c r="J123" s="20">
        <f>IFERROR(IF(TODAY()&gt;=E123,(TODAY()-E123)/I123,0),0)*0</f>
        <v>0</v>
      </c>
      <c r="K123" s="5">
        <v>421.18</v>
      </c>
      <c r="L123" s="5">
        <v>421.18</v>
      </c>
      <c r="M123" s="5">
        <f>K123-L123</f>
        <v>0</v>
      </c>
      <c r="N123" s="21">
        <v>4161.46</v>
      </c>
      <c r="O123" s="21">
        <v>4150.5</v>
      </c>
      <c r="P123" s="21">
        <f>O123-N123</f>
        <v>-10.960000000000036</v>
      </c>
      <c r="Q123" s="21">
        <f>K123*N123</f>
        <v>1752723.7228</v>
      </c>
      <c r="R123" s="21">
        <f>L123*O123</f>
        <v>1748107.59</v>
      </c>
      <c r="S123" s="21">
        <f>R123-Q123</f>
        <v>-4616.132800000021</v>
      </c>
      <c r="T123" t="str">
        <f>IF(R123&lt;= Q123,"No Monetizar","Monetizar")</f>
        <v>No Monetizar</v>
      </c>
      <c r="V123" s="1">
        <v>45800</v>
      </c>
      <c r="W123" t="str">
        <v>Alfonso Fonseca A</v>
      </c>
      <c r="X123" t="str">
        <v>Alfonso Fonseca A</v>
      </c>
      <c r="Y123" t="str">
        <v>el criterio a pesar que el KPI dice que no monetizar este dinero esta suma al envio de USD 9.806,32 . El valor monetizado genera ganancia frente al facturado al sumar todo el envio que fue USD 10.227,50</v>
      </c>
      <c r="Z123" s="21">
        <f>K123*O123</f>
        <v>1748107.59</v>
      </c>
      <c r="AA123" s="21">
        <f>Z123-Q123</f>
        <v>-4616.132800000021</v>
      </c>
    </row>
    <row r="124" outlineLevel="1">
      <c r="B124">
        <v>93</v>
      </c>
      <c r="C124" t="str">
        <v>Remofirst</v>
      </c>
      <c r="D124">
        <v>5938</v>
      </c>
      <c r="E124" s="1">
        <v>45800</v>
      </c>
      <c r="F124" s="1">
        <v>45860</v>
      </c>
      <c r="J124" s="20">
        <f>IFERROR(IF(TODAY()&gt;=E124,(TODAY()-E124)/I124,0),0)*0</f>
        <v>0</v>
      </c>
      <c r="K124" s="5">
        <v>209257.11</v>
      </c>
      <c r="L124" s="5">
        <v>209257.11</v>
      </c>
      <c r="M124" s="5">
        <f>K124-L124</f>
        <v>0</v>
      </c>
      <c r="N124" s="21">
        <v>4186.79</v>
      </c>
      <c r="O124" s="21">
        <v>4110.6</v>
      </c>
      <c r="P124" s="21">
        <f>O124-N124</f>
        <v>-76.1899999999996</v>
      </c>
      <c r="Q124" s="21">
        <f>K124*N124</f>
        <v>876115575.5768999</v>
      </c>
      <c r="R124" s="21">
        <f>L124*O124</f>
        <v>860172276.366</v>
      </c>
      <c r="S124" s="21">
        <f>R124-Q124</f>
        <v>-15943299.21089983</v>
      </c>
      <c r="T124" t="str">
        <f>IF(R124&lt;= Q124,"No Monetizar","Monetizar")</f>
        <v>No Monetizar</v>
      </c>
      <c r="V124" s="1">
        <v>45804</v>
      </c>
      <c r="W124" t="str">
        <v>Alfonso Fonseca A</v>
      </c>
      <c r="X124" t="str">
        <v>Eduard Forero</v>
      </c>
      <c r="Y124" t="str">
        <v>Se ha decidido monetizar las divisas recibidas el pasado 23 de mayo, pese a que el valor está por debajo del monto facturado, debido a la necesidad urgente de recursos para completar el pago de nómina correspondiente a mayo.Desde el ingreso de los fondos, la tasa de cambio ha estado por debajo del valor esperado. Hoy, 27 de mayo, tras el feriado en EE.UU., la divisa abrió en 4.140 y actualmente se ubica en 4.125, manteniendo una tendencia bajista.La Dirección aprueba el ingreso de los recursos con una pérdida de USD 3.875,98, la cual será descontada del valor que se adeuda al cliente. De esta forma, la deuda disminuye de USD 11.046,28 a USD 7.170,03.</v>
      </c>
      <c r="Z124" s="21">
        <f>K124*O124</f>
        <v>860172276.366</v>
      </c>
      <c r="AA124" s="21">
        <f>Z124-Q124</f>
        <v>-15943299.21089983</v>
      </c>
    </row>
    <row r="125" outlineLevel="1">
      <c r="B125">
        <v>94</v>
      </c>
      <c r="C125" t="str">
        <v>Insider</v>
      </c>
      <c r="D125">
        <v>5987</v>
      </c>
      <c r="E125" s="1">
        <v>45807</v>
      </c>
      <c r="F125" s="1">
        <v>45868</v>
      </c>
      <c r="J125" s="20">
        <f>IFERROR(IF(TODAY()&gt;=E125,(TODAY()-E125)/I125,0),0)*0</f>
        <v>0</v>
      </c>
      <c r="K125" s="5">
        <v>108566.8</v>
      </c>
      <c r="L125" s="21">
        <v>108551.8</v>
      </c>
      <c r="M125" s="21">
        <f>K125-L125</f>
        <v>15</v>
      </c>
      <c r="N125" s="21">
        <v>3926.44</v>
      </c>
      <c r="O125" s="21">
        <v>4133.5</v>
      </c>
      <c r="P125" s="21">
        <f>O125-N125</f>
        <v>207.05999999999995</v>
      </c>
      <c r="Q125" s="21">
        <f>K125*N125</f>
        <v>426281026.19200003</v>
      </c>
      <c r="R125" s="21">
        <f>L125*O125</f>
        <v>448698865.3</v>
      </c>
      <c r="S125" s="21">
        <f>R125-Q125</f>
        <v>22417839.10799998</v>
      </c>
      <c r="T125" t="str">
        <f>IF(R125&lt;= Q125,"No Monetizar","Monetizar")</f>
        <v>Monetizar</v>
      </c>
      <c r="V125" s="1">
        <v>45807</v>
      </c>
      <c r="W125" t="str">
        <v>Alfonso Fonseca A</v>
      </c>
      <c r="X125" t="str">
        <v>Alfonso Fonseca A</v>
      </c>
      <c r="Y125" t="str">
        <v>Se monetiza ya que el valor ofrecido por el banco en cada divisa es superior al valor facturado</v>
      </c>
      <c r="Z125" s="21">
        <f>K125*O125</f>
        <v>448760867.8</v>
      </c>
      <c r="AA125" s="21">
        <f>Z125-Q125</f>
        <v>22479841.60799998</v>
      </c>
    </row>
    <row r="126" outlineLevel="1">
      <c r="B126">
        <v>95</v>
      </c>
      <c r="C126" t="str">
        <v>Flexco</v>
      </c>
      <c r="D126">
        <v>5947</v>
      </c>
      <c r="E126" s="1">
        <v>45804</v>
      </c>
      <c r="F126" s="1">
        <v>45864</v>
      </c>
      <c r="J126" s="20">
        <f>IFERROR(IF(TODAY()&gt;=E126,(TODAY()-E126)/I126,0),0)*0</f>
        <v>0</v>
      </c>
      <c r="K126" s="5">
        <v>4172.59</v>
      </c>
      <c r="L126" s="5">
        <v>4162.59</v>
      </c>
      <c r="M126" s="5">
        <f>K126-L126</f>
        <v>10</v>
      </c>
      <c r="N126" s="21">
        <v>4108.6</v>
      </c>
      <c r="O126" s="21">
        <v>4138</v>
      </c>
      <c r="P126" s="21">
        <f>O126-N126</f>
        <v>29.399999999999636</v>
      </c>
      <c r="Q126" s="21">
        <f>K126*N126</f>
        <v>17143503.274000004</v>
      </c>
      <c r="R126" s="21">
        <f>L126*O126</f>
        <v>17224797.42</v>
      </c>
      <c r="S126" s="21">
        <f>R126-Q126</f>
        <v>81294.14599999785</v>
      </c>
      <c r="T126" t="str">
        <f>IF(R126&lt;= Q126,"No Monetizar","Monetizar")</f>
        <v>Monetizar</v>
      </c>
      <c r="V126" s="1">
        <v>45807</v>
      </c>
      <c r="W126" t="str">
        <v>Alfonso Fonseca A</v>
      </c>
      <c r="X126" t="str">
        <v>Alfonso Fonseca A</v>
      </c>
      <c r="Y126" t="str">
        <v>Se monetiza ya que el valor ofrecido por el banco en cada divisa es superior al valor facturado</v>
      </c>
      <c r="Z126" s="21">
        <f>K126*O126</f>
        <v>17266177.42</v>
      </c>
      <c r="AA126" s="21">
        <f>Z126-Q126</f>
        <v>122674.14599999785</v>
      </c>
    </row>
    <row r="127" ht="30" customHeight="1" outlineLevel="1">
      <c r="B127">
        <v>96</v>
      </c>
      <c r="C127" t="str">
        <v>Hong kong yonyou xinfushe cloud technology co</v>
      </c>
      <c r="D127">
        <v>5954</v>
      </c>
      <c r="E127" s="1">
        <v>45806</v>
      </c>
      <c r="F127" s="1">
        <v>45866</v>
      </c>
      <c r="J127" s="20">
        <f>IFERROR(IF(TODAY()&gt;=E127,(TODAY()-E127)/I127,0),0)*0</f>
        <v>0</v>
      </c>
      <c r="K127" s="5">
        <v>17598.29</v>
      </c>
      <c r="L127" s="5">
        <v>17598.29</v>
      </c>
      <c r="M127" s="5">
        <f>K127-L127</f>
        <v>0</v>
      </c>
      <c r="N127" s="21">
        <v>4098.6</v>
      </c>
      <c r="O127" s="21">
        <v>4138</v>
      </c>
      <c r="P127" s="21">
        <f>O127-N127</f>
        <v>39.399999999999636</v>
      </c>
      <c r="Q127" s="21">
        <f>K127*N127</f>
        <v>72128351.39400001</v>
      </c>
      <c r="R127" s="21">
        <f>L127*O127</f>
        <v>72821724.02000001</v>
      </c>
      <c r="S127" s="21">
        <f>R127-Q127</f>
        <v>693372.626000002</v>
      </c>
      <c r="T127" t="str">
        <f>IF(R127&lt;= Q127,"No Monetizar","Monetizar")</f>
        <v>Monetizar</v>
      </c>
      <c r="V127" s="1">
        <v>45807</v>
      </c>
      <c r="W127" t="str">
        <v>Alfonso Fonseca A</v>
      </c>
      <c r="X127" t="str">
        <v>Alfonso Fonseca A</v>
      </c>
      <c r="Y127" t="str">
        <v>Se monetiza ya que el valor ofrecido por el banco en cada divisa es superior al valor facturado</v>
      </c>
      <c r="Z127" s="21">
        <f>K127*O127</f>
        <v>72821724.02000001</v>
      </c>
      <c r="AA127" s="21">
        <f>Z127-Q127</f>
        <v>693372.626000002</v>
      </c>
    </row>
    <row r="128" outlineLevel="1">
      <c r="B128">
        <v>97</v>
      </c>
      <c r="C128" t="str">
        <v>Hemmebarsch GMBH &amp; Co KG</v>
      </c>
      <c r="D128">
        <v>5952</v>
      </c>
      <c r="E128" s="1">
        <v>45805</v>
      </c>
      <c r="F128" s="1">
        <v>45865</v>
      </c>
      <c r="J128" s="20">
        <f>IFERROR(IF(TODAY()&gt;=E128,(TODAY()-E128)/I128,0),0)*0</f>
        <v>0</v>
      </c>
      <c r="K128" s="5">
        <v>1930.16</v>
      </c>
      <c r="L128" s="5">
        <v>1930.16</v>
      </c>
      <c r="M128" s="5">
        <f>K128-L128</f>
        <v>0</v>
      </c>
      <c r="N128" s="21">
        <v>4108.6</v>
      </c>
      <c r="O128" s="21">
        <v>4118.1</v>
      </c>
      <c r="P128" s="21">
        <f>O128-N128</f>
        <v>9.5</v>
      </c>
      <c r="Q128" s="21">
        <f>K128*N128</f>
        <v>7930255.376000001</v>
      </c>
      <c r="R128" s="21">
        <f>L128*O128</f>
        <v>7948591.896000001</v>
      </c>
      <c r="S128" s="21">
        <f>R128-Q128</f>
        <v>18336.519999999553</v>
      </c>
      <c r="T128" t="str">
        <f>IF(R128&lt;= Q128,"No Monetizar","Monetizar")</f>
        <v>Monetizar</v>
      </c>
      <c r="V128" s="1">
        <v>45807</v>
      </c>
      <c r="W128" t="str">
        <v>Alfonso Fonseca A</v>
      </c>
      <c r="X128" t="str">
        <v>Alfonso Fonseca A</v>
      </c>
      <c r="Y128" t="str">
        <v>Se monetiza ya que el valor ofrecido por el banco en cada divisa es superior al valor facturado</v>
      </c>
      <c r="Z128" s="21">
        <f>K128*O128</f>
        <v>7948591.896000001</v>
      </c>
      <c r="AA128" s="21">
        <f>Z128-Q128</f>
        <v>18336.519999999553</v>
      </c>
    </row>
    <row r="129" outlineLevel="1">
      <c r="B129">
        <v>98</v>
      </c>
      <c r="C129" t="str">
        <v>Hemmebarsch GMBH &amp; Co KG</v>
      </c>
      <c r="D129">
        <v>5953</v>
      </c>
      <c r="E129" s="1">
        <v>45805</v>
      </c>
      <c r="F129" s="1">
        <v>45865</v>
      </c>
      <c r="J129" s="20">
        <f>IFERROR(IF(TODAY()&gt;=E129,(TODAY()-E129)/I129,0),0)*0</f>
        <v>0</v>
      </c>
      <c r="K129" s="5">
        <v>1136.1</v>
      </c>
      <c r="L129" s="5">
        <v>1136.1</v>
      </c>
      <c r="M129" s="5">
        <f>K129-L129</f>
        <v>0</v>
      </c>
      <c r="N129" s="21">
        <v>4108.6</v>
      </c>
      <c r="O129" s="21">
        <v>4118.1</v>
      </c>
      <c r="P129" s="21">
        <f>O129-N129</f>
        <v>9.5</v>
      </c>
      <c r="Q129" s="21">
        <f>K129*N129</f>
        <v>4667780.46</v>
      </c>
      <c r="R129" s="21">
        <f>L129*O129</f>
        <v>4678573.41</v>
      </c>
      <c r="S129" s="21">
        <f>R129-Q129</f>
        <v>10792.950000000186</v>
      </c>
      <c r="T129" t="str">
        <f>IF(R129&lt;= Q129,"No Monetizar","Monetizar")</f>
        <v>Monetizar</v>
      </c>
      <c r="V129" s="1">
        <v>45807</v>
      </c>
      <c r="W129" t="str">
        <v>Alfonso Fonseca A</v>
      </c>
      <c r="X129" t="str">
        <v>Alfonso Fonseca A</v>
      </c>
      <c r="Y129" t="str">
        <v>Se monetiza ya que el valor ofrecido por el banco en cada divisa es superior al valor facturado</v>
      </c>
      <c r="Z129" s="21">
        <f>K129*O129</f>
        <v>4678573.41</v>
      </c>
      <c r="AA129" s="21">
        <f>Z129-Q129</f>
        <v>10792.950000000186</v>
      </c>
    </row>
    <row r="130" outlineLevel="1">
      <c r="B130">
        <v>99</v>
      </c>
      <c r="C130" t="str">
        <v>Endrington</v>
      </c>
      <c r="D130">
        <v>5955</v>
      </c>
      <c r="E130" s="1">
        <v>45806</v>
      </c>
      <c r="F130" s="1">
        <v>45866</v>
      </c>
      <c r="J130" s="20">
        <f>IFERROR(IF(TODAY()&gt;=E130,(TODAY()-E130)/I130,0),0)*0</f>
        <v>0</v>
      </c>
      <c r="K130" s="5">
        <v>30508.05</v>
      </c>
      <c r="L130" s="5">
        <v>30508.05</v>
      </c>
      <c r="M130" s="5">
        <f>K130-L130</f>
        <v>0</v>
      </c>
      <c r="N130" s="21">
        <v>4108.6</v>
      </c>
      <c r="O130" s="21">
        <v>4118.1</v>
      </c>
      <c r="P130" s="21">
        <f>O130-N130</f>
        <v>9.5</v>
      </c>
      <c r="Q130" s="21">
        <f>K130*N130</f>
        <v>125345374.23</v>
      </c>
      <c r="R130" s="21">
        <f>L130*O130</f>
        <v>125635200.70500001</v>
      </c>
      <c r="S130" s="21">
        <f>R130-Q130</f>
        <v>289826.47500000894</v>
      </c>
      <c r="T130" t="str">
        <f>IF(R130&lt;= Q130,"No Monetizar","Monetizar")</f>
        <v>Monetizar</v>
      </c>
      <c r="V130" s="1">
        <v>45807</v>
      </c>
      <c r="W130" t="str">
        <v>Alfonso Fonseca A</v>
      </c>
      <c r="X130" t="str">
        <v>Alfonso Fonseca A</v>
      </c>
      <c r="Y130" t="str">
        <v>Se monetiza ya que el valor ofrecido por el banco en cada divisa es superior al valor facturado</v>
      </c>
      <c r="Z130" s="21">
        <f>K130*O130</f>
        <v>125635200.70500001</v>
      </c>
      <c r="AA130" s="21">
        <f>Z130-Q130</f>
        <v>289826.47500000894</v>
      </c>
    </row>
    <row r="131" outlineLevel="1">
      <c r="B131">
        <v>100</v>
      </c>
      <c r="C131" t="str">
        <v>Equus Global Expansion, LLC</v>
      </c>
      <c r="D131">
        <v>5977</v>
      </c>
      <c r="E131" s="1">
        <v>45807</v>
      </c>
      <c r="F131" s="1">
        <v>45867</v>
      </c>
      <c r="J131" s="20">
        <f>IFERROR(IF(TODAY()&gt;=E131,(TODAY()-E131)/I131,0),0)*0</f>
        <v>0</v>
      </c>
      <c r="K131" s="5">
        <v>380.62</v>
      </c>
      <c r="L131" s="5">
        <v>380.62</v>
      </c>
      <c r="M131" s="5">
        <f>K131-L131</f>
        <v>0</v>
      </c>
      <c r="N131" s="21">
        <v>4026.54</v>
      </c>
      <c r="O131" s="21">
        <v>4125.3</v>
      </c>
      <c r="P131" s="21">
        <f>O131-N131</f>
        <v>98.76000000000022</v>
      </c>
      <c r="Q131" s="21">
        <f>K131*N131</f>
        <v>1532581.6548</v>
      </c>
      <c r="R131" s="21">
        <f>L131*O131</f>
        <v>1570171.686</v>
      </c>
      <c r="S131" s="21">
        <f>R131-Q131</f>
        <v>37590.031200000085</v>
      </c>
      <c r="T131" t="str">
        <f>IF(R131&lt;= Q131,"No Monetizar","Monetizar")</f>
        <v>Monetizar</v>
      </c>
      <c r="V131" s="1">
        <v>45811</v>
      </c>
      <c r="W131" t="str">
        <v>Alfonso Fonseca A</v>
      </c>
      <c r="X131" t="str">
        <v>Alfonso Fonseca A</v>
      </c>
      <c r="Y131" t="str">
        <v>Se monetiza ya que el valor ofrecido por el banco en cada divisa es superior al valor facturado</v>
      </c>
      <c r="Z131" s="21">
        <f>K131*O131</f>
        <v>1570171.686</v>
      </c>
      <c r="AA131" s="21">
        <f>Z131-Q131</f>
        <v>37590.031200000085</v>
      </c>
    </row>
    <row r="132" outlineLevel="1">
      <c r="B132">
        <v>101</v>
      </c>
      <c r="C132" t="str">
        <v>Equus Global Expansion, LLC</v>
      </c>
      <c r="D132">
        <v>5978</v>
      </c>
      <c r="E132" s="1">
        <v>45807</v>
      </c>
      <c r="F132" s="1">
        <v>45867</v>
      </c>
      <c r="J132" s="20">
        <f>IFERROR(IF(TODAY()&gt;=E132,(TODAY()-E132)/I132,0),0)*0</f>
        <v>0</v>
      </c>
      <c r="K132" s="5">
        <v>1452.42</v>
      </c>
      <c r="L132" s="5">
        <v>1452.42</v>
      </c>
      <c r="M132" s="5">
        <f>K132-L132</f>
        <v>0</v>
      </c>
      <c r="N132" s="21">
        <v>4026.54</v>
      </c>
      <c r="O132" s="21">
        <v>4125.3</v>
      </c>
      <c r="P132" s="21">
        <f>O132-N132</f>
        <v>98.76000000000022</v>
      </c>
      <c r="Q132" s="21">
        <f>K132*N132</f>
        <v>5848227.2268</v>
      </c>
      <c r="R132" s="21">
        <f>L132*O132</f>
        <v>5991668.226000001</v>
      </c>
      <c r="S132" s="21">
        <f>R132-Q132</f>
        <v>143440.99920000043</v>
      </c>
      <c r="T132" t="str">
        <f>IF(R132&lt;= Q132,"No Monetizar","Monetizar")</f>
        <v>Monetizar</v>
      </c>
      <c r="V132" s="1">
        <v>45811</v>
      </c>
      <c r="W132" t="str">
        <v>Alfonso Fonseca A</v>
      </c>
      <c r="X132" t="str">
        <v>Alfonso Fonseca A</v>
      </c>
      <c r="Y132" t="str">
        <v>Se monetiza ya que el valor ofrecido por el banco en cada divisa es superior al valor facturado</v>
      </c>
      <c r="Z132" s="21">
        <f>K132*O132</f>
        <v>5991668.226000001</v>
      </c>
      <c r="AA132" s="21">
        <f>Z132-Q132</f>
        <v>143440.99920000043</v>
      </c>
    </row>
    <row r="133" outlineLevel="1">
      <c r="B133">
        <v>102</v>
      </c>
      <c r="C133" t="str">
        <v>Hemmebarsch GMBH &amp; Co KG</v>
      </c>
      <c r="D133">
        <v>5865</v>
      </c>
      <c r="E133" s="1">
        <v>45799</v>
      </c>
      <c r="F133" s="1">
        <v>45859</v>
      </c>
      <c r="J133" s="20">
        <f>IFERROR(IF(TODAY()&gt;=E133,(TODAY()-E133)/I133,0),0)*0</f>
        <v>0</v>
      </c>
      <c r="K133" s="5">
        <v>1781.74</v>
      </c>
      <c r="L133" s="5">
        <v>1781.74</v>
      </c>
      <c r="M133" s="5">
        <f>K133-L133</f>
        <v>0</v>
      </c>
      <c r="N133" s="21">
        <v>4186.17</v>
      </c>
      <c r="O133" s="21">
        <v>4186.5</v>
      </c>
      <c r="P133" s="21">
        <f>O133-N133</f>
        <v>0.32999999999992724</v>
      </c>
      <c r="Q133" s="21">
        <f>K133*N133</f>
        <v>7458666.5358</v>
      </c>
      <c r="R133" s="21">
        <f>L133*O133</f>
        <v>7459254.51</v>
      </c>
      <c r="S133" s="21">
        <f>R133-Q133</f>
        <v>587.9742000000551</v>
      </c>
      <c r="T133" t="str">
        <f>IF(R133&lt;= Q133,"No Monetizar","Monetizar")</f>
        <v>Monetizar</v>
      </c>
      <c r="V133" s="1">
        <v>45818</v>
      </c>
      <c r="W133" t="str">
        <v>Alfonso Fonseca A</v>
      </c>
      <c r="X133" t="str">
        <v>Alfonso Fonseca A</v>
      </c>
      <c r="Y133" t="str">
        <v>Se monetiza ya que el valor ofrecido por el banco en cada divisa es superior al valor facturado</v>
      </c>
      <c r="Z133" s="21">
        <f>K133*O133</f>
        <v>7459254.51</v>
      </c>
      <c r="AA133" s="21">
        <f>Z133-Q133</f>
        <v>587.9742000000551</v>
      </c>
    </row>
    <row r="134" outlineLevel="1">
      <c r="B134">
        <v>103</v>
      </c>
      <c r="C134" t="str">
        <v>Hemmebarsch GMBH &amp; Co KG</v>
      </c>
      <c r="D134">
        <v>5866</v>
      </c>
      <c r="E134" s="1">
        <v>45799</v>
      </c>
      <c r="F134" s="1">
        <v>45859</v>
      </c>
      <c r="J134" s="20">
        <f>IFERROR(IF(TODAY()&gt;=E134,(TODAY()-E134)/I134,0),0)*0</f>
        <v>0</v>
      </c>
      <c r="K134" s="5">
        <v>1113.69</v>
      </c>
      <c r="L134" s="5">
        <v>1113.69</v>
      </c>
      <c r="M134" s="5">
        <f>K134-L134</f>
        <v>0</v>
      </c>
      <c r="N134" s="21">
        <v>4186.17</v>
      </c>
      <c r="O134" s="21">
        <v>4186.5</v>
      </c>
      <c r="P134" s="21">
        <f>O134-N134</f>
        <v>0.32999999999992724</v>
      </c>
      <c r="Q134" s="21">
        <f>K134*N134</f>
        <v>4662095.6673</v>
      </c>
      <c r="R134" s="21">
        <f>L134*O134</f>
        <v>4662463.1850000005</v>
      </c>
      <c r="S134" s="21">
        <f>R134-Q134</f>
        <v>367.5177000006661</v>
      </c>
      <c r="T134" t="str">
        <f>IF(R134&lt;= Q134,"No Monetizar","Monetizar")</f>
        <v>Monetizar</v>
      </c>
      <c r="V134" s="1">
        <v>45818</v>
      </c>
      <c r="W134" t="str">
        <v>Alfonso Fonseca A</v>
      </c>
      <c r="X134" t="str">
        <v>Alfonso Fonseca A</v>
      </c>
      <c r="Y134" t="str">
        <v>Se monetiza ya que el valor ofrecido por el banco en cada divisa es superior al valor facturado</v>
      </c>
      <c r="Z134" s="21">
        <f>K134*O134</f>
        <v>4662463.1850000005</v>
      </c>
      <c r="AA134" s="21">
        <f>Z134-Q134</f>
        <v>367.5177000006661</v>
      </c>
    </row>
    <row r="135" outlineLevel="1">
      <c r="B135">
        <v>104</v>
      </c>
      <c r="C135" t="str">
        <v>Insider</v>
      </c>
      <c r="D135">
        <v>5939</v>
      </c>
      <c r="E135" s="1">
        <v>45804</v>
      </c>
      <c r="F135" s="1">
        <v>45864</v>
      </c>
      <c r="J135" s="20">
        <f>IFERROR(IF(TODAY()&gt;=E135,(TODAY()-E135)/I135,0),0)*0</f>
        <v>0</v>
      </c>
      <c r="K135" s="5">
        <v>976</v>
      </c>
      <c r="L135" s="5">
        <v>971</v>
      </c>
      <c r="M135" s="5">
        <f>K135-L135</f>
        <v>5</v>
      </c>
      <c r="N135" s="21">
        <v>4160.25</v>
      </c>
      <c r="O135" s="21">
        <v>4187.5</v>
      </c>
      <c r="P135" s="21">
        <f>O135-N135</f>
        <v>27.25</v>
      </c>
      <c r="Q135" s="21">
        <f>K135*N135</f>
        <v>4060404</v>
      </c>
      <c r="R135" s="21">
        <f>L135*O135</f>
        <v>4066062.5</v>
      </c>
      <c r="S135" s="21">
        <f>R135-Q135</f>
        <v>5658.5</v>
      </c>
      <c r="T135" t="str">
        <f>IF(R135&lt;= Q135,"No Monetizar","Monetizar")</f>
        <v>Monetizar</v>
      </c>
      <c r="V135" s="1">
        <v>45818</v>
      </c>
      <c r="W135" t="str">
        <v>Alfonso Fonseca A</v>
      </c>
      <c r="X135" t="str">
        <v>Alfonso Fonseca A</v>
      </c>
      <c r="Y135" t="str">
        <v>Se monetiza ya que el valor ofrecido por el banco en cada divisa es superior al valor facturado</v>
      </c>
      <c r="Z135" s="21">
        <f>K135*O135</f>
        <v>4087000</v>
      </c>
      <c r="AA135" s="21">
        <f>Z135-Q135</f>
        <v>26596</v>
      </c>
    </row>
    <row r="136" outlineLevel="1">
      <c r="B136">
        <v>105</v>
      </c>
      <c r="C136" t="str">
        <v>Safeguard Payroll LLC</v>
      </c>
      <c r="D136" t="str">
        <v>5828,5829,5830,5831,5832</v>
      </c>
      <c r="E136" s="1">
        <v>45814</v>
      </c>
      <c r="F136" s="1">
        <v>45874</v>
      </c>
      <c r="J136" s="20">
        <f>IFERROR(IF(TODAY()&gt;=E136,(TODAY()-E136)/I136,0),0)*0</f>
        <v>0</v>
      </c>
      <c r="K136" s="5">
        <v>10116.15</v>
      </c>
      <c r="L136" s="5">
        <v>10116.15</v>
      </c>
      <c r="M136" s="5">
        <f>K136-L136</f>
        <v>0</v>
      </c>
      <c r="N136" s="21">
        <v>4152.59</v>
      </c>
      <c r="O136" s="21">
        <v>4186.5</v>
      </c>
      <c r="P136" s="21">
        <f>O136-N136</f>
        <v>33.909999999999854</v>
      </c>
      <c r="Q136" s="21">
        <f>K136*N136</f>
        <v>42008223.3285</v>
      </c>
      <c r="R136" s="21">
        <f>L136*O136</f>
        <v>42351261.975</v>
      </c>
      <c r="S136" s="21">
        <f>R136-Q136</f>
        <v>343038.64649999887</v>
      </c>
      <c r="T136" t="str">
        <f>IF(R136&lt;= Q136,"No Monetizar","Monetizar")</f>
        <v>Monetizar</v>
      </c>
      <c r="V136" s="1">
        <v>45818</v>
      </c>
      <c r="W136" t="str">
        <v>Alfonso Fonseca A</v>
      </c>
      <c r="X136" t="str">
        <v>Alfonso Fonseca A</v>
      </c>
      <c r="Y136" t="str">
        <v>Se monetiza ya que el valor ofrecido por el banco en cada divisa es superior al valor facturado</v>
      </c>
      <c r="Z136" s="21">
        <f>K136*O136</f>
        <v>42351261.975</v>
      </c>
      <c r="AA136" s="21">
        <f>Z136-Q136</f>
        <v>343038.64649999887</v>
      </c>
    </row>
    <row r="137" outlineLevel="1">
      <c r="B137">
        <v>106</v>
      </c>
      <c r="C137" t="str">
        <v>Remofirst</v>
      </c>
      <c r="D137">
        <v>5961</v>
      </c>
      <c r="E137" s="1">
        <v>45800</v>
      </c>
      <c r="F137" s="1">
        <v>45860</v>
      </c>
      <c r="J137" s="20">
        <f>IFERROR(IF(TODAY()&gt;=E137,(TODAY()-E137)/I137,0),0)*0</f>
        <v>0</v>
      </c>
      <c r="K137" s="5">
        <v>1569.4</v>
      </c>
      <c r="L137" s="5">
        <v>1569.4</v>
      </c>
      <c r="M137" s="5">
        <f>K137-L137</f>
        <v>0</v>
      </c>
      <c r="N137" s="21">
        <v>4186.79</v>
      </c>
      <c r="O137" s="21">
        <v>4193</v>
      </c>
      <c r="P137" s="21">
        <f>O137-N137</f>
        <v>6.210000000000036</v>
      </c>
      <c r="Q137" s="21">
        <f>K137*N137</f>
        <v>6570748.226000001</v>
      </c>
      <c r="R137" s="21">
        <f>L137*O137</f>
        <v>6580494.2</v>
      </c>
      <c r="S137" s="21">
        <f>R137-Q137</f>
        <v>9745.973999999464</v>
      </c>
      <c r="T137" t="str">
        <f>IF(R137&lt;= Q137,"No Monetizar","Monetizar")</f>
        <v>Monetizar</v>
      </c>
      <c r="V137" s="1">
        <v>45818</v>
      </c>
      <c r="W137" t="str">
        <v>Alfonso Fonseca A</v>
      </c>
      <c r="X137" t="str">
        <v>Alfonso Fonseca A</v>
      </c>
      <c r="Y137" t="str">
        <v>Se monetiza ya que el valor ofrecido por el banco en cada divisa es superior al valor facturado</v>
      </c>
      <c r="Z137" s="21">
        <f>K137*O137</f>
        <v>6580494.2</v>
      </c>
      <c r="AA137" s="21">
        <f>Z137-Q137</f>
        <v>9745.973999999464</v>
      </c>
    </row>
    <row r="138" outlineLevel="1">
      <c r="B138">
        <v>107</v>
      </c>
      <c r="C138" t="str">
        <v>Bubble BPM</v>
      </c>
      <c r="D138">
        <v>5960</v>
      </c>
      <c r="E138" s="1">
        <v>45793</v>
      </c>
      <c r="F138" s="1">
        <v>45853</v>
      </c>
      <c r="J138" s="20">
        <f>IFERROR(IF(TODAY()&gt;=E138,(TODAY()-E138)/I138,0),0)*0</f>
        <v>0</v>
      </c>
      <c r="K138" s="5">
        <v>1203.69</v>
      </c>
      <c r="L138" s="5">
        <v>1173.69</v>
      </c>
      <c r="M138" s="5">
        <f>K138-L138</f>
        <v>30</v>
      </c>
      <c r="N138" s="21">
        <v>4094.18</v>
      </c>
      <c r="O138" s="21">
        <v>4200.1</v>
      </c>
      <c r="P138" s="21">
        <f>O138-N138</f>
        <v>105.92000000000053</v>
      </c>
      <c r="Q138" s="21">
        <f>K138*N138</f>
        <v>4928123.5242</v>
      </c>
      <c r="R138" s="21">
        <f>L138*O138</f>
        <v>4929615.369000001</v>
      </c>
      <c r="S138" s="21">
        <f>R138-Q138</f>
        <v>1491.8448000010103</v>
      </c>
      <c r="T138" t="str">
        <f>IF(R138&lt;= Q138,"No Monetizar","Monetizar")</f>
        <v>Monetizar</v>
      </c>
      <c r="V138" s="1">
        <v>45818</v>
      </c>
      <c r="W138" t="str">
        <v>Alfonso Fonseca A</v>
      </c>
      <c r="X138" t="str">
        <v>Alfonso Fonseca A</v>
      </c>
      <c r="Y138" t="str">
        <v>Se monetiza ya que el valor ofrecido por el banco en cada divisa es superior al valor facturado</v>
      </c>
      <c r="Z138" s="21">
        <f>K138*O138</f>
        <v>5055618.369000001</v>
      </c>
      <c r="AA138" s="21">
        <f>Z138-Q138</f>
        <v>127494.84480000101</v>
      </c>
    </row>
    <row r="139" outlineLevel="1">
      <c r="B139">
        <v>108</v>
      </c>
      <c r="C139" t="str">
        <v>Action</v>
      </c>
      <c r="D139">
        <v>6008</v>
      </c>
      <c r="E139" s="1">
        <v>45819</v>
      </c>
      <c r="F139" s="1">
        <v>45879</v>
      </c>
      <c r="J139" s="20">
        <f>IFERROR(IF(TODAY()&gt;=E139,(TODAY()-E139)/I139,0),0)*0</f>
        <v>0</v>
      </c>
      <c r="K139" s="5">
        <v>3491.88</v>
      </c>
      <c r="L139" s="5">
        <v>3491.88</v>
      </c>
      <c r="M139" s="5">
        <f>K139-L139</f>
        <v>0</v>
      </c>
      <c r="N139" s="21">
        <v>3977.66</v>
      </c>
      <c r="O139" s="21">
        <v>4173</v>
      </c>
      <c r="P139" s="21">
        <f>O139-N139</f>
        <v>195.34000000000015</v>
      </c>
      <c r="Q139" s="21">
        <f>K139*N139</f>
        <v>13889511.400799999</v>
      </c>
      <c r="R139" s="21">
        <f>L139*O139</f>
        <v>14571615.24</v>
      </c>
      <c r="S139" s="21">
        <f>R139-Q139</f>
        <v>682103.8392000012</v>
      </c>
      <c r="T139" t="str">
        <f>IF(R139&lt;= Q139,"No Monetizar","Monetizar")</f>
        <v>Monetizar</v>
      </c>
      <c r="V139" s="1">
        <v>45819</v>
      </c>
      <c r="W139" t="str">
        <v>Alfonso Fonseca A</v>
      </c>
      <c r="X139" t="str">
        <v>Alfonso Fonseca A</v>
      </c>
      <c r="Y139" t="str">
        <v>Se monetiza ya que el valor ofrecido por el banco en cada divisa es superior al valor facturado</v>
      </c>
      <c r="Z139" s="21">
        <f>K139*O139</f>
        <v>14571615.24</v>
      </c>
      <c r="AA139" s="21">
        <f>Z139-Q139</f>
        <v>682103.8392000012</v>
      </c>
    </row>
    <row r="140" outlineLevel="1">
      <c r="B140">
        <v>109</v>
      </c>
      <c r="C140" t="str">
        <v>Remofirst</v>
      </c>
      <c r="D140">
        <v>6009</v>
      </c>
      <c r="E140" s="1">
        <v>45819</v>
      </c>
      <c r="F140" s="1">
        <v>45879</v>
      </c>
      <c r="J140" s="20">
        <f>IFERROR(IF(TODAY()&gt;=E140,(TODAY()-E140)/I140,0),0)*0</f>
        <v>0</v>
      </c>
      <c r="K140" s="5">
        <v>12826.45</v>
      </c>
      <c r="L140" s="5">
        <v>12826.45</v>
      </c>
      <c r="M140" s="5">
        <f>K140-L140</f>
        <v>0</v>
      </c>
      <c r="N140" s="21">
        <v>3957.85</v>
      </c>
      <c r="O140" s="21">
        <v>4140</v>
      </c>
      <c r="P140" s="21">
        <f>O140-N140</f>
        <v>182.1500000000001</v>
      </c>
      <c r="Q140" s="21">
        <f>K140*N140</f>
        <v>50765165.1325</v>
      </c>
      <c r="R140" s="21">
        <f>L140*O140</f>
        <v>53101503</v>
      </c>
      <c r="S140" s="21">
        <f>R140-Q140</f>
        <v>2336337.8674999997</v>
      </c>
      <c r="T140" t="str">
        <f>IF(R140&lt;= Q140,"No Monetizar","Monetizar")</f>
        <v>Monetizar</v>
      </c>
      <c r="V140" s="1">
        <v>45821</v>
      </c>
      <c r="W140" t="str">
        <v>Alfonso Fonseca A</v>
      </c>
      <c r="X140" t="str">
        <v>Alfonso Fonseca A</v>
      </c>
      <c r="Y140" t="str">
        <v>Se monetiza ya que el valor ofrecido por el banco en cada divisa es superior al valor facturado</v>
      </c>
      <c r="Z140" s="21">
        <f>K140*O140</f>
        <v>53101503</v>
      </c>
      <c r="AA140" s="21">
        <f>Z140-Q140</f>
        <v>2336337.8674999997</v>
      </c>
    </row>
    <row r="141" outlineLevel="1">
      <c r="B141">
        <v>110</v>
      </c>
      <c r="C141" t="str">
        <v>Flexco</v>
      </c>
      <c r="D141">
        <v>6028</v>
      </c>
      <c r="E141" s="1">
        <v>45825</v>
      </c>
      <c r="F141" s="1">
        <v>45885</v>
      </c>
      <c r="J141" s="20">
        <f>IFERROR(IF(TODAY()&gt;=E141,(TODAY()-E141)/I141,0),0)*0</f>
        <v>0</v>
      </c>
      <c r="K141" s="5">
        <v>3758.59</v>
      </c>
      <c r="L141" s="5">
        <v>3748.59</v>
      </c>
      <c r="M141" s="5">
        <f>K141-L141</f>
        <v>10</v>
      </c>
      <c r="N141" s="21">
        <v>4049.13</v>
      </c>
      <c r="O141" s="21">
        <v>4065.2</v>
      </c>
      <c r="P141" s="21">
        <f>O141-N141</f>
        <v>16.06999999999971</v>
      </c>
      <c r="Q141" s="21">
        <f>K141*N141</f>
        <v>15219019.526700001</v>
      </c>
      <c r="R141" s="21">
        <f>L141*O141</f>
        <v>15238768.068</v>
      </c>
      <c r="S141" s="21">
        <f>R141-Q141</f>
        <v>19748.54129999876</v>
      </c>
      <c r="T141" t="str">
        <f>IF(R141&lt;= Q141,"No Monetizar","Monetizar")</f>
        <v>Monetizar</v>
      </c>
      <c r="V141" s="1">
        <v>45826</v>
      </c>
      <c r="W141" t="str">
        <v>Alfonso Fonseca A</v>
      </c>
      <c r="X141" t="str">
        <v>Alfonso Fonseca A</v>
      </c>
      <c r="Y141" t="str">
        <v>Se monetiza ya que el valor ofrecido por el banco en cada divisa es superior al valor facturado</v>
      </c>
      <c r="Z141" s="21">
        <f>K141*O141</f>
        <v>15279420.068</v>
      </c>
      <c r="AA141" s="21">
        <f>Z141-Q141</f>
        <v>60400.54129999876</v>
      </c>
    </row>
    <row r="142" outlineLevel="1">
      <c r="B142">
        <v>111</v>
      </c>
      <c r="C142" t="str">
        <v>Marketing Doctors</v>
      </c>
      <c r="D142">
        <v>6027</v>
      </c>
      <c r="E142" s="1">
        <v>45825</v>
      </c>
      <c r="F142" s="1">
        <v>45885</v>
      </c>
      <c r="J142" s="20">
        <f>IFERROR(IF(TODAY()&gt;=E142,(TODAY()-E142)/I142,0),0)*0</f>
        <v>0</v>
      </c>
      <c r="K142" s="5">
        <v>2374.58</v>
      </c>
      <c r="L142" s="5">
        <v>2374.58</v>
      </c>
      <c r="M142" s="5">
        <f>K142-L142</f>
        <v>0</v>
      </c>
      <c r="N142" s="21">
        <v>4049.13</v>
      </c>
      <c r="O142" s="21">
        <v>4065.2</v>
      </c>
      <c r="P142" s="21">
        <f>O142-N142</f>
        <v>16.06999999999971</v>
      </c>
      <c r="Q142" s="21">
        <f>K142*N142</f>
        <v>9614983.1154</v>
      </c>
      <c r="R142" s="21">
        <f>L142*O142</f>
        <v>9653142.615999999</v>
      </c>
      <c r="S142" s="21">
        <f>R142-Q142</f>
        <v>38159.50059999898</v>
      </c>
      <c r="T142" t="str">
        <f>IF(R142&lt;= Q142,"No Monetizar","Monetizar")</f>
        <v>Monetizar</v>
      </c>
      <c r="V142" s="1">
        <v>45826</v>
      </c>
      <c r="W142" t="str">
        <v>Alfonso Fonseca A</v>
      </c>
      <c r="X142" t="str">
        <v>Alfonso Fonseca A</v>
      </c>
      <c r="Y142" t="str">
        <v>Se monetiza ya que el valor ofrecido por el banco en cada divisa es superior al valor facturado</v>
      </c>
      <c r="Z142" s="21">
        <f>K142*O142</f>
        <v>9653142.615999999</v>
      </c>
      <c r="AA142" s="21">
        <f>Z142-Q142</f>
        <v>38159.50059999898</v>
      </c>
    </row>
    <row r="143" outlineLevel="1">
      <c r="B143">
        <v>112</v>
      </c>
      <c r="C143" t="str">
        <v xml:space="preserve">Neo </v>
      </c>
      <c r="D143">
        <v>6031</v>
      </c>
      <c r="E143" s="1">
        <v>45827</v>
      </c>
      <c r="F143" s="1">
        <v>45887</v>
      </c>
      <c r="J143" s="20">
        <f>IFERROR(IF(TODAY()&gt;=E143,(TODAY()-E143)/I143,0),0)*0</f>
        <v>0</v>
      </c>
      <c r="K143" s="5">
        <v>25064.35</v>
      </c>
      <c r="L143" s="5">
        <v>25018.35</v>
      </c>
      <c r="M143" s="5">
        <f>K143-L143</f>
        <v>46</v>
      </c>
      <c r="N143" s="21">
        <v>4019.13</v>
      </c>
      <c r="O143" s="21">
        <v>4051</v>
      </c>
      <c r="P143" s="21">
        <f>O143-N143</f>
        <v>31.86999999999989</v>
      </c>
      <c r="Q143" s="21">
        <f>K143*N143</f>
        <v>100736881.0155</v>
      </c>
      <c r="R143" s="21">
        <f>L143*O143</f>
        <v>101349335.85</v>
      </c>
      <c r="S143" s="21">
        <f>R143-Q143</f>
        <v>612454.8344999999</v>
      </c>
      <c r="T143" t="str">
        <f>IF(R143&lt;= Q143,"No Monetizar","Monetizar")</f>
        <v>Monetizar</v>
      </c>
      <c r="V143" s="1">
        <v>45828</v>
      </c>
      <c r="W143" t="str">
        <v>Alfonso Fonseca A</v>
      </c>
      <c r="X143" t="str">
        <v>Alfonso Fonseca A</v>
      </c>
      <c r="Y143" t="str">
        <v>Se monetiza ya que el valor ofrecido por el banco en cada divisa es superior al valor facturado</v>
      </c>
      <c r="Z143" s="21">
        <f>K143*O143</f>
        <v>101535681.85</v>
      </c>
      <c r="AA143" s="21">
        <f>Z143-Q143</f>
        <v>798800.8344999999</v>
      </c>
    </row>
    <row r="144" outlineLevel="1">
      <c r="B144">
        <v>113</v>
      </c>
      <c r="C144" t="str">
        <v>Nazdar ink technologies</v>
      </c>
      <c r="D144">
        <v>6029</v>
      </c>
      <c r="E144" s="1">
        <v>45827</v>
      </c>
      <c r="F144" s="1">
        <v>45887</v>
      </c>
      <c r="J144" s="20">
        <f>IFERROR(IF(TODAY()&gt;=E144,(TODAY()-E144)/I144,0),0)*0</f>
        <v>0</v>
      </c>
      <c r="K144" s="5">
        <v>15808.63</v>
      </c>
      <c r="L144" s="5">
        <v>15793.63</v>
      </c>
      <c r="M144" s="5">
        <f>K144-L144</f>
        <v>15</v>
      </c>
      <c r="N144" s="21">
        <v>4049.13</v>
      </c>
      <c r="O144" s="21">
        <v>4066</v>
      </c>
      <c r="P144" s="21">
        <f>O144-N144</f>
        <v>16.86999999999989</v>
      </c>
      <c r="Q144" s="21">
        <f>K144*N144</f>
        <v>64011197.9919</v>
      </c>
      <c r="R144" s="21">
        <f>L144*O144</f>
        <v>64216899.58</v>
      </c>
      <c r="S144" s="21">
        <f>R144-Q144</f>
        <v>205701.58810000122</v>
      </c>
      <c r="T144" t="str">
        <f>IF(R144&lt;= Q144,"No Monetizar","Monetizar")</f>
        <v>Monetizar</v>
      </c>
      <c r="V144" s="1">
        <v>45828</v>
      </c>
      <c r="W144" t="str">
        <v>Alfonso Fonseca A</v>
      </c>
      <c r="X144" t="str">
        <v>Alfonso Fonseca A</v>
      </c>
      <c r="Y144" t="str">
        <v>Se monetiza ya que el valor ofrecido por el banco en cada divisa es superior al valor facturado</v>
      </c>
      <c r="Z144" s="21">
        <f>K144*O144</f>
        <v>64277889.58</v>
      </c>
      <c r="AA144" s="21">
        <f>Z144-Q144</f>
        <v>266691.5881000012</v>
      </c>
    </row>
    <row r="145" outlineLevel="1">
      <c r="B145">
        <v>114</v>
      </c>
      <c r="C145" t="str">
        <v>Equus Global Expansion, LLC</v>
      </c>
      <c r="D145">
        <v>6026</v>
      </c>
      <c r="E145" s="1">
        <v>45826</v>
      </c>
      <c r="F145" s="1">
        <v>45886</v>
      </c>
      <c r="J145" s="20">
        <f>IFERROR(IF(TODAY()&gt;=E145,(TODAY()-E145)/I145,0),0)*0</f>
        <v>0</v>
      </c>
      <c r="K145" s="5">
        <v>1446.97</v>
      </c>
      <c r="L145" s="5">
        <v>1446.97</v>
      </c>
      <c r="M145" s="5">
        <f>K145-L145</f>
        <v>0</v>
      </c>
      <c r="N145" s="21">
        <v>4049.13</v>
      </c>
      <c r="O145" s="21">
        <v>4066.2</v>
      </c>
      <c r="P145" s="21">
        <f>O145-N145</f>
        <v>17.06999999999971</v>
      </c>
      <c r="Q145" s="21">
        <f>K145*N145</f>
        <v>5858969.636100001</v>
      </c>
      <c r="R145" s="21">
        <f>L145*O145</f>
        <v>5883669.414</v>
      </c>
      <c r="S145" s="21">
        <f>R145-Q145</f>
        <v>24699.77789999917</v>
      </c>
      <c r="T145" t="str">
        <f>IF(R145&lt;= Q145,"No Monetizar","Monetizar")</f>
        <v>Monetizar</v>
      </c>
      <c r="V145" s="1">
        <v>45828</v>
      </c>
      <c r="W145" t="str">
        <v>Alfonso Fonseca A</v>
      </c>
      <c r="X145" t="str">
        <v>Alfonso Fonseca A</v>
      </c>
      <c r="Y145" t="str">
        <v>Se monetiza ya que el valor ofrecido por el banco en cada divisa es superior al valor facturado</v>
      </c>
      <c r="Z145" s="21">
        <f>K145*O145</f>
        <v>5883669.414</v>
      </c>
      <c r="AA145" s="21">
        <f>Z145-Q145</f>
        <v>24699.77789999917</v>
      </c>
    </row>
    <row r="146" outlineLevel="1" xml:space="preserve">
      <c r="B146">
        <v>115</v>
      </c>
      <c r="C146" t="str">
        <v>Bubble BPM</v>
      </c>
      <c r="D146">
        <v>5873</v>
      </c>
      <c r="E146" s="1">
        <v>45771</v>
      </c>
      <c r="F146" s="1">
        <v>45828</v>
      </c>
      <c r="J146" s="20">
        <f>IFERROR(IF(TODAY()&gt;=E146,(TODAY()-E146)/I146,0),0)*0</f>
        <v>0</v>
      </c>
      <c r="K146" s="5">
        <v>758.25</v>
      </c>
      <c r="L146" s="5">
        <v>745.3208029487492</v>
      </c>
      <c r="M146" s="5">
        <f>K146-L146</f>
        <v>12.929197051250753</v>
      </c>
      <c r="N146" s="21">
        <v>4097.73</v>
      </c>
      <c r="O146" s="21">
        <v>4062.1</v>
      </c>
      <c r="P146" s="21">
        <f>O146-N146</f>
        <v>-35.629999999999654</v>
      </c>
      <c r="Q146" s="21">
        <f>K146*N146</f>
        <v>3107103.7724999995</v>
      </c>
      <c r="R146" s="21">
        <f>L146*O146</f>
        <v>3027567.6336581144</v>
      </c>
      <c r="S146" s="21">
        <f>R146-Q146</f>
        <v>-79536.13884188514</v>
      </c>
      <c r="T146" t="str">
        <f>IF(R146&lt;= Q146,"No Monetizar","Monetizar")</f>
        <v>No Monetizar</v>
      </c>
      <c r="V146" s="1">
        <v>45828</v>
      </c>
      <c r="W146" t="str">
        <v>Alfonso Fonseca A</v>
      </c>
      <c r="X146" t="str">
        <v>Alfonso Fonseca A</v>
      </c>
      <c r="Y146" t="str" xml:space="preserve">
        <v xml:space="preserve">Se ha decidido monetizar estas divisas a pesar de que el valor recibido está por debajo del monto facturado, considerando que la fecha límite para su devolución vencía el próximo lunes festivo 23 de Junio._x000d_
_x000d_
Adicionalmente, al momento del cobro, la TRM se encontraba en $4.097,73, mientras que en la actualidad la divisa ha registrado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46" s="21">
        <f>K146*O146</f>
        <v>3080087.3249999997</v>
      </c>
      <c r="AA146" s="21">
        <f>Z146-Q146</f>
        <v>-27016.447499999776</v>
      </c>
    </row>
    <row r="147" outlineLevel="1" xml:space="preserve">
      <c r="B147">
        <v>116</v>
      </c>
      <c r="C147" t="str">
        <v>Bubble BPM</v>
      </c>
      <c r="D147">
        <v>5881</v>
      </c>
      <c r="E147" s="1">
        <v>45771</v>
      </c>
      <c r="F147" s="1">
        <v>45828</v>
      </c>
      <c r="J147" s="20">
        <f>IFERROR(IF(TODAY()&gt;=E147,(TODAY()-E147)/I147,0),0)*0</f>
        <v>0</v>
      </c>
      <c r="K147" s="5">
        <v>1001.14</v>
      </c>
      <c r="L147" s="5">
        <v>984.0691970512507</v>
      </c>
      <c r="M147" s="5">
        <f>K147-L147</f>
        <v>17.070802948749247</v>
      </c>
      <c r="N147" s="21">
        <v>4357.39</v>
      </c>
      <c r="O147" s="21">
        <v>4062.1</v>
      </c>
      <c r="P147" s="21">
        <f>O147-N147</f>
        <v>-295.2900000000004</v>
      </c>
      <c r="Q147" s="21">
        <f>K147*N147</f>
        <v>4362357.4246000005</v>
      </c>
      <c r="R147" s="21">
        <f>L147*O147</f>
        <v>3997387.4853418856</v>
      </c>
      <c r="S147" s="21">
        <f>R147-Q147</f>
        <v>-364969.9392581149</v>
      </c>
      <c r="T147" t="str">
        <f>IF(R147&lt;= Q147,"No Monetizar","Monetizar")</f>
        <v>No Monetizar</v>
      </c>
      <c r="V147" s="1">
        <v>45828</v>
      </c>
      <c r="W147" t="str">
        <v>Alfonso Fonseca A</v>
      </c>
      <c r="X147" t="str">
        <v>Alfonso Fonseca A</v>
      </c>
      <c r="Y147" t="str" xml:space="preserve">
        <v xml:space="preserve">Se ha decidido monetizar estas divisas a pesar de que el valor recibido está por debajo del monto facturado, considerando que la fecha límite para su devolución vencía el próximo lunes festivo 23 de Junio._x000d_
_x000d_
Adicionalmente, al momento del cobro, la TRM se encontraba en $4.357,39, mientras que en la actualidad la divisa ha registrado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47" s="21">
        <f>K147*O147</f>
        <v>4066730.7939999998</v>
      </c>
      <c r="AA147" s="21">
        <f>Z147-Q147</f>
        <v>-295626.63060000073</v>
      </c>
    </row>
    <row r="148" outlineLevel="1">
      <c r="B148">
        <v>117</v>
      </c>
      <c r="C148" t="str">
        <v>Remofisrt</v>
      </c>
      <c r="D148">
        <v>6015</v>
      </c>
      <c r="E148" s="1">
        <v>45831</v>
      </c>
      <c r="F148" s="1">
        <v>45891</v>
      </c>
      <c r="J148" s="20">
        <f>IFERROR(IF(TODAY()&gt;=E148,(TODAY()-E148)/I148,0),0)*0</f>
        <v>0</v>
      </c>
      <c r="K148" s="5">
        <v>261338.74</v>
      </c>
      <c r="L148" s="5">
        <v>261338.74</v>
      </c>
      <c r="M148" s="5">
        <f>K148-L148</f>
        <v>0</v>
      </c>
      <c r="N148" s="21">
        <v>3957.85</v>
      </c>
      <c r="O148" s="21">
        <v>4074</v>
      </c>
      <c r="P148" s="21">
        <f>O148-N148</f>
        <v>116.15000000000009</v>
      </c>
      <c r="Q148" s="21">
        <f>K148*N148</f>
        <v>1034339532.109</v>
      </c>
      <c r="R148" s="21">
        <f>L148*O148</f>
        <v>1064694026.76</v>
      </c>
      <c r="S148" s="21">
        <f>R148-Q148</f>
        <v>30354494.651000023</v>
      </c>
      <c r="T148" t="str">
        <f>IF(R148&lt;= Q148,"No Monetizar","Monetizar")</f>
        <v>Monetizar</v>
      </c>
      <c r="V148" s="1">
        <v>45832</v>
      </c>
      <c r="W148" t="str">
        <v>Alfonso Fonseca A</v>
      </c>
      <c r="X148" t="str">
        <v>Alfonso Fonseca A</v>
      </c>
      <c r="Y148" t="str">
        <v>Se monetiza ya que el valor ofrecido por el banco en cada divisa es superior al valor facturado</v>
      </c>
      <c r="Z148" s="21">
        <f>K148*O148</f>
        <v>1064694026.76</v>
      </c>
      <c r="AA148" s="21">
        <f>Z148-Q148</f>
        <v>30354494.651000023</v>
      </c>
    </row>
    <row r="149" outlineLevel="1">
      <c r="B149">
        <v>118</v>
      </c>
      <c r="C149" t="str">
        <v>Oncehub</v>
      </c>
      <c r="D149">
        <v>6030</v>
      </c>
      <c r="E149" s="1">
        <v>45831</v>
      </c>
      <c r="F149" s="1">
        <v>45891</v>
      </c>
      <c r="J149" s="20">
        <f>IFERROR(IF(TODAY()&gt;=E149,(TODAY()-E149)/I149,0),0)*0</f>
        <v>0</v>
      </c>
      <c r="K149" s="5">
        <v>4351.06</v>
      </c>
      <c r="L149" s="5">
        <v>4331.06</v>
      </c>
      <c r="M149" s="5">
        <f>K149-L149</f>
        <v>20</v>
      </c>
      <c r="N149" s="21">
        <v>4049.13</v>
      </c>
      <c r="O149" s="21">
        <v>4073.5</v>
      </c>
      <c r="P149" s="21">
        <f>O149-N149</f>
        <v>24.36999999999989</v>
      </c>
      <c r="Q149" s="21">
        <f>K149*N149</f>
        <v>17618007.577800002</v>
      </c>
      <c r="R149" s="21">
        <f>L149*O149</f>
        <v>17642572.91</v>
      </c>
      <c r="S149" s="21">
        <f>R149-Q149</f>
        <v>24565.3321999982</v>
      </c>
      <c r="T149" t="str">
        <f>IF(R149&lt;= Q149,"No Monetizar","Monetizar")</f>
        <v>Monetizar</v>
      </c>
      <c r="V149" s="1">
        <v>45832</v>
      </c>
      <c r="W149" t="str">
        <v>Alfonso Fonseca A</v>
      </c>
      <c r="X149" t="str">
        <v>Alfonso Fonseca A</v>
      </c>
      <c r="Y149" t="str">
        <v>Se monetiza ya que el valor ofrecido por el banco en cada divisa es superior al valor facturado</v>
      </c>
      <c r="Z149" s="21">
        <f>K149*O149</f>
        <v>17724042.91</v>
      </c>
      <c r="AA149" s="21">
        <f>Z149-Q149</f>
        <v>106035.3321999982</v>
      </c>
    </row>
    <row r="150" outlineLevel="1">
      <c r="B150">
        <v>119</v>
      </c>
      <c r="C150" t="str">
        <v>Endrington</v>
      </c>
      <c r="D150">
        <v>6051</v>
      </c>
      <c r="E150" s="1">
        <v>45832</v>
      </c>
      <c r="F150" s="1">
        <v>45892</v>
      </c>
      <c r="J150" s="20">
        <f>IFERROR(IF(TODAY()&gt;=E150,(TODAY()-E150)/I150,0),0)*0</f>
        <v>0</v>
      </c>
      <c r="K150" s="5">
        <v>19530.17</v>
      </c>
      <c r="L150" s="5">
        <v>19530.17</v>
      </c>
      <c r="M150" s="5">
        <f>K150-L150</f>
        <v>0</v>
      </c>
      <c r="N150" s="21">
        <v>3956.32</v>
      </c>
      <c r="O150" s="21">
        <v>4063</v>
      </c>
      <c r="P150" s="21">
        <f>O150-N150</f>
        <v>106.67999999999984</v>
      </c>
      <c r="Q150" s="21">
        <f>K150*N150</f>
        <v>77267602.1744</v>
      </c>
      <c r="R150" s="21">
        <f>L150*O150</f>
        <v>79351080.71</v>
      </c>
      <c r="S150" s="21">
        <f>R150-Q150</f>
        <v>2083478.5355999917</v>
      </c>
      <c r="T150" t="str">
        <f>IF(R150&lt;= Q150,"No Monetizar","Monetizar")</f>
        <v>Monetizar</v>
      </c>
      <c r="V150" s="1">
        <v>45832</v>
      </c>
      <c r="W150" t="str">
        <v>Alfonso Fonseca A</v>
      </c>
      <c r="X150" t="str">
        <v>Alfonso Fonseca A</v>
      </c>
      <c r="Y150" t="str">
        <v>Se monetiza ya que el valor ofrecido por el banco en cada divisa es superior al valor facturado</v>
      </c>
      <c r="Z150" s="21">
        <f>K150*O150</f>
        <v>79351080.71</v>
      </c>
      <c r="AA150" s="21">
        <f>Z150-Q150</f>
        <v>2083478.5355999917</v>
      </c>
    </row>
    <row r="151" outlineLevel="1" xml:space="preserve">
      <c r="B151">
        <v>120</v>
      </c>
      <c r="C151" t="str">
        <v>Oncehub</v>
      </c>
      <c r="D151">
        <v>5886</v>
      </c>
      <c r="E151" s="1">
        <v>45776</v>
      </c>
      <c r="F151" s="1">
        <v>45835</v>
      </c>
      <c r="J151" s="20">
        <f>IFERROR(IF(TODAY()&gt;=E151,(TODAY()-E151)/I151,0),0)*0</f>
        <v>0</v>
      </c>
      <c r="K151" s="5">
        <v>3192.8100000000004</v>
      </c>
      <c r="L151" s="5">
        <v>3172.81</v>
      </c>
      <c r="M151" s="5">
        <f>K151-L151</f>
        <v>20.000000000000455</v>
      </c>
      <c r="N151" s="21">
        <v>4286.17</v>
      </c>
      <c r="O151" s="21">
        <v>4021.6</v>
      </c>
      <c r="P151" s="21">
        <f>O151-N151</f>
        <v>-264.57000000000016</v>
      </c>
      <c r="Q151" s="21">
        <f>K151*N151</f>
        <v>13684926.437700002</v>
      </c>
      <c r="R151" s="21">
        <f>L151*O151</f>
        <v>12759772.695999999</v>
      </c>
      <c r="S151" s="21">
        <f>R151-Q151</f>
        <v>-925153.7417000029</v>
      </c>
      <c r="T151" t="str">
        <f>IF(R151&lt;= Q151,"No Monetizar","Monetizar")</f>
        <v>No Monetizar</v>
      </c>
      <c r="V151" s="1">
        <v>45835</v>
      </c>
      <c r="W151" t="str">
        <v>Alfonso Fonseca A</v>
      </c>
      <c r="X151" t="str">
        <v>Alfonso Fonseca A</v>
      </c>
      <c r="Y151" t="str" xml:space="preserve">
        <v xml:space="preserve">Se ha decidido monetizar estas divisas a pesar de que el valor recibido está por debajo del monto facturado, considerando que la fecha límite para su devolución vencía el Sabado28 de Junio._x000d_
_x000d_
Adicionalmente, al momento del cobro, la TRM se encontraba en $4.021,60, mientras que en la actualidad la divisa ha registrado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51" s="21">
        <f>K151*O151</f>
        <v>12840204.696</v>
      </c>
      <c r="AA151" s="21">
        <f>Z151-Q151</f>
        <v>-844721.7417000011</v>
      </c>
    </row>
    <row r="152" ht="30" customHeight="1" outlineLevel="1">
      <c r="B152">
        <v>121</v>
      </c>
      <c r="C152" t="str">
        <v>Hong kong yonyou xinfushe cloud technology co</v>
      </c>
      <c r="D152">
        <v>6035</v>
      </c>
      <c r="E152" s="1">
        <v>45833</v>
      </c>
      <c r="F152" s="1">
        <v>45893</v>
      </c>
      <c r="J152" s="20">
        <f>IFERROR(IF(TODAY()&gt;=E152,(TODAY()-E152)/I152,0),0)*0</f>
        <v>0</v>
      </c>
      <c r="K152" s="5">
        <v>12099.32</v>
      </c>
      <c r="L152" s="5">
        <v>12099.32</v>
      </c>
      <c r="M152" s="5">
        <f>K152-L152</f>
        <v>0</v>
      </c>
      <c r="N152" s="21">
        <v>4049.13</v>
      </c>
      <c r="O152" s="21">
        <v>4057</v>
      </c>
      <c r="P152" s="21">
        <f>O152-N152</f>
        <v>7.869999999999891</v>
      </c>
      <c r="Q152" s="21">
        <f>K152*N152</f>
        <v>48991719.5916</v>
      </c>
      <c r="R152" s="21">
        <f>L152*O152</f>
        <v>49086941.24</v>
      </c>
      <c r="S152" s="21">
        <f>R152-Q152</f>
        <v>95221.64840000123</v>
      </c>
      <c r="T152" t="str">
        <f>IF(R152&lt;= Q152,"No Monetizar","Monetizar")</f>
        <v>Monetizar</v>
      </c>
      <c r="V152" s="1">
        <v>45835</v>
      </c>
      <c r="W152" t="str">
        <v>Alfonso Fonseca A</v>
      </c>
      <c r="X152" t="str">
        <v>Alfonso Fonseca A</v>
      </c>
      <c r="Y152" t="str">
        <v>Se monetiza ya que el valor ofrecido por el banco en cada divisa es superior al valor facturado</v>
      </c>
      <c r="Z152" s="21">
        <f>K152*O152</f>
        <v>49086941.24</v>
      </c>
      <c r="AA152" s="21">
        <f>Z152-Q152</f>
        <v>95221.64840000123</v>
      </c>
    </row>
    <row r="153" ht="30" customHeight="1" outlineLevel="1">
      <c r="B153">
        <v>122</v>
      </c>
      <c r="C153" t="str">
        <v>Hong kong yonyou xinfushe cloud technology co</v>
      </c>
      <c r="D153">
        <v>6053</v>
      </c>
      <c r="E153" s="1">
        <v>45833</v>
      </c>
      <c r="F153" s="1">
        <v>45893</v>
      </c>
      <c r="J153" s="20">
        <f>IFERROR(IF(TODAY()&gt;=E153,(TODAY()-E153)/I153,0),0)*0</f>
        <v>0</v>
      </c>
      <c r="K153" s="5">
        <v>4672.13</v>
      </c>
      <c r="L153" s="5">
        <v>4672.13</v>
      </c>
      <c r="M153" s="5">
        <f>K153-L153</f>
        <v>0</v>
      </c>
      <c r="N153" s="21">
        <v>4049.13</v>
      </c>
      <c r="O153" s="21">
        <v>4057</v>
      </c>
      <c r="P153" s="21">
        <f>O153-N153</f>
        <v>7.869999999999891</v>
      </c>
      <c r="Q153" s="21">
        <f>K153*N153</f>
        <v>18918061.7469</v>
      </c>
      <c r="R153" s="21">
        <f>L153*O153</f>
        <v>18954831.41</v>
      </c>
      <c r="S153" s="21">
        <f>R153-Q153</f>
        <v>36769.66310000047</v>
      </c>
      <c r="T153" t="str">
        <f>IF(R153&lt;= Q153,"No Monetizar","Monetizar")</f>
        <v>Monetizar</v>
      </c>
      <c r="V153" s="1">
        <v>45835</v>
      </c>
      <c r="W153" t="str">
        <v>Alfonso Fonseca A</v>
      </c>
      <c r="X153" t="str">
        <v>Alfonso Fonseca A</v>
      </c>
      <c r="Y153" t="str">
        <v>Se monetiza ya que el valor ofrecido por el banco en cada divisa es superior al valor facturado</v>
      </c>
      <c r="Z153" s="21">
        <f>K153*O153</f>
        <v>18954831.41</v>
      </c>
      <c r="AA153" s="21">
        <f>Z153-Q153</f>
        <v>36769.66310000047</v>
      </c>
    </row>
    <row r="154" outlineLevel="1">
      <c r="B154">
        <v>123</v>
      </c>
      <c r="C154" t="str">
        <v>Safeguard</v>
      </c>
      <c r="D154">
        <v>6073</v>
      </c>
      <c r="E154" s="1">
        <v>45839</v>
      </c>
      <c r="F154" s="1">
        <v>45899</v>
      </c>
      <c r="J154" s="20">
        <f>IFERROR(IF(TODAY()&gt;=E154,(TODAY()-E154)/I154,0),0)*0</f>
        <v>0</v>
      </c>
      <c r="K154" s="5">
        <v>15438.05</v>
      </c>
      <c r="L154" s="5">
        <v>15438.05</v>
      </c>
      <c r="M154" s="5">
        <f>K154-L154</f>
        <v>0</v>
      </c>
      <c r="N154" s="21">
        <v>3956.32</v>
      </c>
      <c r="O154" s="21">
        <v>4046.58</v>
      </c>
      <c r="P154" s="21">
        <f>O154-N154</f>
        <v>90.25999999999976</v>
      </c>
      <c r="Q154" s="21">
        <f>K154*N154</f>
        <v>61077865.975999996</v>
      </c>
      <c r="R154" s="21">
        <f>L154*O154</f>
        <v>62471304.368999995</v>
      </c>
      <c r="S154" s="21">
        <f>R154-Q154</f>
        <v>1393438.3929999992</v>
      </c>
      <c r="T154" t="str">
        <f>IF(R154&lt;= Q154,"No Monetizar","Monetizar")</f>
        <v>Monetizar</v>
      </c>
      <c r="V154" s="1">
        <v>45835</v>
      </c>
      <c r="W154" t="str">
        <v>Alfonso Fonseca A</v>
      </c>
      <c r="X154" t="str">
        <v>Alfonso Fonseca A</v>
      </c>
      <c r="Y154" t="str">
        <v>Se monetiza ya que el valor ofrecido por el banco en cada divisa es superior al valor facturado</v>
      </c>
      <c r="Z154" s="21">
        <f>K154*O154</f>
        <v>62471304.368999995</v>
      </c>
      <c r="AA154" s="21">
        <f>Z154-Q154</f>
        <v>1393438.3929999992</v>
      </c>
    </row>
    <row r="155" outlineLevel="1">
      <c r="B155">
        <v>124</v>
      </c>
      <c r="C155" t="str">
        <v>Insider</v>
      </c>
      <c r="D155">
        <v>6094</v>
      </c>
      <c r="E155" s="1" t="str">
        <v>07/07/202</v>
      </c>
      <c r="F155" s="1">
        <v>45905</v>
      </c>
      <c r="J155" s="20">
        <f>IFERROR(IF(TODAY()&gt;=E155,(TODAY()-E155)/I155,0),0)*0</f>
        <v>0</v>
      </c>
      <c r="K155" s="5">
        <f>421.75</f>
        <v>421.75</v>
      </c>
      <c r="L155" s="5">
        <v>416.75</v>
      </c>
      <c r="M155" s="5">
        <f>K155-L155</f>
        <v>5</v>
      </c>
      <c r="N155" s="21">
        <v>3997.71</v>
      </c>
      <c r="O155" s="21">
        <v>4023.1</v>
      </c>
      <c r="P155" s="21">
        <f>O155-N155</f>
        <v>25.389999999999873</v>
      </c>
      <c r="Q155" s="21">
        <f>K155*N155</f>
        <v>1686034.1925000001</v>
      </c>
      <c r="R155" s="21">
        <f>L155*O155</f>
        <v>1676626.925</v>
      </c>
      <c r="S155" s="21">
        <f>R155-Q155</f>
        <v>-9407.267500000075</v>
      </c>
      <c r="T155" t="str">
        <f>IF(R155&lt;= Q155,"No Monetizar","Monetizar")</f>
        <v>No Monetizar</v>
      </c>
      <c r="V155" s="1">
        <v>45845</v>
      </c>
      <c r="W155" t="str">
        <v>Alfonso Fonseca A</v>
      </c>
      <c r="X155" t="str">
        <v>Alfonso Fonseca A</v>
      </c>
      <c r="Y155" t="str">
        <v>Se monetiza ya que el valor ofrecido por el banco en cada divisa es superior al valor facturado</v>
      </c>
      <c r="Z155" s="21">
        <f>K155*O155</f>
        <v>1696742.425</v>
      </c>
      <c r="AA155" s="21">
        <f>Z155-Q155</f>
        <v>10708.232499999925</v>
      </c>
    </row>
    <row r="156" outlineLevel="1">
      <c r="B156">
        <v>125</v>
      </c>
      <c r="C156" t="str">
        <v>Insider</v>
      </c>
      <c r="D156">
        <v>6072</v>
      </c>
      <c r="E156" s="1">
        <v>45839</v>
      </c>
      <c r="F156" s="1">
        <v>45899</v>
      </c>
      <c r="J156" s="20">
        <f>IFERROR(IF(TODAY()&gt;=E156,(TODAY()-E156)/I156,0),0)*0</f>
        <v>0</v>
      </c>
      <c r="K156" s="5">
        <v>117303.06</v>
      </c>
      <c r="L156" s="5">
        <v>117288.06</v>
      </c>
      <c r="M156" s="5">
        <f>K156-L156</f>
        <v>15</v>
      </c>
      <c r="N156" s="21">
        <v>4047.64</v>
      </c>
      <c r="O156" s="21">
        <v>4051</v>
      </c>
      <c r="P156" s="21">
        <f>O156-N156</f>
        <v>3.3600000000001273</v>
      </c>
      <c r="Q156" s="21">
        <f>K156*N156</f>
        <v>474800557.7784</v>
      </c>
      <c r="R156" s="21">
        <f>L156*O156</f>
        <v>475133931.06</v>
      </c>
      <c r="S156" s="21">
        <f>R156-Q156</f>
        <v>333373.2815999985</v>
      </c>
      <c r="T156" t="str">
        <f>IF(R156&lt;= Q156,"No Monetizar","Monetizar")</f>
        <v>Monetizar</v>
      </c>
      <c r="V156" s="1">
        <v>45845</v>
      </c>
      <c r="W156" t="str">
        <v>Alfonso Fonseca A</v>
      </c>
      <c r="X156" t="str">
        <v>Alfonso Fonseca A</v>
      </c>
      <c r="Y156" t="str">
        <v>Se monetiza ya que el valor ofrecido por el banco en cada divisa es superior al valor facturado</v>
      </c>
      <c r="Z156" s="21">
        <f>K156*O156</f>
        <v>475194696.06</v>
      </c>
      <c r="AA156" s="21">
        <f>Z156-Q156</f>
        <v>394138.2815999985</v>
      </c>
    </row>
    <row r="157" outlineLevel="1">
      <c r="B157">
        <v>126</v>
      </c>
      <c r="C157" t="str">
        <v>Hemmebarsch GMBH &amp; Co KG</v>
      </c>
      <c r="D157">
        <v>6034</v>
      </c>
      <c r="E157" s="1">
        <v>45847</v>
      </c>
      <c r="F157" s="1">
        <v>45907</v>
      </c>
      <c r="J157" s="20">
        <f>IFERROR(IF(TODAY()&gt;=E157,(TODAY()-E157)/I157,0),0)*0</f>
        <v>0</v>
      </c>
      <c r="K157" s="5">
        <v>1162.82</v>
      </c>
      <c r="L157" s="5">
        <v>1162.82</v>
      </c>
      <c r="M157" s="5">
        <f>K157-L157</f>
        <v>0</v>
      </c>
      <c r="N157" s="21">
        <v>4019.13</v>
      </c>
      <c r="O157" s="21">
        <v>4019.99</v>
      </c>
      <c r="P157" s="21">
        <f>O157-N157</f>
        <v>0.8599999999996726</v>
      </c>
      <c r="Q157" s="21">
        <f>K157*N157</f>
        <v>4673524.7466</v>
      </c>
      <c r="R157" s="21">
        <f>L157*O157</f>
        <v>4674524.771799999</v>
      </c>
      <c r="S157" s="21">
        <f>R157-Q157</f>
        <v>1000.0251999991015</v>
      </c>
      <c r="T157" t="str">
        <f>IF(R157&lt;= Q157,"No Monetizar","Monetizar")</f>
        <v>Monetizar</v>
      </c>
      <c r="V157" s="1">
        <v>45845</v>
      </c>
      <c r="W157" t="str">
        <v>Alfonso Fonseca A</v>
      </c>
      <c r="X157" t="str">
        <v>Alfonso Fonseca A</v>
      </c>
      <c r="Y157" t="str">
        <v>Se monetiza ya que el valor ofrecido por el banco en cada divisa es superior al valor facturado</v>
      </c>
      <c r="Z157" s="21">
        <f>K157*O157</f>
        <v>4674524.771799999</v>
      </c>
      <c r="AA157" s="21">
        <f>Z157-Q157</f>
        <v>1000.0251999991015</v>
      </c>
    </row>
    <row r="158" outlineLevel="1" xml:space="preserve">
      <c r="B158">
        <v>127</v>
      </c>
      <c r="C158" t="str">
        <v>Remofirst</v>
      </c>
      <c r="D158">
        <v>5926</v>
      </c>
      <c r="E158" s="1">
        <v>45789</v>
      </c>
      <c r="F158" s="1">
        <v>45849</v>
      </c>
      <c r="J158" s="20">
        <f>IFERROR(IF(TODAY()&gt;=E158,(TODAY()-E158)/I158,0),0)*0</f>
        <v>0</v>
      </c>
      <c r="K158" s="5">
        <v>14453.63</v>
      </c>
      <c r="L158" s="5">
        <v>14453.63</v>
      </c>
      <c r="M158" s="5">
        <f>K158-L158</f>
        <v>0</v>
      </c>
      <c r="N158" s="21">
        <v>4237.98</v>
      </c>
      <c r="O158" s="21">
        <v>3988</v>
      </c>
      <c r="P158" s="21">
        <f>O158-N158</f>
        <v>-249.97999999999956</v>
      </c>
      <c r="Q158" s="21">
        <f>K158*N158</f>
        <v>61254194.86739999</v>
      </c>
      <c r="R158" s="21">
        <f>L158*O158</f>
        <v>57641076.44</v>
      </c>
      <c r="S158" s="21">
        <f>R158-Q158</f>
        <v>-3613118.427399993</v>
      </c>
      <c r="T158" t="str">
        <f>IF(R158&lt;= Q158,"No Monetizar","Monetizar")</f>
        <v>No Monetizar</v>
      </c>
      <c r="V158" s="1">
        <v>45849</v>
      </c>
      <c r="W158" t="str">
        <v>Alfonso Fonseca A</v>
      </c>
      <c r="X158" t="str">
        <v>Alfonso Fonseca A</v>
      </c>
      <c r="Y158" t="str" xml:space="preserve">
        <v xml:space="preserve">Se ha decidido monetizar estas divisas a pesar de que el valor recibido está por debajo del monto facturado, considerando que la fecha límite para su devolución vencía el hoy viernes 11 de julio_x000d_
_x000d_
Adicionalmente, al momento del cobro, fue  $4.237,90 y la trm no ha estado por encima de ese valor desde el pasado 09 de mayo. el dinero llego el 11 de junio a partir de esa fecha no ha llegado a estos niveles y se han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58" s="21">
        <f>K158*O158</f>
        <v>57641076.44</v>
      </c>
      <c r="AA158" s="21">
        <f>Z158-Q158</f>
        <v>-3613118.427399993</v>
      </c>
    </row>
    <row r="159" outlineLevel="1">
      <c r="B159">
        <v>128</v>
      </c>
      <c r="C159" t="str">
        <v>Action</v>
      </c>
      <c r="D159">
        <v>6100</v>
      </c>
      <c r="E159" s="1">
        <v>45853</v>
      </c>
      <c r="F159" s="1">
        <v>45913</v>
      </c>
      <c r="J159" s="20">
        <f>IFERROR(IF(TODAY()&gt;=E159,(TODAY()-E159)/I159,0),0)*0</f>
        <v>0</v>
      </c>
      <c r="K159" s="5">
        <v>3311.68</v>
      </c>
      <c r="L159" s="5">
        <v>3311.68</v>
      </c>
      <c r="M159" s="5">
        <f>K159-L159</f>
        <v>0</v>
      </c>
      <c r="N159" s="21">
        <v>3924.37</v>
      </c>
      <c r="O159" s="21">
        <v>3981.3</v>
      </c>
      <c r="P159" s="21">
        <f>O159-N159</f>
        <v>56.93000000000029</v>
      </c>
      <c r="Q159" s="21">
        <f>K159*N159</f>
        <v>12996257.6416</v>
      </c>
      <c r="R159" s="21">
        <f>L159*O159</f>
        <v>13184791.584</v>
      </c>
      <c r="S159" s="21">
        <f>R159-Q159</f>
        <v>188533.942400001</v>
      </c>
      <c r="T159" t="str">
        <f>IF(R159&lt;= Q159,"No Monetizar","Monetizar")</f>
        <v>Monetizar</v>
      </c>
      <c r="V159" s="1">
        <v>45853</v>
      </c>
      <c r="W159" t="str">
        <v>Alfonso Fonseca A</v>
      </c>
      <c r="X159" t="str">
        <v>Alfonso Fonseca A</v>
      </c>
      <c r="Y159" t="str">
        <v>Se monetiza ya que el valor ofrecido por el banco en cada divisa es superior al valor facturado</v>
      </c>
      <c r="Z159" s="21">
        <f>K159*O159</f>
        <v>13184791.584</v>
      </c>
      <c r="AA159" s="21">
        <f>Z159-Q159</f>
        <v>188533.942400001</v>
      </c>
    </row>
    <row r="160" outlineLevel="1">
      <c r="B160">
        <v>129</v>
      </c>
      <c r="C160" t="str">
        <v>Insider</v>
      </c>
      <c r="D160">
        <v>6101</v>
      </c>
      <c r="E160" s="1">
        <v>45849</v>
      </c>
      <c r="F160" s="1">
        <v>45909</v>
      </c>
      <c r="J160" s="20">
        <f>IFERROR(IF(TODAY()&gt;=E160,(TODAY()-E160)/I160,0),0)*0</f>
        <v>0</v>
      </c>
      <c r="K160" s="5">
        <v>5443.41</v>
      </c>
      <c r="L160" s="5">
        <v>5433.41</v>
      </c>
      <c r="M160" s="5">
        <f>K160-L160</f>
        <v>10</v>
      </c>
      <c r="N160" s="21">
        <v>3997.71</v>
      </c>
      <c r="O160" s="21">
        <v>4010.2</v>
      </c>
      <c r="P160" s="21">
        <f>O160-N160</f>
        <v>12.489999999999782</v>
      </c>
      <c r="Q160" s="21">
        <f>K160*N160</f>
        <v>21761174.5911</v>
      </c>
      <c r="R160" s="21">
        <f>L160*O160</f>
        <v>21789060.781999998</v>
      </c>
      <c r="S160" s="21">
        <f>R160-Q160</f>
        <v>27886.19089999795</v>
      </c>
      <c r="T160" t="str">
        <f>IF(R160&lt;= Q160,"No Monetizar","Monetizar")</f>
        <v>Monetizar</v>
      </c>
      <c r="V160" s="1">
        <v>45853</v>
      </c>
      <c r="W160" t="str">
        <v>Alfonso Fonseca A</v>
      </c>
      <c r="X160" t="str">
        <v>Alfonso Fonseca A</v>
      </c>
      <c r="Y160" t="str">
        <v>Se monetiza ya que el valor ofrecido por el banco en cada divisa es superior al valor facturado</v>
      </c>
      <c r="Z160" s="21">
        <f>K160*O160</f>
        <v>21829162.781999998</v>
      </c>
      <c r="AA160" s="21">
        <f>Z160-Q160</f>
        <v>67988.19089999795</v>
      </c>
    </row>
    <row r="161" outlineLevel="1">
      <c r="B161">
        <v>130</v>
      </c>
      <c r="C161" t="str">
        <v>Flexco</v>
      </c>
      <c r="D161">
        <v>6137</v>
      </c>
      <c r="E161" s="1">
        <v>45856</v>
      </c>
      <c r="F161" s="1">
        <v>45916</v>
      </c>
      <c r="J161" s="20">
        <f>IFERROR(IF(TODAY()&gt;=E161,(TODAY()-E161)/I161,0),0)*0</f>
        <v>0</v>
      </c>
      <c r="K161" s="5">
        <v>5179.43</v>
      </c>
      <c r="L161" s="5">
        <v>5169.43</v>
      </c>
      <c r="M161" s="5">
        <f>K161-L161</f>
        <v>10</v>
      </c>
      <c r="N161" s="21">
        <v>3833.9</v>
      </c>
      <c r="O161" s="21">
        <v>3991</v>
      </c>
      <c r="P161" s="21">
        <f>O161-N161</f>
        <v>157.0999999999999</v>
      </c>
      <c r="Q161" s="21">
        <f>K161*N161</f>
        <v>19857416.677</v>
      </c>
      <c r="R161" s="21">
        <f>L161*O161</f>
        <v>20631195.130000003</v>
      </c>
      <c r="S161" s="21">
        <f>R161-Q161</f>
        <v>773778.4530000016</v>
      </c>
      <c r="T161" t="str">
        <f>IF(R161&lt;= Q161,"No Monetizar","Monetizar")</f>
        <v>Monetizar</v>
      </c>
      <c r="V161" s="1">
        <v>45859</v>
      </c>
      <c r="W161" t="str">
        <v>Alfonso Fonseca A</v>
      </c>
      <c r="X161" t="str">
        <v>Alfonso Fonseca A</v>
      </c>
      <c r="Y161" t="str">
        <v>Se monetiza ya que el valor ofrecido por el banco en cada divisa es superior al valor facturado</v>
      </c>
      <c r="Z161" s="21">
        <f>K161*O161</f>
        <v>20671105.130000003</v>
      </c>
      <c r="AA161" s="21">
        <f>Z161-Q161</f>
        <v>813688.4530000016</v>
      </c>
    </row>
    <row r="162" outlineLevel="1">
      <c r="B162">
        <v>131</v>
      </c>
      <c r="C162" t="str">
        <v>Equus Global Expansion, LLC</v>
      </c>
      <c r="D162">
        <v>6122</v>
      </c>
      <c r="E162" s="1">
        <v>45856</v>
      </c>
      <c r="F162" s="1">
        <v>45916</v>
      </c>
      <c r="J162" s="20">
        <f>IFERROR(IF(TODAY()&gt;=E162,(TODAY()-E162)/I162,0),0)*0</f>
        <v>0</v>
      </c>
      <c r="K162" s="5">
        <v>1519.92</v>
      </c>
      <c r="L162" s="5">
        <v>1519.92</v>
      </c>
      <c r="M162" s="5">
        <f>K162-L162</f>
        <v>0</v>
      </c>
      <c r="N162" s="21">
        <v>3833.9</v>
      </c>
      <c r="O162" s="21">
        <v>3995</v>
      </c>
      <c r="P162" s="21">
        <f>O162-N162</f>
        <v>161.0999999999999</v>
      </c>
      <c r="Q162" s="21">
        <f>K162*N162</f>
        <v>5827221.288000001</v>
      </c>
      <c r="R162" s="21">
        <f>L162*O162</f>
        <v>6072080.4</v>
      </c>
      <c r="S162" s="21">
        <f>R162-Q162</f>
        <v>244859.11199999973</v>
      </c>
      <c r="T162" t="str">
        <f>IF(R162&lt;= Q162,"No Monetizar","Monetizar")</f>
        <v>Monetizar</v>
      </c>
      <c r="V162" s="1">
        <v>45859</v>
      </c>
      <c r="W162" t="str">
        <v>Alfonso Fonseca A</v>
      </c>
      <c r="X162" t="str">
        <v>Alfonso Fonseca A</v>
      </c>
      <c r="Y162" t="str">
        <v>Se monetiza ya que el valor ofrecido por el banco en cada divisa es superior al valor facturado</v>
      </c>
      <c r="Z162" s="21">
        <f>K162*O162</f>
        <v>6072080.4</v>
      </c>
      <c r="AA162" s="21">
        <f>Z162-Q162</f>
        <v>244859.11199999973</v>
      </c>
    </row>
    <row r="163" outlineLevel="1" xml:space="preserve">
      <c r="B163">
        <v>132</v>
      </c>
      <c r="C163" t="str">
        <v>Oncehub</v>
      </c>
      <c r="D163">
        <v>5949</v>
      </c>
      <c r="E163" s="1">
        <v>45799</v>
      </c>
      <c r="F163" s="1">
        <v>45859</v>
      </c>
      <c r="J163" s="20">
        <f>IFERROR(IF(TODAY()&gt;=E163,(TODAY()-E163)/I163,0),0)*0</f>
        <v>0</v>
      </c>
      <c r="K163" s="5">
        <v>3089.27</v>
      </c>
      <c r="L163" s="5">
        <v>3069.27</v>
      </c>
      <c r="M163" s="5">
        <f>K163-L163</f>
        <v>20</v>
      </c>
      <c r="N163" s="21">
        <v>4188.6</v>
      </c>
      <c r="O163" s="21">
        <v>4006</v>
      </c>
      <c r="P163" s="21">
        <f>O163-N163</f>
        <v>-182.60000000000036</v>
      </c>
      <c r="Q163" s="21">
        <f>K163*N163</f>
        <v>12939716.322</v>
      </c>
      <c r="R163" s="21">
        <f>L163*O163</f>
        <v>12295495.62</v>
      </c>
      <c r="S163" s="21">
        <f>R163-Q163</f>
        <v>-644220.7020000014</v>
      </c>
      <c r="T163" t="str">
        <f>IF(R163&lt;= Q163,"No Monetizar","Monetizar")</f>
        <v>No Monetizar</v>
      </c>
      <c r="V163" s="1">
        <v>45859</v>
      </c>
      <c r="W163" t="str">
        <v>Alfonso Fonseca A</v>
      </c>
      <c r="X163" t="str">
        <v>Alfonso Fonseca A</v>
      </c>
      <c r="Y163" t="str" xml:space="preserve">
        <v xml:space="preserve">Se ha decidido monetizar estas divisas a pesar de que el valor recibido está por debajo del monto facturado, considerando que la fecha límite para su devolución vencía el hoy lunes 21 de julio_x000d_
_x000d_
Adicionalmente, al momento del cobro, fue  $4188.60  y la trm no ha estado por encima de ese valor desde el pasado 09 de mayo. el dinero llego el 22 de mayo a partir de esa fecha no ha llegado a estos niveles y se han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63" s="21">
        <f>K163*O163</f>
        <v>12375615.62</v>
      </c>
      <c r="AA163" s="21">
        <f>Z163-Q163</f>
        <v>-564100.7020000014</v>
      </c>
    </row>
    <row r="164" outlineLevel="1">
      <c r="B164">
        <v>133</v>
      </c>
      <c r="C164" t="str">
        <v xml:space="preserve">Neo </v>
      </c>
      <c r="D164">
        <v>6115</v>
      </c>
      <c r="E164" s="1">
        <v>45861</v>
      </c>
      <c r="F164" s="1">
        <v>45921</v>
      </c>
      <c r="J164" s="20">
        <f>IFERROR(IF(TODAY()&gt;=E164,(TODAY()-E164)/I164,0),0)*0</f>
        <v>0</v>
      </c>
      <c r="K164" s="5">
        <v>24966.19</v>
      </c>
      <c r="L164" s="5">
        <v>24905.19</v>
      </c>
      <c r="M164" s="5">
        <f>K164-L164</f>
        <v>61</v>
      </c>
      <c r="N164" s="21">
        <v>3853.9</v>
      </c>
      <c r="O164" s="21">
        <v>4049.1</v>
      </c>
      <c r="P164" s="21">
        <f>O164-N164</f>
        <v>195.19999999999982</v>
      </c>
      <c r="Q164" s="21">
        <f>K164*N164</f>
        <v>96217199.641</v>
      </c>
      <c r="R164" s="21">
        <f>L164*O164</f>
        <v>100843604.829</v>
      </c>
      <c r="S164" s="21">
        <f>R164-Q164</f>
        <v>4626405.187999994</v>
      </c>
      <c r="T164" t="str">
        <f>IF(R164&lt;= Q164,"No Monetizar","Monetizar")</f>
        <v>Monetizar</v>
      </c>
      <c r="V164" s="1">
        <v>45861</v>
      </c>
      <c r="W164" t="str">
        <v>Alfonso Fonseca A</v>
      </c>
      <c r="X164" t="str">
        <v>Alfonso Fonseca A</v>
      </c>
      <c r="Y164" t="str">
        <v>Se monetiza ya que el valor ofrecido por el banco en cada divisa es superior al valor facturado</v>
      </c>
      <c r="Z164" s="21">
        <f>K164*O164</f>
        <v>101090599.92899999</v>
      </c>
      <c r="AA164" s="21">
        <f>Z164-Q164</f>
        <v>4873400.287999988</v>
      </c>
    </row>
    <row r="165" outlineLevel="1">
      <c r="B165">
        <v>134</v>
      </c>
      <c r="C165" t="str">
        <v>Endrington</v>
      </c>
      <c r="D165">
        <v>6120</v>
      </c>
      <c r="E165" s="1">
        <v>45861</v>
      </c>
      <c r="F165" s="1">
        <v>45921</v>
      </c>
      <c r="J165" s="20">
        <f>IFERROR(IF(TODAY()&gt;=E165,(TODAY()-E165)/I165,0),0)*0</f>
        <v>0</v>
      </c>
      <c r="K165" s="5">
        <v>19418.03</v>
      </c>
      <c r="L165" s="5">
        <v>19418.03</v>
      </c>
      <c r="M165" s="5">
        <f>K165-L165</f>
        <v>0</v>
      </c>
      <c r="N165" s="21">
        <v>3853.9</v>
      </c>
      <c r="O165" s="21">
        <v>4053.61</v>
      </c>
      <c r="P165" s="21">
        <f>O165-N165</f>
        <v>199.71000000000004</v>
      </c>
      <c r="Q165" s="21">
        <f>K165*N165</f>
        <v>74835145.817</v>
      </c>
      <c r="R165" s="21">
        <f>L165*O165</f>
        <v>78713120.5883</v>
      </c>
      <c r="S165" s="21">
        <f>R165-Q165</f>
        <v>3877974.771300003</v>
      </c>
      <c r="T165" t="str">
        <f>IF(R165&lt;= Q165,"No Monetizar","Monetizar")</f>
        <v>Monetizar</v>
      </c>
      <c r="V165" s="1">
        <v>45861</v>
      </c>
      <c r="W165" t="str">
        <v>Alfonso Fonseca A</v>
      </c>
      <c r="X165" t="str">
        <v>Alfonso Fonseca A</v>
      </c>
      <c r="Y165" t="str">
        <v>Se monetiza ya que el valor ofrecido por el banco en cada divisa es superior al valor facturado</v>
      </c>
      <c r="Z165" s="21">
        <f>K165*O165</f>
        <v>78713120.5883</v>
      </c>
      <c r="AA165" s="21">
        <f>Z165-Q165</f>
        <v>3877974.771300003</v>
      </c>
    </row>
    <row r="166" ht="30" customHeight="1" outlineLevel="1">
      <c r="B166">
        <v>135</v>
      </c>
      <c r="C166" t="str">
        <v>Hong kong yonyou xinfushe cloud technology co</v>
      </c>
      <c r="D166">
        <v>6119</v>
      </c>
      <c r="E166" s="1">
        <v>45861</v>
      </c>
      <c r="F166" s="1">
        <v>45921</v>
      </c>
      <c r="J166" s="20">
        <f>IFERROR(IF(TODAY()&gt;=E166,(TODAY()-E166)/I166,0),0)*0</f>
        <v>0</v>
      </c>
      <c r="K166" s="5">
        <v>14850.72</v>
      </c>
      <c r="L166" s="5">
        <v>14850.72</v>
      </c>
      <c r="M166" s="5">
        <f>K166-L166</f>
        <v>0</v>
      </c>
      <c r="N166" s="21">
        <v>3853.9</v>
      </c>
      <c r="O166" s="21">
        <v>4053</v>
      </c>
      <c r="P166" s="21">
        <f>O166-N166</f>
        <v>199.0999999999999</v>
      </c>
      <c r="Q166" s="21">
        <f>K166*N166</f>
        <v>57233189.808</v>
      </c>
      <c r="R166" s="21">
        <f>L166*O166</f>
        <v>60189968.16</v>
      </c>
      <c r="S166" s="21">
        <f>R166-Q166</f>
        <v>2956778.351999998</v>
      </c>
      <c r="T166" t="str">
        <f>IF(R166&lt;= Q166,"No Monetizar","Monetizar")</f>
        <v>Monetizar</v>
      </c>
      <c r="V166" s="1">
        <v>45861</v>
      </c>
      <c r="W166" t="str">
        <v>Alfonso Fonseca A</v>
      </c>
      <c r="X166" t="str">
        <v>Alfonso Fonseca A</v>
      </c>
      <c r="Y166" t="str">
        <v>Se monetiza ya que el valor ofrecido por el banco en cada divisa es superior al valor facturado</v>
      </c>
      <c r="Z166" s="21">
        <f>K166*O166</f>
        <v>60189968.16</v>
      </c>
      <c r="AA166" s="21">
        <f>Z166-Q166</f>
        <v>2956778.351999998</v>
      </c>
    </row>
    <row r="167" outlineLevel="1">
      <c r="B167">
        <v>136</v>
      </c>
      <c r="C167" t="str">
        <v>Oncehub</v>
      </c>
      <c r="D167">
        <v>6114</v>
      </c>
      <c r="E167" s="1">
        <v>45861</v>
      </c>
      <c r="F167" s="1">
        <v>45921</v>
      </c>
      <c r="J167" s="20">
        <f>IFERROR(IF(TODAY()&gt;=E167,(TODAY()-E167)/I167,0),0)*0</f>
        <v>0</v>
      </c>
      <c r="K167" s="5">
        <f>3332.43-55.49</f>
        <v>3276.94</v>
      </c>
      <c r="L167" s="5">
        <v>3256.94</v>
      </c>
      <c r="M167" s="5">
        <f>K167-L167</f>
        <v>20</v>
      </c>
      <c r="N167" s="21">
        <v>3853.9</v>
      </c>
      <c r="O167" s="21">
        <v>4054.25</v>
      </c>
      <c r="P167" s="21">
        <f>O167-N167</f>
        <v>200.3499999999999</v>
      </c>
      <c r="Q167" s="21">
        <f>K167*N167</f>
        <v>12628999.066</v>
      </c>
      <c r="R167" s="21">
        <f>L167*O167</f>
        <v>13204448.995000001</v>
      </c>
      <c r="S167" s="21">
        <f>R167-Q167</f>
        <v>575449.9290000014</v>
      </c>
      <c r="T167" t="str">
        <f>IF(R167&lt;= Q167,"No Monetizar","Monetizar")</f>
        <v>Monetizar</v>
      </c>
      <c r="V167" s="1">
        <v>45861</v>
      </c>
      <c r="W167" t="str">
        <v>Alfonso Fonseca A</v>
      </c>
      <c r="X167" t="str">
        <v>Alfonso Fonseca A</v>
      </c>
      <c r="Y167" t="str">
        <v>Se monetiza ya que el valor ofrecido por el banco en cada divisa es superior al valor facturado</v>
      </c>
      <c r="Z167" s="21">
        <f>K167*O167</f>
        <v>13285533.995000001</v>
      </c>
      <c r="AA167" s="21">
        <f>Z167-Q167</f>
        <v>656534.9290000014</v>
      </c>
    </row>
    <row r="168" outlineLevel="1">
      <c r="B168">
        <v>137</v>
      </c>
      <c r="C168" t="str">
        <v>Nazdar ink technologies</v>
      </c>
      <c r="D168">
        <v>6113</v>
      </c>
      <c r="E168" s="1">
        <v>45862</v>
      </c>
      <c r="F168" s="1">
        <v>45922</v>
      </c>
      <c r="J168" s="20">
        <f>IFERROR(IF(TODAY()&gt;=E168,(TODAY()-E168)/I168,0),0)*0</f>
        <v>0</v>
      </c>
      <c r="K168" s="5">
        <v>16593.32</v>
      </c>
      <c r="L168" s="5">
        <v>16578.32</v>
      </c>
      <c r="M168" s="5">
        <f>K168-L168</f>
        <v>15</v>
      </c>
      <c r="N168" s="21">
        <v>3833.9</v>
      </c>
      <c r="O168" s="21">
        <v>4068.12</v>
      </c>
      <c r="P168" s="21">
        <f>O168-N168</f>
        <v>234.2199999999998</v>
      </c>
      <c r="Q168" s="21">
        <f>K168*N168</f>
        <v>63617129.548</v>
      </c>
      <c r="R168" s="21">
        <f>L168*O168</f>
        <v>67442595.1584</v>
      </c>
      <c r="S168" s="21">
        <f>R168-Q168</f>
        <v>3825465.6103999987</v>
      </c>
      <c r="T168" t="str">
        <f>IF(R168&lt;= Q168,"No Monetizar","Monetizar")</f>
        <v>Monetizar</v>
      </c>
      <c r="V168" s="1">
        <v>45863</v>
      </c>
      <c r="W168" t="str">
        <v>Alfonso Fonseca A</v>
      </c>
      <c r="X168" t="str">
        <v>Alfonso Fonseca A</v>
      </c>
      <c r="Y168" t="str">
        <v>Se monetiza ya que el valor ofrecido por el banco en cada divisa es superior al valor facturado</v>
      </c>
      <c r="Z168" s="21">
        <f>K168*O168</f>
        <v>67503616.9584</v>
      </c>
      <c r="AA168" s="21">
        <f>Z168-Q168</f>
        <v>3886487.4103999957</v>
      </c>
    </row>
    <row r="169" outlineLevel="1">
      <c r="B169">
        <v>138</v>
      </c>
      <c r="C169" t="str">
        <v>Marketing Doctors</v>
      </c>
      <c r="D169">
        <v>6111</v>
      </c>
      <c r="E169" s="1">
        <v>45862</v>
      </c>
      <c r="F169" s="1">
        <v>45922</v>
      </c>
      <c r="J169" s="20">
        <f>IFERROR(IF(TODAY()&gt;=E169,(TODAY()-E169)/I169,0),0)*0</f>
        <v>0</v>
      </c>
      <c r="K169" s="5">
        <v>2628.18</v>
      </c>
      <c r="L169" s="5">
        <v>2628.18</v>
      </c>
      <c r="M169" s="5">
        <f>K169-L169</f>
        <v>0</v>
      </c>
      <c r="N169" s="21">
        <v>3853.9</v>
      </c>
      <c r="O169" s="21">
        <v>4065</v>
      </c>
      <c r="P169" s="21">
        <f>O169-N169</f>
        <v>211.0999999999999</v>
      </c>
      <c r="Q169" s="21">
        <f>K169*N169</f>
        <v>10128742.901999999</v>
      </c>
      <c r="R169" s="21">
        <f>L169*O169</f>
        <v>10683551.7</v>
      </c>
      <c r="S169" s="21">
        <f>R169-Q169</f>
        <v>554808.7980000004</v>
      </c>
      <c r="T169" t="str">
        <f>IF(R169&lt;= Q169,"No Monetizar","Monetizar")</f>
        <v>Monetizar</v>
      </c>
      <c r="V169" s="1">
        <v>45863</v>
      </c>
      <c r="W169" t="str">
        <v>Alfonso Fonseca A</v>
      </c>
      <c r="X169" t="str">
        <v>Alfonso Fonseca A</v>
      </c>
      <c r="Y169" t="str">
        <v>Se monetiza ya que el valor ofrecido por el banco en cada divisa es superior al valor facturado</v>
      </c>
      <c r="Z169" s="21">
        <f>K169*O169</f>
        <v>10683551.7</v>
      </c>
      <c r="AA169" s="21">
        <f>Z169-Q169</f>
        <v>554808.7980000004</v>
      </c>
    </row>
    <row r="170" outlineLevel="1">
      <c r="B170">
        <v>139</v>
      </c>
      <c r="C170" t="str">
        <v>Remofirst</v>
      </c>
      <c r="D170">
        <v>6109</v>
      </c>
      <c r="E170" s="1">
        <v>45862</v>
      </c>
      <c r="F170" s="1">
        <v>45922</v>
      </c>
      <c r="J170" s="20">
        <f>IFERROR(IF(TODAY()&gt;=E170,(TODAY()-E170)/I170,0),0)*0</f>
        <v>0</v>
      </c>
      <c r="K170" s="5">
        <v>278812.97</v>
      </c>
      <c r="L170" s="5">
        <v>278812.97</v>
      </c>
      <c r="M170" s="5">
        <f>K170-L170</f>
        <v>0</v>
      </c>
      <c r="N170" s="21">
        <v>3847.71</v>
      </c>
      <c r="O170" s="21">
        <v>4070</v>
      </c>
      <c r="P170" s="21">
        <f>O170-N170</f>
        <v>222.28999999999996</v>
      </c>
      <c r="Q170" s="21">
        <f>K170*N170</f>
        <v>1072791452.7986999</v>
      </c>
      <c r="R170" s="21">
        <f>L170*O170</f>
        <v>1134768787.8999999</v>
      </c>
      <c r="S170" s="21">
        <f>R170-Q170</f>
        <v>61977335.1013</v>
      </c>
      <c r="T170" t="str">
        <f>IF(R170&lt;= Q170,"No Monetizar","Monetizar")</f>
        <v>Monetizar</v>
      </c>
      <c r="V170" s="1">
        <v>45863</v>
      </c>
      <c r="W170" t="str">
        <v>Alfonso Fonseca A</v>
      </c>
      <c r="X170" t="str">
        <v>Alfonso Fonseca A</v>
      </c>
      <c r="Y170" t="str">
        <v>Se monetiza ya que el valor ofrecido por el banco en cada divisa es superior al valor facturado</v>
      </c>
      <c r="Z170" s="21">
        <f>K170*O170</f>
        <v>1134768787.8999999</v>
      </c>
      <c r="AA170" s="21">
        <f>Z170-Q170</f>
        <v>61977335.1013</v>
      </c>
    </row>
    <row r="171" outlineLevel="1">
      <c r="B171">
        <v>140</v>
      </c>
      <c r="C171" t="str">
        <v>Hemmebarsch GMBH &amp; Co KG</v>
      </c>
      <c r="D171">
        <v>6033</v>
      </c>
      <c r="E171" s="1">
        <v>45862</v>
      </c>
      <c r="F171" s="1">
        <v>45922</v>
      </c>
      <c r="J171" s="20">
        <f>IFERROR(IF(TODAY()&gt;=E171,(TODAY()-E171)/I171,0),0)*0</f>
        <v>0</v>
      </c>
      <c r="K171" s="5">
        <v>1730.49</v>
      </c>
      <c r="L171" s="5">
        <v>1730.49</v>
      </c>
      <c r="M171" s="5">
        <f>K171-L171</f>
        <v>0</v>
      </c>
      <c r="N171" s="21">
        <v>4019.13</v>
      </c>
      <c r="O171" s="21">
        <v>4066.21</v>
      </c>
      <c r="P171" s="21">
        <f>O171-N171</f>
        <v>47.07999999999993</v>
      </c>
      <c r="Q171" s="21">
        <f>K171*N171</f>
        <v>6955064.2737</v>
      </c>
      <c r="R171" s="21">
        <f>L171*O171</f>
        <v>7036535.7429</v>
      </c>
      <c r="S171" s="21">
        <f>R171-Q171</f>
        <v>81471.46920000017</v>
      </c>
      <c r="T171" t="str">
        <f>IF(R171&lt;= Q171,"No Monetizar","Monetizar")</f>
        <v>Monetizar</v>
      </c>
      <c r="V171" s="1">
        <v>45863</v>
      </c>
      <c r="W171" t="str">
        <v>Alfonso Fonseca A</v>
      </c>
      <c r="X171" t="str">
        <v>Alfonso Fonseca A</v>
      </c>
      <c r="Y171" t="str">
        <v>Se monetiza ya que el valor ofrecido por el banco en cada divisa es superior al valor facturado</v>
      </c>
      <c r="Z171" s="21">
        <f>K171*O171</f>
        <v>7036535.7429</v>
      </c>
      <c r="AA171" s="21">
        <f>Z171-Q171</f>
        <v>81471.46920000017</v>
      </c>
    </row>
    <row r="172" outlineLevel="1">
      <c r="B172">
        <v>141</v>
      </c>
      <c r="C172" t="str">
        <v>Bubble BPM</v>
      </c>
      <c r="D172">
        <v>6121</v>
      </c>
      <c r="E172" s="1">
        <v>45863</v>
      </c>
      <c r="F172" s="1">
        <v>45923</v>
      </c>
      <c r="J172" s="20">
        <f>IFERROR(IF(TODAY()&gt;=E172,(TODAY()-E172)/I172,0),0)*0</f>
        <v>0</v>
      </c>
      <c r="K172" s="5">
        <v>1009.29</v>
      </c>
      <c r="L172" s="5">
        <v>979.29</v>
      </c>
      <c r="M172" s="5">
        <f>K172-L172</f>
        <v>30</v>
      </c>
      <c r="N172" s="21">
        <v>3853.9</v>
      </c>
      <c r="O172" s="21">
        <v>4121.5</v>
      </c>
      <c r="P172" s="21">
        <f>O172-N172</f>
        <v>267.5999999999999</v>
      </c>
      <c r="Q172" s="21">
        <f>K172*N172</f>
        <v>3889702.731</v>
      </c>
      <c r="R172" s="21">
        <f>L172*O172</f>
        <v>4036143.735</v>
      </c>
      <c r="S172" s="21">
        <f>R172-Q172</f>
        <v>146441.00399999972</v>
      </c>
      <c r="T172" t="str">
        <f>IF(R172&lt;= Q172,"No Monetizar","Monetizar")</f>
        <v>Monetizar</v>
      </c>
      <c r="V172" s="1">
        <v>45863</v>
      </c>
      <c r="W172" t="str">
        <v>Alfonso Fonseca A</v>
      </c>
      <c r="X172" t="str">
        <v>Alfonso Fonseca A</v>
      </c>
      <c r="Y172" t="str">
        <v>Se monetiza ya que el valor ofrecido por el banco en cada divisa es superior al valor facturado</v>
      </c>
      <c r="Z172" s="21">
        <f>K172*O172</f>
        <v>4159788.735</v>
      </c>
      <c r="AA172" s="21">
        <f>Z172-Q172</f>
        <v>270086.0039999997</v>
      </c>
    </row>
    <row r="173" outlineLevel="1">
      <c r="B173">
        <v>142</v>
      </c>
      <c r="C173" t="str">
        <v>Insider</v>
      </c>
      <c r="D173">
        <v>6037</v>
      </c>
      <c r="E173" s="1">
        <v>45825</v>
      </c>
      <c r="F173" s="1">
        <v>45885</v>
      </c>
      <c r="J173" s="20">
        <f>IFERROR(IF(TODAY()&gt;=E173,(TODAY()-E173)/I173,0),0)*0</f>
        <v>0</v>
      </c>
      <c r="K173" s="5">
        <v>110.32</v>
      </c>
      <c r="L173" s="5">
        <v>110.32</v>
      </c>
      <c r="M173" s="5">
        <f>K173-L173</f>
        <v>0</v>
      </c>
      <c r="N173" s="21">
        <v>4099.13</v>
      </c>
      <c r="O173" s="21">
        <v>4122.05</v>
      </c>
      <c r="P173" s="21">
        <f>O173-N173</f>
        <v>22.920000000000073</v>
      </c>
      <c r="Q173" s="21">
        <f>K173*N173</f>
        <v>452216.0216</v>
      </c>
      <c r="R173" s="21">
        <f>L173*O173</f>
        <v>454744.556</v>
      </c>
      <c r="S173" s="21">
        <f>R173-Q173</f>
        <v>2528.534400000004</v>
      </c>
      <c r="T173" t="str">
        <f>IF(R173&lt;= Q173,"No Monetizar","Monetizar")</f>
        <v>Monetizar</v>
      </c>
      <c r="V173" s="1">
        <v>45863</v>
      </c>
      <c r="W173" t="str">
        <v>Alfonso Fonseca A</v>
      </c>
      <c r="X173" t="str">
        <v>Alfonso Fonseca A</v>
      </c>
      <c r="Y173" t="str">
        <v>Se monetiza ya que el valor ofrecido por el banco en cada divisa es superior al valor facturado</v>
      </c>
      <c r="Z173" s="21">
        <f>K173*O173</f>
        <v>454744.556</v>
      </c>
      <c r="AA173" s="21">
        <f>Z173-Q173</f>
        <v>2528.534400000004</v>
      </c>
    </row>
    <row r="174" outlineLevel="1">
      <c r="B174">
        <v>143</v>
      </c>
      <c r="C174" t="str">
        <v>Remofirst</v>
      </c>
      <c r="D174">
        <v>6098</v>
      </c>
      <c r="E174" s="1">
        <v>45863</v>
      </c>
      <c r="F174" s="1">
        <v>45923</v>
      </c>
      <c r="J174" s="20">
        <f>IFERROR(IF(TODAY()&gt;=E174,(TODAY()-E174)/I174,0),0)*0</f>
        <v>0</v>
      </c>
      <c r="K174" s="5">
        <f>6840.47-1658.25</f>
        <v>5182.22</v>
      </c>
      <c r="L174" s="5">
        <v>5182.22</v>
      </c>
      <c r="M174" s="5">
        <f>K174-L174</f>
        <v>0</v>
      </c>
      <c r="N174" s="21">
        <v>3847.71</v>
      </c>
      <c r="O174" s="21">
        <v>4121.5</v>
      </c>
      <c r="P174" s="21">
        <f>O174-N174</f>
        <v>273.78999999999996</v>
      </c>
      <c r="Q174" s="21">
        <f>K174*N174</f>
        <v>19939679.7162</v>
      </c>
      <c r="R174" s="21">
        <f>L174*O174</f>
        <v>21358519.73</v>
      </c>
      <c r="S174" s="21">
        <f>R174-Q174</f>
        <v>1418840.013799999</v>
      </c>
      <c r="T174" t="str">
        <f>IF(R174&lt;= Q174,"No Monetizar","Monetizar")</f>
        <v>Monetizar</v>
      </c>
      <c r="V174" s="1">
        <v>45863</v>
      </c>
      <c r="W174" t="str">
        <v>Alfonso Fonseca A</v>
      </c>
      <c r="X174" t="str">
        <v>Alfonso Fonseca A</v>
      </c>
      <c r="Y174" t="str">
        <v>Se monetiza ya que el valor ofrecido por el banco en cada divisa es superior al valor facturado</v>
      </c>
      <c r="Z174" s="21">
        <f>K174*O174</f>
        <v>21358519.73</v>
      </c>
      <c r="AA174" s="21">
        <f>Z174-Q174</f>
        <v>1418840.013799999</v>
      </c>
    </row>
    <row r="175" outlineLevel="1">
      <c r="B175">
        <v>144</v>
      </c>
      <c r="C175" t="str">
        <v>Remofirst</v>
      </c>
      <c r="D175">
        <v>6099</v>
      </c>
      <c r="E175" s="1">
        <v>45863</v>
      </c>
      <c r="F175" s="1">
        <v>45923</v>
      </c>
      <c r="J175" s="20">
        <f>IFERROR(IF(TODAY()&gt;=E175,(TODAY()-E175)/I175,0),0)*0</f>
        <v>0</v>
      </c>
      <c r="K175" s="5">
        <f>429.66-292.46</f>
        <v>137.20000000000005</v>
      </c>
      <c r="L175" s="5">
        <v>137.2</v>
      </c>
      <c r="M175" s="5">
        <f>K175-L175</f>
        <v>0</v>
      </c>
      <c r="N175" s="21">
        <v>3847.71</v>
      </c>
      <c r="O175" s="21">
        <v>4121.5</v>
      </c>
      <c r="P175" s="21">
        <f>O175-N175</f>
        <v>273.78999999999996</v>
      </c>
      <c r="Q175" s="21">
        <f>K175*N175</f>
        <v>527905.8120000002</v>
      </c>
      <c r="R175" s="21">
        <f>L175*O175</f>
        <v>565469.7999999999</v>
      </c>
      <c r="S175" s="21">
        <f>R175-Q175</f>
        <v>37563.98799999978</v>
      </c>
      <c r="T175" t="str">
        <f>IF(R175&lt;= Q175,"No Monetizar","Monetizar")</f>
        <v>Monetizar</v>
      </c>
      <c r="V175" s="1">
        <v>45863</v>
      </c>
      <c r="W175" t="str">
        <v>Alfonso Fonseca A</v>
      </c>
      <c r="X175" t="str">
        <v>Alfonso Fonseca A</v>
      </c>
      <c r="Y175" t="str">
        <v>Se monetiza ya que el valor ofrecido por el banco en cada divisa es superior al valor facturado</v>
      </c>
      <c r="Z175" s="21">
        <f>K175*O175</f>
        <v>565469.8000000002</v>
      </c>
      <c r="AA175" s="21">
        <f>Z175-Q175</f>
        <v>37563.98800000001</v>
      </c>
    </row>
    <row r="176" outlineLevel="1">
      <c r="B176">
        <v>145</v>
      </c>
      <c r="C176" t="str">
        <v>Bubble BPM</v>
      </c>
      <c r="D176">
        <v>6025</v>
      </c>
      <c r="E176" s="1">
        <v>45821</v>
      </c>
      <c r="F176" s="1">
        <v>45881</v>
      </c>
      <c r="J176" s="20">
        <f>IFERROR(IF(TODAY()&gt;=E176,(TODAY()-E176)/I176,0),0)*0</f>
        <v>0</v>
      </c>
      <c r="K176" s="5">
        <v>949.72</v>
      </c>
      <c r="L176" s="5">
        <v>924.72</v>
      </c>
      <c r="M176" s="5">
        <f>K176-L176</f>
        <v>25</v>
      </c>
      <c r="N176" s="21">
        <v>4049.13</v>
      </c>
      <c r="O176" s="21">
        <v>4175.2</v>
      </c>
      <c r="P176" s="21">
        <f>O176-N176</f>
        <v>126.06999999999971</v>
      </c>
      <c r="Q176" s="21">
        <f>K176*N176</f>
        <v>3845539.7436</v>
      </c>
      <c r="R176" s="21">
        <f>L176*O176</f>
        <v>3860890.944</v>
      </c>
      <c r="S176" s="21">
        <f>R176-Q176</f>
        <v>15351.200399999972</v>
      </c>
      <c r="T176" t="str">
        <f>IF(R176&lt;= Q176,"No Monetizar","Monetizar")</f>
        <v>Monetizar</v>
      </c>
      <c r="V176" s="1">
        <v>45868</v>
      </c>
      <c r="W176" t="str">
        <v>Alfonso Fonseca A</v>
      </c>
      <c r="X176" t="str">
        <v>Alfonso Fonseca A</v>
      </c>
      <c r="Y176" t="str">
        <v>Se monetiza ya que el valor ofrecido por el banco en cada divisa es superior al valor facturado</v>
      </c>
      <c r="Z176" s="21">
        <f>K176*O176</f>
        <v>3965270.944</v>
      </c>
      <c r="AA176" s="21">
        <f>Z176-Q176</f>
        <v>119731.20039999997</v>
      </c>
    </row>
    <row r="177" outlineLevel="1">
      <c r="B177">
        <v>146</v>
      </c>
      <c r="C177" t="str">
        <v>Insider</v>
      </c>
      <c r="D177">
        <v>6164</v>
      </c>
      <c r="E177" s="1">
        <v>45870</v>
      </c>
      <c r="F177" s="1">
        <v>45930</v>
      </c>
      <c r="J177" s="20">
        <f>IFERROR(IF(TODAY()&gt;=E177,(TODAY()-E177)/I177,0),0)*0</f>
        <v>0</v>
      </c>
      <c r="K177" s="5">
        <v>147790.31</v>
      </c>
      <c r="L177" s="5">
        <v>147775.31</v>
      </c>
      <c r="M177" s="5">
        <f>K177-L177</f>
        <v>15</v>
      </c>
      <c r="N177" s="21">
        <v>4090.48</v>
      </c>
      <c r="O177" s="21">
        <v>4112.5</v>
      </c>
      <c r="P177" s="21">
        <f>O177-N177</f>
        <v>22.019999999999982</v>
      </c>
      <c r="Q177" s="21">
        <f>K177*N177</f>
        <v>604533307.2488</v>
      </c>
      <c r="R177" s="21">
        <f>L177*O177</f>
        <v>607725962.375</v>
      </c>
      <c r="S177" s="21">
        <f>R177-Q177</f>
        <v>3192655.1261999607</v>
      </c>
      <c r="T177" t="str">
        <f>IF(R177&lt;= Q177,"No Monetizar","Monetizar")</f>
        <v>Monetizar</v>
      </c>
      <c r="V177" s="1">
        <v>45870</v>
      </c>
      <c r="W177" t="str">
        <v>Alfonso Fonseca A</v>
      </c>
      <c r="X177" t="str">
        <v>Alfonso Fonseca A</v>
      </c>
      <c r="Y177" t="str">
        <v>Se monetiza ya que el valor ofrecido por el banco en cada divisa es superior al valor facturado</v>
      </c>
      <c r="Z177" s="21">
        <f>K177*O177</f>
        <v>607787649.875</v>
      </c>
      <c r="AA177" s="21">
        <f>Z177-Q177</f>
        <v>3254342.6261999607</v>
      </c>
    </row>
    <row r="178" outlineLevel="1" xml:space="preserve">
      <c r="B178">
        <v>147</v>
      </c>
      <c r="C178" t="str">
        <v>Equus Global Expansion, LLC</v>
      </c>
      <c r="D178">
        <v>5874</v>
      </c>
      <c r="E178" s="1">
        <v>45819</v>
      </c>
      <c r="F178" s="1">
        <v>45879</v>
      </c>
      <c r="J178" s="20">
        <f>IFERROR(IF(TODAY()&gt;=E178,(TODAY()-E178)/I178,0),0)*0</f>
        <v>0</v>
      </c>
      <c r="K178" s="5">
        <v>924.37</v>
      </c>
      <c r="L178" s="5">
        <v>924.37</v>
      </c>
      <c r="M178" s="5">
        <f>K178-L178</f>
        <v>0</v>
      </c>
      <c r="N178" s="21">
        <v>4229.9</v>
      </c>
      <c r="O178" s="21">
        <v>4010.5</v>
      </c>
      <c r="P178" s="21">
        <f>O178-N178</f>
        <v>-219.39999999999964</v>
      </c>
      <c r="Q178" s="21">
        <f>K178*N178</f>
        <v>3909992.6629999997</v>
      </c>
      <c r="R178" s="21">
        <f>L178*O178</f>
        <v>3707185.8850000002</v>
      </c>
      <c r="S178" s="21">
        <f>R178-Q178</f>
        <v>-202806.77799999947</v>
      </c>
      <c r="T178" t="str">
        <f>IF(R178&lt;= Q178,"No Monetizar","Monetizar")</f>
        <v>No Monetizar</v>
      </c>
      <c r="V178" s="1">
        <v>45877</v>
      </c>
      <c r="W178" t="str">
        <v>Alfonso Fonseca A</v>
      </c>
      <c r="X178" t="str">
        <v>Alfonso Fonseca A</v>
      </c>
      <c r="Y178" t="str" xml:space="preserve">
        <v xml:space="preserve">Se ha decidido monetizar estas divisas a pesar de que el valor recibido está por debajo del monto facturado, considerando que la fecha límite para su devolución vencía el domingo 10 de agosto_x000d_
_x000d_
Adicionalmente, al momento del cobro, fue  $ 4,229,90  y la trm no ha estado por encima de ese valor desde el pasado 09 de mayo. el dinero llego el 16  de junio a partir de esa fecha no ha llegado a estos niveles y se han disminuciones sustanciales, sin alcanzar en punto de equilibrio para ingresar los recursos._x000d_
_x000d_
Esta situación fue presentada al Director General el día lunes 16 de junio y se evaluó el escenario y determinó que, pese a la pérdida por diferencia en cambio, no había opción de alcanzar el valor de la divisa facturado , adicional que existía una alta probabilidad de que los recursos tuvieran que ser devueltos al cliente.</v>
      </c>
      <c r="Z178" s="21">
        <f>K178*O178</f>
        <v>3707185.8850000002</v>
      </c>
      <c r="AA178" s="21">
        <f>Z178-Q178</f>
        <v>-202806.77799999947</v>
      </c>
    </row>
    <row r="179" outlineLevel="1">
      <c r="B179">
        <v>148</v>
      </c>
      <c r="C179" t="str">
        <v>Hemmebarsch GMBH &amp; Co KG</v>
      </c>
      <c r="D179">
        <v>6118</v>
      </c>
      <c r="E179" s="1">
        <v>45876</v>
      </c>
      <c r="F179" s="1">
        <v>45936</v>
      </c>
      <c r="J179" s="20">
        <f>IFERROR(IF(TODAY()&gt;=E179,(TODAY()-E179)/I179,0),0)*0</f>
        <v>0</v>
      </c>
      <c r="K179" s="5">
        <v>1214.16</v>
      </c>
      <c r="L179" s="5">
        <v>1214.16</v>
      </c>
      <c r="M179" s="5">
        <f>K179-L179</f>
        <v>0</v>
      </c>
      <c r="N179" s="21">
        <v>3853.9</v>
      </c>
      <c r="O179" s="21">
        <v>4010</v>
      </c>
      <c r="P179" s="21">
        <f>O179-N179</f>
        <v>156.0999999999999</v>
      </c>
      <c r="Q179" s="21">
        <f>K179*N179</f>
        <v>4679251.224</v>
      </c>
      <c r="R179" s="21">
        <f>L179*O179</f>
        <v>4868781.600000001</v>
      </c>
      <c r="S179" s="21">
        <f>R179-Q179</f>
        <v>189530.37600000016</v>
      </c>
      <c r="T179" t="str">
        <f>IF(R179&lt;= Q179,"No Monetizar","Monetizar")</f>
        <v>Monetizar</v>
      </c>
      <c r="V179" s="1">
        <v>45870</v>
      </c>
      <c r="W179" t="str">
        <v>Alfonso Fonseca A</v>
      </c>
      <c r="X179" t="str">
        <v>Alfonso Fonseca A</v>
      </c>
      <c r="Y179" t="str">
        <v>Se monetiza ya que el valor ofrecido por el banco en cada divisa es superior al valor facturado</v>
      </c>
      <c r="Z179" s="21">
        <f>K179*O179</f>
        <v>4868781.600000001</v>
      </c>
      <c r="AA179" s="21">
        <f>Z179-Q179</f>
        <v>189530.37600000016</v>
      </c>
    </row>
    <row r="180" outlineLevel="1" xml:space="preserve">
      <c r="B180">
        <v>149</v>
      </c>
      <c r="C180" t="str">
        <v>Remofirst</v>
      </c>
      <c r="D180">
        <v>5988</v>
      </c>
      <c r="E180" s="1">
        <v>45820</v>
      </c>
      <c r="F180" s="1">
        <v>45880</v>
      </c>
      <c r="J180" s="20">
        <f>IFERROR(IF(TODAY()&gt;=E180,(TODAY()-E180)/I180,0),0)*0</f>
        <v>0</v>
      </c>
      <c r="K180" s="5">
        <v>16433.2</v>
      </c>
      <c r="L180" s="5">
        <v>16433.2</v>
      </c>
      <c r="M180" s="5">
        <f>K180-L180</f>
        <v>0</v>
      </c>
      <c r="N180" s="21">
        <v>4186.79</v>
      </c>
      <c r="O180" s="21">
        <v>4051.1</v>
      </c>
      <c r="P180" s="21">
        <f>O180-N180</f>
        <v>-135.69000000000005</v>
      </c>
      <c r="Q180" s="21">
        <f>K180*N180</f>
        <v>68802357.428</v>
      </c>
      <c r="R180" s="21">
        <f>L180*O180</f>
        <v>66572536.52</v>
      </c>
      <c r="S180" s="21">
        <f>R180-Q180</f>
        <v>-2229820.908</v>
      </c>
      <c r="T180" t="str">
        <f>IF(R180&lt;= Q180,"No Monetizar","Monetizar")</f>
        <v>No Monetizar</v>
      </c>
      <c r="V180" s="1">
        <v>45880</v>
      </c>
      <c r="W180" t="str">
        <v>Alfonso Fonseca A</v>
      </c>
      <c r="X180" t="str">
        <v>Alfonso Fonseca A</v>
      </c>
      <c r="Y180" t="str" xml:space="preserve">
        <v xml:space="preserve">Se ha decidido monetizar estas divisas a pesar de que el valor recibido está por debajo del monto facturado, considerando que la fecha límite para su devolución vencía el hoy lunes 11 de agosto_x000d_
_x000d_
Adicionalmente, al momento del cobro, fue  $ 4,186.79  y la trm no ha estado por encima de ese valor desde el pasado 11 de julio. el dinero llego el 12  de junio en horas de la tarde cuando comercio exterior ya estaba cerrado a partir de esa fecha no ha llegado a estos niveles y se han disminuciones sustanciales, sin alcanzar en punto de equilibrio para ingresar los recursos, solo se alcanzo una valor similar el 01 de agosto con una TRM 4,186,71 pero el banco para ese día tenia la página caida lo que no permitio negociar ninguna divisa,._x000d_
_x000d_
Esta situación fue presentada al Director General el día lunes 08 de agosto en reunión de revisión de los flujos de caja  y se evaluó el escenario y determinó que, pese a la pérdida por diferencia en cambio, no había opción de alcanzar el valor de la divisa facturado , adicional que existía una alta probabilidad de que los recursos tuvieran que ser devueltos al cliente.</v>
      </c>
      <c r="Z180" s="21">
        <f>K180*O180</f>
        <v>66572536.52</v>
      </c>
      <c r="AA180" s="21">
        <f>Z180-Q180</f>
        <v>-2229820.908</v>
      </c>
    </row>
    <row r="181" outlineLevel="1" xml:space="preserve">
      <c r="B181">
        <v>150</v>
      </c>
      <c r="C181" t="str">
        <v>Remofirst</v>
      </c>
      <c r="D181">
        <v>5989</v>
      </c>
      <c r="E181" s="1">
        <v>45820</v>
      </c>
      <c r="F181" s="1">
        <v>45880</v>
      </c>
      <c r="J181" s="20">
        <f>IFERROR(IF(TODAY()&gt;=E181,(TODAY()-E181)/I181,0),0)*0</f>
        <v>0</v>
      </c>
      <c r="K181" s="5">
        <v>2166</v>
      </c>
      <c r="L181" s="5">
        <v>2166</v>
      </c>
      <c r="M181" s="5">
        <f>K181-L181</f>
        <v>0</v>
      </c>
      <c r="N181" s="21">
        <v>4186.79</v>
      </c>
      <c r="O181" s="21">
        <v>4051.1</v>
      </c>
      <c r="P181" s="21">
        <f>O181-N181</f>
        <v>-135.69000000000005</v>
      </c>
      <c r="Q181" s="21">
        <f>K181*N181</f>
        <v>9068587.14</v>
      </c>
      <c r="R181" s="21">
        <f>L181*O181</f>
        <v>8774682.6</v>
      </c>
      <c r="S181" s="21">
        <f>R181-Q181</f>
        <v>-293904.54000000097</v>
      </c>
      <c r="T181" t="str">
        <f>IF(R181&lt;= Q181,"No Monetizar","Monetizar")</f>
        <v>No Monetizar</v>
      </c>
      <c r="V181" s="1">
        <v>45880</v>
      </c>
      <c r="W181" t="str">
        <v>Alfonso Fonseca A</v>
      </c>
      <c r="X181" t="str">
        <v>Alfonso Fonseca A</v>
      </c>
      <c r="Y181" t="str" xml:space="preserve">
        <v xml:space="preserve">Se ha decidido monetizar estas divisas a pesar de que el valor recibido está por debajo del monto facturado, considerando que la fecha límite para su devolución vencía el hoy lunes 11 de agosto_x000d_
_x000d_
Adicionalmente, al momento del cobro, fue  $ 4,186.79  y la trm no ha estado por encima de ese valor desde el pasado 11 de julio. el dinero llego el 12  de junio en horas de la tarde cuando comercio exterior ya estaba cerrado a partir de esa fecha no ha llegado a estos niveles y se han disminuciones sustanciales, sin alcanzar en punto de equilibrio para ingresar los recursos, solo se alcanzo una valor similar el 01 de agosto con una TRM 4,186,71 pero el banco para ese día tenia la página caida lo que no permitio negociar ninguna divisa,._x000d_
_x000d_
Esta situación fue presentada al Director General el día lunes 08 de agosto en reunión de revisión de los flujos de caja  y se evaluó el escenario y determinó que, pese a la pérdida por diferencia en cambio, no había opción de alcanzar el valor de la divisa facturado , adicional que existía una alta probabilidad de que los recursos tuvieran que ser devueltos al cliente.</v>
      </c>
      <c r="Z181" s="21">
        <f>K181*O181</f>
        <v>8774682.6</v>
      </c>
      <c r="AA181" s="21">
        <f>Z181-Q181</f>
        <v>-293904.54000000097</v>
      </c>
    </row>
    <row r="182" outlineLevel="1" xml:space="preserve">
      <c r="B182">
        <v>151</v>
      </c>
      <c r="C182" t="str">
        <v>Global Project</v>
      </c>
      <c r="D182">
        <v>5849</v>
      </c>
      <c r="E182" s="1">
        <v>45821</v>
      </c>
      <c r="F182" s="1">
        <v>45881</v>
      </c>
      <c r="J182" s="20">
        <f>IFERROR(IF(TODAY()&gt;=E182,(TODAY()-E182)/I182,0),0)*0</f>
        <v>0</v>
      </c>
      <c r="K182" s="5">
        <v>1316.4</v>
      </c>
      <c r="L182" s="5">
        <f>1316.4-8</f>
        <v>1308.4</v>
      </c>
      <c r="M182" s="5">
        <f>K182-L182</f>
        <v>8</v>
      </c>
      <c r="N182" s="21">
        <v>4351.55</v>
      </c>
      <c r="O182" s="21">
        <v>4008.59</v>
      </c>
      <c r="P182" s="21">
        <f>O182-N182</f>
        <v>-342.96000000000004</v>
      </c>
      <c r="Q182" s="21">
        <f>K182*N182</f>
        <v>5728380.420000001</v>
      </c>
      <c r="R182" s="21">
        <f>L182*O182</f>
        <v>5244839.156</v>
      </c>
      <c r="S182" s="21">
        <f>R182-Q182</f>
        <v>-483541.26400000043</v>
      </c>
      <c r="T182" t="str">
        <f>IF(R182&lt;= Q182,"No Monetizar","Monetizar")</f>
        <v>No Monetizar</v>
      </c>
      <c r="V182" s="1">
        <v>45881</v>
      </c>
      <c r="W182" t="str">
        <v>Alfonso Fonseca A</v>
      </c>
      <c r="X182" t="str">
        <v>Alfonso Fonseca A</v>
      </c>
      <c r="Y182" t="str" xml:space="preserve">
        <v xml:space="preserve">Se ha decidido monetizar estas divisas a pesar de que el valor recibido está por debajo del monto facturado, considerando que la fecha límite para su devolución vencía el hoy martes 12 de agosto_x000d_
_x000d_
Adicionalmente, al momento del cobro, fue  $ 4,186.79  y la trm no ha estado por encima de ese valor desde el pasado 07 de enero. el dinero llego el 13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82" s="21">
        <f>K182*O182</f>
        <v>5276907.876</v>
      </c>
      <c r="AA182" s="21">
        <f>Z182-Q182</f>
        <v>-451472.5440000007</v>
      </c>
    </row>
    <row r="183" outlineLevel="1" xml:space="preserve">
      <c r="B183">
        <v>152</v>
      </c>
      <c r="C183" t="str">
        <v>Global Project</v>
      </c>
      <c r="D183">
        <v>5887</v>
      </c>
      <c r="E183" s="1">
        <v>45821</v>
      </c>
      <c r="F183" s="1">
        <v>45881</v>
      </c>
      <c r="J183" s="20">
        <f>IFERROR(IF(TODAY()&gt;=E183,(TODAY()-E183)/I183,0),0)*0</f>
        <v>0</v>
      </c>
      <c r="K183" s="5">
        <v>650</v>
      </c>
      <c r="L183" s="5">
        <f>650-2</f>
        <v>648</v>
      </c>
      <c r="M183" s="5">
        <f>K183-L183</f>
        <v>2</v>
      </c>
      <c r="N183" s="21">
        <v>4283.22</v>
      </c>
      <c r="O183" s="21">
        <v>4008.59</v>
      </c>
      <c r="P183" s="21">
        <f>O183-N183</f>
        <v>-274.6300000000001</v>
      </c>
      <c r="Q183" s="21">
        <f>K183*N183</f>
        <v>2784093</v>
      </c>
      <c r="R183" s="21">
        <f>L183*O183</f>
        <v>2597566.3200000003</v>
      </c>
      <c r="S183" s="21">
        <f>R183-Q183</f>
        <v>-186526.6799999997</v>
      </c>
      <c r="T183" t="str">
        <f>IF(R183&lt;= Q183,"No Monetizar","Monetizar")</f>
        <v>No Monetizar</v>
      </c>
      <c r="V183" s="1">
        <v>45881</v>
      </c>
      <c r="W183" t="str">
        <v>Alfonso Fonseca A</v>
      </c>
      <c r="X183" t="str">
        <v>Alfonso Fonseca A</v>
      </c>
      <c r="Y183" t="str" xml:space="preserve">
        <v xml:space="preserve">Se ha decidido monetizar estas divisas a pesar de que el valor recibido está por debajo del monto facturado, considerando que la fecha límite para su devolución vencía el hoy martes 12 de agosto_x000d_
_x000d_
Adicionalmente, al momento del cobro, fue  $ 4,186.79  y la trm no ha estado por encima de ese valor desde el pasado 06 de mayo. el dinero llego el 13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83" s="21">
        <f>K183*O183</f>
        <v>2605583.5</v>
      </c>
      <c r="AA183" s="21">
        <f>Z183-Q183</f>
        <v>-178509.5</v>
      </c>
    </row>
    <row r="184" outlineLevel="1" xml:space="preserve">
      <c r="B184">
        <v>153</v>
      </c>
      <c r="C184" t="str">
        <v>Advancio</v>
      </c>
      <c r="D184">
        <v>5899</v>
      </c>
      <c r="E184" s="1">
        <v>45823</v>
      </c>
      <c r="F184" s="1">
        <v>45883</v>
      </c>
      <c r="J184" s="20">
        <f>IFERROR(IF(TODAY()&gt;=E184,(TODAY()-E184)/I184,0),0)*0</f>
        <v>0</v>
      </c>
      <c r="K184" s="5">
        <v>320</v>
      </c>
      <c r="L184" s="5">
        <v>320</v>
      </c>
      <c r="M184" s="5">
        <f>K184-L184</f>
        <v>0</v>
      </c>
      <c r="N184" s="21">
        <v>4188.31</v>
      </c>
      <c r="O184" s="21">
        <v>4020</v>
      </c>
      <c r="P184" s="21">
        <f>O184-N184</f>
        <v>-168.3100000000004</v>
      </c>
      <c r="Q184" s="21">
        <f>K184*N184</f>
        <v>1340259.2000000002</v>
      </c>
      <c r="R184" s="21">
        <f>L184*O184</f>
        <v>1286400</v>
      </c>
      <c r="S184" s="21">
        <f>R184-Q184</f>
        <v>-53859.200000000186</v>
      </c>
      <c r="T184" t="str">
        <f>IF(R184&lt;= Q184,"No Monetizar","Monetizar")</f>
        <v>No Monetizar</v>
      </c>
      <c r="V184" s="1">
        <v>45881</v>
      </c>
      <c r="W184" t="str">
        <v>Alfonso Fonseca A</v>
      </c>
      <c r="X184" t="str">
        <v>Alfonso Fonseca A</v>
      </c>
      <c r="Y184" t="str" xml:space="preserve">
        <v xml:space="preserve">Se ha decidido monetizar estas divisas a pesar de que el valor recibido está por debajo del monto facturado, considerando que la fecha límite para su devolución vencía el hoy viernes 15 de agosto_x000d_
_x000d_
Adicionalmente, al momento del cobro, fue  $ 4,188.31  y la trm no ha estado por encima de ese valor desde el pasado 06 de mayo. el dinero llego el 15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84" s="21">
        <f>K184*O184</f>
        <v>1286400</v>
      </c>
      <c r="AA184" s="21">
        <f>Z184-Q184</f>
        <v>-53859.200000000186</v>
      </c>
    </row>
    <row r="185" outlineLevel="1">
      <c r="B185">
        <v>154</v>
      </c>
      <c r="C185" t="str">
        <v>Flexco</v>
      </c>
      <c r="D185">
        <v>6112</v>
      </c>
      <c r="E185" s="1">
        <v>45883</v>
      </c>
      <c r="F185" s="1">
        <v>45943</v>
      </c>
      <c r="J185" s="20">
        <f>IFERROR(IF(TODAY()&gt;=E185,(TODAY()-E185)/I185,0),0)*0</f>
        <v>0</v>
      </c>
      <c r="K185" s="5">
        <v>3974.29</v>
      </c>
      <c r="L185" s="5">
        <v>3964.29</v>
      </c>
      <c r="M185" s="5">
        <f>K185-L185</f>
        <v>10</v>
      </c>
      <c r="N185" s="21">
        <v>3899.9</v>
      </c>
      <c r="O185" s="21">
        <v>4017.51</v>
      </c>
      <c r="P185" s="21">
        <f>O185-N185</f>
        <v>117.61000000000013</v>
      </c>
      <c r="Q185" s="21">
        <f>K185*N185</f>
        <v>15499333.571</v>
      </c>
      <c r="R185" s="21">
        <f>L185*O185</f>
        <v>15926574.7179</v>
      </c>
      <c r="S185" s="21">
        <f>R185-Q185</f>
        <v>427241.14690000005</v>
      </c>
      <c r="T185" t="str">
        <f>IF(R185&lt;= Q185,"No Monetizar","Monetizar")</f>
        <v>Monetizar</v>
      </c>
      <c r="V185" s="1">
        <v>45888</v>
      </c>
      <c r="W185" t="str">
        <v>Alfonso Fonseca A</v>
      </c>
      <c r="X185" t="str">
        <v>Alfonso Fonseca A</v>
      </c>
      <c r="Y185" t="str">
        <v>Se monetiza ya que el valor ofrecido por el banco en cada divisa es superior al valor facturado</v>
      </c>
      <c r="Z185" s="21">
        <f>K185*O185</f>
        <v>15966749.8179</v>
      </c>
      <c r="AA185" s="21">
        <f>Z185-Q185</f>
        <v>467416.2468999997</v>
      </c>
    </row>
    <row r="186" outlineLevel="1">
      <c r="B186">
        <v>155</v>
      </c>
      <c r="C186" t="str">
        <v>Equus Global Expansion, LLC</v>
      </c>
      <c r="D186">
        <v>6207</v>
      </c>
      <c r="E186" s="1">
        <v>45888</v>
      </c>
      <c r="F186" s="1">
        <v>45948</v>
      </c>
      <c r="J186" s="20">
        <f>IFERROR(IF(TODAY()&gt;=E186,(TODAY()-E186)/I186,0),0)*0</f>
        <v>0</v>
      </c>
      <c r="K186" s="5">
        <v>178.5</v>
      </c>
      <c r="L186" s="5">
        <v>178.5</v>
      </c>
      <c r="M186" s="5">
        <f>K186-L186</f>
        <v>0</v>
      </c>
      <c r="N186" s="21">
        <v>3917.12</v>
      </c>
      <c r="O186" s="21">
        <v>4021.3</v>
      </c>
      <c r="P186" s="21">
        <f>O186-N186</f>
        <v>104.18000000000029</v>
      </c>
      <c r="Q186" s="21">
        <f>K186*N186</f>
        <v>699205.9199999999</v>
      </c>
      <c r="R186" s="21">
        <f>L186*O186</f>
        <v>717802.05</v>
      </c>
      <c r="S186" s="21">
        <f>R186-Q186</f>
        <v>18596.13000000012</v>
      </c>
      <c r="T186" t="str">
        <f>IF(R186&lt;= Q186,"No Monetizar","Monetizar")</f>
        <v>Monetizar</v>
      </c>
      <c r="V186" s="1">
        <v>45890</v>
      </c>
      <c r="W186" t="str">
        <v>Alfonso Fonseca A</v>
      </c>
      <c r="X186" t="str">
        <v>Alfonso Fonseca A</v>
      </c>
      <c r="Y186" t="str">
        <v>Se monetiza ya que el valor ofrecido por el banco en cada divisa es superior al valor facturado</v>
      </c>
      <c r="Z186" s="21">
        <f>K186*O186</f>
        <v>717802.05</v>
      </c>
      <c r="AA186" s="21">
        <f>Z186-Q186</f>
        <v>18596.13000000012</v>
      </c>
    </row>
    <row r="187" outlineLevel="1">
      <c r="B187">
        <v>156</v>
      </c>
      <c r="C187" t="str">
        <v>Equus Global Expansion, LLC</v>
      </c>
      <c r="D187" t="str">
        <v>FV-5-15</v>
      </c>
      <c r="E187" s="1">
        <v>45888</v>
      </c>
      <c r="F187" s="1">
        <v>45948</v>
      </c>
      <c r="J187" s="20">
        <f>IFERROR(IF(TODAY()&gt;=E187,(TODAY()-E187)/I187,0),0)*0</f>
        <v>0</v>
      </c>
      <c r="K187" s="5">
        <v>1227</v>
      </c>
      <c r="L187" s="5">
        <v>1227</v>
      </c>
      <c r="M187" s="5">
        <f>K187-L187</f>
        <v>0</v>
      </c>
      <c r="N187" s="21">
        <v>3917.12</v>
      </c>
      <c r="O187" s="21">
        <v>4021.3</v>
      </c>
      <c r="P187" s="21">
        <f>O187-N187</f>
        <v>104.18000000000029</v>
      </c>
      <c r="Q187" s="21">
        <f>K187*N187</f>
        <v>4806306.24</v>
      </c>
      <c r="R187" s="21">
        <f>L187*O187</f>
        <v>4934135.100000001</v>
      </c>
      <c r="S187" s="21">
        <f>R187-Q187</f>
        <v>127828.86000000034</v>
      </c>
      <c r="T187" t="str">
        <f>IF(R187&lt;= Q187,"No Monetizar","Monetizar")</f>
        <v>Monetizar</v>
      </c>
      <c r="V187" s="1">
        <v>45890</v>
      </c>
      <c r="W187" t="str">
        <v>Alfonso Fonseca A</v>
      </c>
      <c r="X187" t="str">
        <v>Alfonso Fonseca A</v>
      </c>
      <c r="Y187" t="str">
        <v>Se monetiza ya que el valor ofrecido por el banco en cada divisa es superior al valor facturado</v>
      </c>
      <c r="Z187" s="21">
        <f>K187*O187</f>
        <v>4934135.100000001</v>
      </c>
      <c r="AA187" s="21">
        <f>Z187-Q187</f>
        <v>127828.86000000034</v>
      </c>
    </row>
    <row r="188" outlineLevel="1">
      <c r="B188">
        <v>157</v>
      </c>
      <c r="C188" t="str">
        <v>Marketing Doctors</v>
      </c>
      <c r="D188">
        <v>6194</v>
      </c>
      <c r="E188" s="1">
        <v>45888</v>
      </c>
      <c r="F188" s="1">
        <v>45948</v>
      </c>
      <c r="J188" s="20">
        <f>IFERROR(IF(TODAY()&gt;=E188,(TODAY()-E188)/I188,0),0)*0</f>
        <v>0</v>
      </c>
      <c r="K188" s="5">
        <v>128.17</v>
      </c>
      <c r="L188" s="5">
        <v>128.17</v>
      </c>
      <c r="M188" s="5">
        <f>K188-L188</f>
        <v>0</v>
      </c>
      <c r="N188" s="21">
        <v>3937.12</v>
      </c>
      <c r="O188" s="21">
        <v>4022</v>
      </c>
      <c r="P188" s="21">
        <f>O188-N188</f>
        <v>84.88000000000011</v>
      </c>
      <c r="Q188" s="21">
        <f>K188*N188</f>
        <v>504620.67039999994</v>
      </c>
      <c r="R188" s="21">
        <f>L188*O188</f>
        <v>515499.73999999993</v>
      </c>
      <c r="S188" s="21">
        <f>R188-Q188</f>
        <v>10879.069599999988</v>
      </c>
      <c r="T188" t="str">
        <f>IF(R188&lt;= Q188,"No Monetizar","Monetizar")</f>
        <v>Monetizar</v>
      </c>
      <c r="V188" s="1">
        <v>45890</v>
      </c>
      <c r="W188" t="str">
        <v>Alfonso Fonseca A</v>
      </c>
      <c r="X188" t="str">
        <v>Alfonso Fonseca A</v>
      </c>
      <c r="Y188" t="str">
        <v>Se monetiza ya que el valor ofrecido por el banco en cada divisa es superior al valor facturado</v>
      </c>
      <c r="Z188" s="21">
        <f>K188*O188</f>
        <v>515499.73999999993</v>
      </c>
      <c r="AA188" s="21">
        <f>Z188-Q188</f>
        <v>10879.069599999988</v>
      </c>
    </row>
    <row r="189" outlineLevel="1">
      <c r="B189">
        <v>158</v>
      </c>
      <c r="C189" t="str">
        <v>Marketing Doctors</v>
      </c>
      <c r="D189" t="str">
        <v>FV-5-3</v>
      </c>
      <c r="E189" s="1">
        <v>45888</v>
      </c>
      <c r="F189" s="1">
        <v>45948</v>
      </c>
      <c r="J189" s="20">
        <f>IFERROR(IF(TODAY()&gt;=E189,(TODAY()-E189)/I189,0),0)*0</f>
        <v>0</v>
      </c>
      <c r="K189" s="5">
        <v>1165.27</v>
      </c>
      <c r="L189" s="5">
        <v>1165.27</v>
      </c>
      <c r="M189" s="5">
        <f>K189-L189</f>
        <v>0</v>
      </c>
      <c r="N189" s="21">
        <v>3937.12</v>
      </c>
      <c r="O189" s="21">
        <v>4022</v>
      </c>
      <c r="P189" s="21">
        <f>O189-N189</f>
        <v>84.88000000000011</v>
      </c>
      <c r="Q189" s="21">
        <f>K189*N189</f>
        <v>4587807.8224</v>
      </c>
      <c r="R189" s="21">
        <f>L189*O189</f>
        <v>4686715.9399999995</v>
      </c>
      <c r="S189" s="21">
        <f>R189-Q189</f>
        <v>98908.11759999953</v>
      </c>
      <c r="T189" t="str">
        <f>IF(R189&lt;= Q189,"No Monetizar","Monetizar")</f>
        <v>Monetizar</v>
      </c>
      <c r="V189" s="1">
        <v>45890</v>
      </c>
      <c r="W189" t="str">
        <v>Alfonso Fonseca A</v>
      </c>
      <c r="X189" t="str">
        <v>Alfonso Fonseca A</v>
      </c>
      <c r="Y189" t="str">
        <v>Se monetiza ya que el valor ofrecido por el banco en cada divisa es superior al valor facturado</v>
      </c>
      <c r="Z189" s="21">
        <f>K189*O189</f>
        <v>4686715.9399999995</v>
      </c>
      <c r="AA189" s="21">
        <f>Z189-Q189</f>
        <v>98908.11759999953</v>
      </c>
    </row>
    <row r="190" outlineLevel="1">
      <c r="B190">
        <v>159</v>
      </c>
      <c r="C190" t="str">
        <v>Oncehub</v>
      </c>
      <c r="D190">
        <v>6197</v>
      </c>
      <c r="E190" s="1">
        <v>45888</v>
      </c>
      <c r="F190" s="1">
        <v>45948</v>
      </c>
      <c r="J190" s="20">
        <f>IFERROR(IF(TODAY()&gt;=E190,(TODAY()-E190)/I190,0),0)*0</f>
        <v>0</v>
      </c>
      <c r="K190" s="5">
        <v>285.6</v>
      </c>
      <c r="L190" s="5">
        <v>283.8518852218196</v>
      </c>
      <c r="M190" s="5">
        <f>K190-L190</f>
        <v>1.7481147781804225</v>
      </c>
      <c r="N190" s="21">
        <v>3936.78</v>
      </c>
      <c r="O190" s="21">
        <v>4022.2</v>
      </c>
      <c r="P190" s="21">
        <f>O190-N190</f>
        <v>85.41999999999962</v>
      </c>
      <c r="Q190" s="21">
        <f>K190*N190</f>
        <v>1124344.3680000002</v>
      </c>
      <c r="R190" s="21">
        <f>L190*O190</f>
        <v>1141709.0527392027</v>
      </c>
      <c r="S190" s="21">
        <f>R190-Q190</f>
        <v>17364.684739202494</v>
      </c>
      <c r="T190" t="str">
        <f>IF(R190&lt;= Q190,"No Monetizar","Monetizar")</f>
        <v>Monetizar</v>
      </c>
      <c r="V190" s="1">
        <v>45890</v>
      </c>
      <c r="W190" t="str">
        <v>Alfonso Fonseca A</v>
      </c>
      <c r="X190" t="str">
        <v>Alfonso Fonseca A</v>
      </c>
      <c r="Y190" t="str">
        <v>Se monetiza ya que el valor ofrecido por el banco en cada divisa es superior al valor facturado</v>
      </c>
      <c r="Z190" s="21">
        <f>K190*O190</f>
        <v>1148740.32</v>
      </c>
      <c r="AA190" s="21">
        <f>Z190-Q190</f>
        <v>24395.951999999816</v>
      </c>
    </row>
    <row r="191" outlineLevel="1">
      <c r="B191">
        <v>160</v>
      </c>
      <c r="C191" t="str">
        <v>Oncehub</v>
      </c>
      <c r="D191" t="str">
        <v>FV-5-6</v>
      </c>
      <c r="E191" s="1">
        <v>45888</v>
      </c>
      <c r="F191" s="1">
        <v>45948</v>
      </c>
      <c r="J191" s="20">
        <f>IFERROR(IF(TODAY()&gt;=E191,(TODAY()-E191)/I191,0),0)*0</f>
        <v>0</v>
      </c>
      <c r="K191" s="5">
        <v>2981.92</v>
      </c>
      <c r="L191" s="5">
        <v>2963.66811477818</v>
      </c>
      <c r="M191" s="5">
        <f>K191-L191</f>
        <v>18.251885221819975</v>
      </c>
      <c r="N191" s="21">
        <v>3936.78</v>
      </c>
      <c r="O191" s="21">
        <v>4022.2</v>
      </c>
      <c r="P191" s="21">
        <f>O191-N191</f>
        <v>85.41999999999962</v>
      </c>
      <c r="Q191" s="21">
        <f>K191*N191</f>
        <v>11739163.017600002</v>
      </c>
      <c r="R191" s="21">
        <f>L191*O191</f>
        <v>11920465.891260795</v>
      </c>
      <c r="S191" s="21">
        <f>R191-Q191</f>
        <v>181302.87366079353</v>
      </c>
      <c r="T191" t="str">
        <f>IF(R191&lt;= Q191,"No Monetizar","Monetizar")</f>
        <v>Monetizar</v>
      </c>
      <c r="V191" s="1">
        <v>45890</v>
      </c>
      <c r="W191" t="str">
        <v>Alfonso Fonseca A</v>
      </c>
      <c r="X191" t="str">
        <v>Alfonso Fonseca A</v>
      </c>
      <c r="Y191" t="str">
        <v>Se monetiza ya que el valor ofrecido por el banco en cada divisa es superior al valor facturado</v>
      </c>
      <c r="Z191" s="21">
        <f>K191*O191</f>
        <v>11993878.624</v>
      </c>
      <c r="AA191" s="21">
        <f>Z191-Q191</f>
        <v>254715.60639999807</v>
      </c>
    </row>
    <row r="192" outlineLevel="1">
      <c r="B192">
        <v>161</v>
      </c>
      <c r="C192" t="str">
        <v>Action</v>
      </c>
      <c r="D192">
        <v>6183</v>
      </c>
      <c r="E192" s="1">
        <v>45888</v>
      </c>
      <c r="F192" s="1">
        <v>45948</v>
      </c>
      <c r="J192" s="20">
        <f>IFERROR(IF(TODAY()&gt;=E192,(TODAY()-E192)/I192,0),0)*0</f>
        <v>0</v>
      </c>
      <c r="K192" s="5">
        <v>369.22</v>
      </c>
      <c r="L192" s="5">
        <v>369.22</v>
      </c>
      <c r="M192" s="5">
        <f>K192-L192</f>
        <v>0</v>
      </c>
      <c r="N192" s="21">
        <v>4004.74</v>
      </c>
      <c r="O192" s="21">
        <v>4016.5</v>
      </c>
      <c r="P192" s="21">
        <f>O192-N192</f>
        <v>11.760000000000218</v>
      </c>
      <c r="Q192" s="21">
        <f>K192*N192</f>
        <v>1478630.1028</v>
      </c>
      <c r="R192" s="21">
        <f>L192*O192</f>
        <v>1482972.1300000001</v>
      </c>
      <c r="S192" s="21">
        <f>R192-Q192</f>
        <v>4342.027200000128</v>
      </c>
      <c r="T192" t="str">
        <f>IF(R192&lt;= Q192,"No Monetizar","Monetizar")</f>
        <v>Monetizar</v>
      </c>
      <c r="V192" s="1">
        <v>45890</v>
      </c>
      <c r="W192" t="str">
        <v>Alfonso Fonseca A</v>
      </c>
      <c r="X192" t="str">
        <v>Alfonso Fonseca A</v>
      </c>
      <c r="Y192" t="str">
        <v>Se monetiza ya que el valor ofrecido por el banco en cada divisa es superior al valor facturado</v>
      </c>
      <c r="Z192" s="21">
        <f>K192*O192</f>
        <v>1482972.1300000001</v>
      </c>
      <c r="AA192" s="21">
        <f>Z192-Q192</f>
        <v>4342.027200000128</v>
      </c>
    </row>
    <row r="193" outlineLevel="1">
      <c r="B193">
        <v>162</v>
      </c>
      <c r="C193" t="str">
        <v>Action</v>
      </c>
      <c r="D193" t="str">
        <v>FV-5-X</v>
      </c>
      <c r="E193" s="1">
        <v>45888</v>
      </c>
      <c r="F193" s="1">
        <v>45948</v>
      </c>
      <c r="J193" s="20">
        <f>IFERROR(IF(TODAY()&gt;=E193,(TODAY()-E193)/I193,0),0)*0</f>
        <v>0</v>
      </c>
      <c r="K193" s="5">
        <v>3356.56</v>
      </c>
      <c r="L193" s="5">
        <v>3356.56</v>
      </c>
      <c r="M193" s="5">
        <f>K193-L193</f>
        <v>0</v>
      </c>
      <c r="N193" s="21">
        <v>4004.74</v>
      </c>
      <c r="O193" s="21">
        <v>4016.5</v>
      </c>
      <c r="P193" s="21">
        <f>O193-N193</f>
        <v>11.760000000000218</v>
      </c>
      <c r="Q193" s="21">
        <f>K193*N193</f>
        <v>13442150.0944</v>
      </c>
      <c r="R193" s="21">
        <f>L193*O193</f>
        <v>13481623.24</v>
      </c>
      <c r="S193" s="21">
        <f>R193-Q193</f>
        <v>39473.1456000004</v>
      </c>
      <c r="T193" t="str">
        <f>IF(R193&lt;= Q193,"No Monetizar","Monetizar")</f>
        <v>Monetizar</v>
      </c>
      <c r="V193" s="1">
        <v>45890</v>
      </c>
      <c r="W193" t="str">
        <v>Alfonso Fonseca A</v>
      </c>
      <c r="X193" t="str">
        <v>Alfonso Fonseca A</v>
      </c>
      <c r="Y193" t="str">
        <v>Se monetiza ya que el valor ofrecido por el banco en cada divisa es superior al valor facturado</v>
      </c>
      <c r="Z193" s="21">
        <f>K193*O193</f>
        <v>13481623.24</v>
      </c>
      <c r="AA193" s="21">
        <f>Z193-Q193</f>
        <v>39473.1456000004</v>
      </c>
    </row>
    <row r="194" outlineLevel="1" xml:space="preserve">
      <c r="B194">
        <v>163</v>
      </c>
      <c r="C194" t="str">
        <v>Insider</v>
      </c>
      <c r="D194" t="str">
        <v>FV-5-20</v>
      </c>
      <c r="E194" s="1">
        <v>45891</v>
      </c>
      <c r="F194" s="1">
        <v>45950</v>
      </c>
      <c r="J194" s="20">
        <f>IFERROR(IF(TODAY()&gt;=E194,(TODAY()-E194)/I194,0),0)*0</f>
        <v>0</v>
      </c>
      <c r="K194" s="5">
        <v>1052.67</v>
      </c>
      <c r="L194" s="5">
        <v>1042.67</v>
      </c>
      <c r="M194" s="5">
        <f>K194-L194</f>
        <v>10</v>
      </c>
      <c r="N194" s="21">
        <v>3999.24</v>
      </c>
      <c r="O194" s="21">
        <v>3988.3</v>
      </c>
      <c r="P194" s="21">
        <f>O194-N194</f>
        <v>-10.9399999999996</v>
      </c>
      <c r="Q194" s="21">
        <f>K194*N194</f>
        <v>4209879.9708</v>
      </c>
      <c r="R194" s="21">
        <f>L194*O194</f>
        <v>4158480.7610000004</v>
      </c>
      <c r="S194" s="21">
        <f>R194-Q194</f>
        <v>-51399.20979999984</v>
      </c>
      <c r="T194" t="str">
        <f>IF(R194&lt;= Q194,"No Monetizar","Monetizar")</f>
        <v>No Monetizar</v>
      </c>
      <c r="V194" s="1">
        <v>45890</v>
      </c>
      <c r="W194" t="str">
        <v>Alfonso Fonseca A</v>
      </c>
      <c r="X194" t="str">
        <v>Alfonso Fonseca A</v>
      </c>
      <c r="Y194" t="str" xml:space="preserve">
        <v xml:space="preserve">Se ha decidido monetizar estas divisas a pesar de que el valor recibido está por debajo del monto facturado, considerando que la fecha límite para su devolución vencía el hoy viernes 15 de agosto_x000d_
_x000d_
Adicionalmente, al momento del cobro, fue  $ 4,188.31  y la trm no ha estado por encima de ese valor desde el pasado 06 de mayo. el dinero llego el 15  de junio y de este tiempo al 12 de agosto la divisa ha presentado disminuciones sustanciales, sin alcanzar en punto de equilibrio para ingresar los recurso._x000d_
_x000d_
Esta situación fue presentada al Director General el día lunes 08 de agosto en reunión de revisión de los flujos de caja del 08 de agosto  y se evaluó el escenario y determinó que, pese a la pérdida por diferencia en cambio, no había opción de alcanzar el valor de la divisa facturado , adicional que existía una alta probabilidad de que los recursos tuvieran que ser devueltos al cliente.</v>
      </c>
      <c r="Z194" s="21">
        <f>K194*O194</f>
        <v>4198363.761000001</v>
      </c>
      <c r="AA194" s="21">
        <f>Z194-Q194</f>
        <v>-11516.209799999371</v>
      </c>
    </row>
    <row r="195" outlineLevel="1">
      <c r="B195">
        <v>164</v>
      </c>
      <c r="C195" t="str">
        <v>Flexco</v>
      </c>
      <c r="D195" t="str">
        <v>FV-4-6195</v>
      </c>
      <c r="E195" s="1">
        <v>45891</v>
      </c>
      <c r="F195" s="1">
        <v>45950</v>
      </c>
      <c r="J195" s="20">
        <f>IFERROR(IF(TODAY()&gt;=E195,(TODAY()-E195)/I195,0),0)*0</f>
        <v>0</v>
      </c>
      <c r="K195" s="5">
        <v>321.91</v>
      </c>
      <c r="L195" s="5">
        <v>321.0843102793766</v>
      </c>
      <c r="M195" s="5">
        <f>K195-L195</f>
        <v>0.8256897206234157</v>
      </c>
      <c r="N195" s="21">
        <v>3917.12</v>
      </c>
      <c r="O195" s="21">
        <v>3995.5</v>
      </c>
      <c r="P195" s="21">
        <f>O195-N195</f>
        <v>78.38000000000011</v>
      </c>
      <c r="Q195" s="21">
        <f>K195*N195</f>
        <v>1260960.0992</v>
      </c>
      <c r="R195" s="21">
        <f>L195*O195</f>
        <v>1282892.3617212493</v>
      </c>
      <c r="S195" s="21">
        <f>R195-Q195</f>
        <v>21932.262521249242</v>
      </c>
      <c r="T195" t="str">
        <f>IF(R195&lt;= Q195,"No Monetizar","Monetizar")</f>
        <v>Monetizar</v>
      </c>
      <c r="V195" s="1">
        <v>45891</v>
      </c>
      <c r="W195" t="str">
        <v>Alfonso Fonseca A</v>
      </c>
      <c r="X195" t="str">
        <v>Alfonso Fonseca A</v>
      </c>
      <c r="Y195" t="str">
        <v>Se monetiza ya que el valor ofrecido por el banco en cada divisa es superior al valor facturado</v>
      </c>
      <c r="Z195" s="21">
        <f>K195*O195</f>
        <v>1286191.405</v>
      </c>
      <c r="AA195" s="21">
        <f>Z195-Q195</f>
        <v>25231.305799999973</v>
      </c>
    </row>
    <row r="196" outlineLevel="1">
      <c r="B196">
        <v>165</v>
      </c>
      <c r="C196" t="str">
        <v>Flexco</v>
      </c>
      <c r="D196" t="str">
        <v>FV-5-4</v>
      </c>
      <c r="E196" s="1">
        <v>45891</v>
      </c>
      <c r="F196" s="1">
        <v>45950</v>
      </c>
      <c r="J196" s="20">
        <f>IFERROR(IF(TODAY()&gt;=E196,(TODAY()-E196)/I196,0),0)*0</f>
        <v>0</v>
      </c>
      <c r="K196" s="5">
        <v>3576.77</v>
      </c>
      <c r="L196" s="5">
        <v>3567.5956897206233</v>
      </c>
      <c r="M196" s="5">
        <f>K196-L196</f>
        <v>9.174310279376641</v>
      </c>
      <c r="N196" s="21">
        <v>3917.12</v>
      </c>
      <c r="O196" s="21">
        <v>3995.5</v>
      </c>
      <c r="P196" s="21">
        <f>O196-N196</f>
        <v>78.38000000000011</v>
      </c>
      <c r="Q196" s="21">
        <f>K196*N196</f>
        <v>14010637.3024</v>
      </c>
      <c r="R196" s="21">
        <f>L196*O196</f>
        <v>14254328.57827875</v>
      </c>
      <c r="S196" s="21">
        <f>R196-Q196</f>
        <v>243691.2758787498</v>
      </c>
      <c r="T196" t="str">
        <f>IF(R196&lt;= Q196,"No Monetizar","Monetizar")</f>
        <v>Monetizar</v>
      </c>
      <c r="V196" s="1">
        <v>45891</v>
      </c>
      <c r="W196" t="str">
        <v>Alfonso Fonseca A</v>
      </c>
      <c r="X196" t="str">
        <v>Alfonso Fonseca A</v>
      </c>
      <c r="Y196" t="str">
        <v>Se monetiza ya que el valor ofrecido por el banco en cada divisa es superior al valor facturado</v>
      </c>
      <c r="Z196" s="21">
        <f>K196*O196</f>
        <v>14290984.535</v>
      </c>
      <c r="AA196" s="21">
        <f>Z196-Q196</f>
        <v>280347.23259999976</v>
      </c>
    </row>
    <row r="197" outlineLevel="1">
      <c r="B197">
        <v>166</v>
      </c>
      <c r="C197" t="str">
        <v>Neo</v>
      </c>
      <c r="D197">
        <v>6198</v>
      </c>
      <c r="E197" s="1">
        <v>45894</v>
      </c>
      <c r="F197" s="1">
        <v>45954</v>
      </c>
      <c r="J197" s="20">
        <f>IFERROR(IF(TODAY()&gt;=E197,(TODAY()-E197)/I197,0),0)*0</f>
        <v>0</v>
      </c>
      <c r="K197" s="5">
        <v>1783.2</v>
      </c>
      <c r="L197" s="5">
        <v>1778.6814777274958</v>
      </c>
      <c r="M197" s="5">
        <f>K197-L197</f>
        <v>4.518522272504242</v>
      </c>
      <c r="N197" s="21">
        <v>3897.12</v>
      </c>
      <c r="O197" s="21">
        <v>3985.35</v>
      </c>
      <c r="P197" s="21">
        <f>O197-N197</f>
        <v>88.23000000000002</v>
      </c>
      <c r="Q197" s="21">
        <f>K197*N197</f>
        <v>6949344.384</v>
      </c>
      <c r="R197" s="21">
        <f>L197*O197</f>
        <v>7088668.227261275</v>
      </c>
      <c r="S197" s="21">
        <f>R197-Q197</f>
        <v>139323.84326127544</v>
      </c>
      <c r="T197" t="str">
        <f>IF(R197&lt;= Q197,"No Monetizar","Monetizar")</f>
        <v>Monetizar</v>
      </c>
      <c r="V197" s="1">
        <v>45894</v>
      </c>
      <c r="W197" t="str">
        <v>Alfonso Fonseca A</v>
      </c>
      <c r="X197" t="str">
        <v>Alfonso Fonseca A</v>
      </c>
      <c r="Y197" t="str">
        <v>Se monetiza ya que el valor ofrecido por el banco en cada divisa es superior al valor facturado</v>
      </c>
      <c r="Z197" s="21">
        <f>K197*O197</f>
        <v>7106676.12</v>
      </c>
      <c r="AA197" s="21">
        <f>Z197-Q197</f>
        <v>157331.7360000005</v>
      </c>
    </row>
    <row r="198" outlineLevel="1">
      <c r="B198">
        <v>167</v>
      </c>
      <c r="C198" t="str">
        <v>Neo</v>
      </c>
      <c r="D198" t="str">
        <v>FV-5-7</v>
      </c>
      <c r="E198" s="1">
        <v>45894</v>
      </c>
      <c r="F198" s="1">
        <v>45954</v>
      </c>
      <c r="J198" s="20">
        <f>IFERROR(IF(TODAY()&gt;=E198,(TODAY()-E198)/I198,0),0)*0</f>
        <v>0</v>
      </c>
      <c r="K198" s="5">
        <v>22289.98</v>
      </c>
      <c r="L198" s="5">
        <v>22233.498522272504</v>
      </c>
      <c r="M198" s="5">
        <f>K198-L198</f>
        <v>56.481477727495076</v>
      </c>
      <c r="N198" s="21">
        <v>3897.12</v>
      </c>
      <c r="O198" s="21">
        <v>3985.35</v>
      </c>
      <c r="P198" s="21">
        <f>O198-N198</f>
        <v>88.23000000000002</v>
      </c>
      <c r="Q198" s="21">
        <f>K198*N198</f>
        <v>86866726.85759999</v>
      </c>
      <c r="R198" s="21">
        <f>L198*O198</f>
        <v>88608273.33573872</v>
      </c>
      <c r="S198" s="21">
        <f>R198-Q198</f>
        <v>1741546.47813873</v>
      </c>
      <c r="T198" t="str">
        <f>IF(R198&lt;= Q198,"No Monetizar","Monetizar")</f>
        <v>Monetizar</v>
      </c>
      <c r="V198" s="1">
        <v>45894</v>
      </c>
      <c r="W198" t="str">
        <v>Alfonso Fonseca A</v>
      </c>
      <c r="X198" t="str">
        <v>Alfonso Fonseca A</v>
      </c>
      <c r="Y198" t="str">
        <v>Se monetiza ya que el valor ofrecido por el banco en cada divisa es superior al valor facturado</v>
      </c>
      <c r="Z198" s="21">
        <f>K198*O198</f>
        <v>88833371.793</v>
      </c>
      <c r="AA198" s="21">
        <f>Z198-Q198</f>
        <v>1966644.9354000092</v>
      </c>
    </row>
    <row r="199" outlineLevel="1">
      <c r="B199">
        <v>168</v>
      </c>
      <c r="C199" t="str">
        <v>Rivermate</v>
      </c>
      <c r="D199">
        <v>6069</v>
      </c>
      <c r="E199" s="1">
        <v>45883</v>
      </c>
      <c r="F199" s="1">
        <v>45943</v>
      </c>
      <c r="J199" s="20">
        <f>IFERROR(IF(TODAY()&gt;=E199,(TODAY()-E199)/I199,0),0)*0</f>
        <v>0</v>
      </c>
      <c r="K199" s="5">
        <v>3977.79</v>
      </c>
      <c r="L199" s="5">
        <v>3961.1492465745314</v>
      </c>
      <c r="M199" s="24">
        <f>K199-L199</f>
        <v>16.640753425468574</v>
      </c>
      <c r="N199" s="21">
        <f>4680.3</f>
        <v>4680.3</v>
      </c>
      <c r="O199" s="21">
        <v>4010</v>
      </c>
      <c r="P199" s="21">
        <f>O199-N199</f>
        <v>-670.3000000000002</v>
      </c>
      <c r="Q199" s="21">
        <f>K199*N199</f>
        <v>18617250.537</v>
      </c>
      <c r="R199" s="21">
        <v>18217509.711168222</v>
      </c>
      <c r="S199" s="21">
        <f>R199-Q199</f>
        <v>-399740.82583177835</v>
      </c>
      <c r="T199" t="str">
        <f>IF(R199&lt;= Q199,"No Monetizar","Monetizar")</f>
        <v>No Monetizar</v>
      </c>
      <c r="V199" s="1">
        <v>45894</v>
      </c>
      <c r="W199" t="str">
        <v>Alfonso Fonseca A</v>
      </c>
      <c r="X199" t="str">
        <v>Alfonso Fonseca A</v>
      </c>
      <c r="Y199" t="str">
        <v>Se monetiza dentro a pesar que dice no monetizar pero el cliente envio el pago en un solo paquete</v>
      </c>
      <c r="Z199" s="21">
        <f>K199*O199</f>
        <v>15950937.9</v>
      </c>
      <c r="AA199" s="21">
        <f>Z199-Q199</f>
        <v>-2666312.637</v>
      </c>
    </row>
    <row r="200" outlineLevel="1">
      <c r="B200">
        <v>169</v>
      </c>
      <c r="C200" t="str">
        <v>Rivermate</v>
      </c>
      <c r="D200">
        <v>6110</v>
      </c>
      <c r="E200" s="1">
        <v>45883</v>
      </c>
      <c r="F200" s="1">
        <v>45943</v>
      </c>
      <c r="J200" s="20">
        <f>IFERROR(IF(TODAY()&gt;=E200,(TODAY()-E200)/I200,0),0)*0</f>
        <v>0</v>
      </c>
      <c r="K200" s="5">
        <v>8691.28</v>
      </c>
      <c r="L200" s="5">
        <v>8654.92075342547</v>
      </c>
      <c r="M200" s="24">
        <f>K200-L200</f>
        <v>36.359246574531426</v>
      </c>
      <c r="N200" s="21">
        <f>4481.96</f>
        <v>4481.96</v>
      </c>
      <c r="O200" s="21">
        <v>4010</v>
      </c>
      <c r="P200" s="21">
        <f>O200-N200</f>
        <v>-471.96000000000004</v>
      </c>
      <c r="Q200" s="21">
        <f>K200*N200</f>
        <v>38953969.308800004</v>
      </c>
      <c r="R200" s="21">
        <v>39804383.28883178</v>
      </c>
      <c r="S200" s="21">
        <f>R200-Q200</f>
        <v>850413.9800317734</v>
      </c>
      <c r="T200" t="str">
        <f>IF(R200&lt;= Q200,"No Monetizar","Monetizar")</f>
        <v>Monetizar</v>
      </c>
      <c r="V200" s="1">
        <v>45894</v>
      </c>
      <c r="W200" t="str">
        <v>Alfonso Fonseca A</v>
      </c>
      <c r="X200" t="str">
        <v>Alfonso Fonseca A</v>
      </c>
      <c r="Y200" t="str">
        <v>Se monetiza ya que el valor ofrecido por el banco en cada divisa es superior al valor facturado</v>
      </c>
      <c r="Z200" s="21">
        <f>K200*O200</f>
        <v>34852032.800000004</v>
      </c>
      <c r="AA200" s="21">
        <f>Z200-Q200</f>
        <v>-4101936.5088</v>
      </c>
    </row>
    <row r="201" outlineLevel="1">
      <c r="B201">
        <v>170</v>
      </c>
      <c r="C201" t="str">
        <v>Remofirst</v>
      </c>
      <c r="D201">
        <v>6189</v>
      </c>
      <c r="E201" s="1">
        <v>45890</v>
      </c>
      <c r="F201" s="1">
        <v>45950</v>
      </c>
      <c r="J201" s="20">
        <f>IFERROR(IF(TODAY()&gt;=E201,(TODAY()-E201)/I201,0),0)*0</f>
        <v>0</v>
      </c>
      <c r="K201" s="5">
        <f>272075-19391.52-502.91</f>
        <v>252180.57</v>
      </c>
      <c r="L201" s="5">
        <f>272075-19391.52-502.91</f>
        <v>252180.57</v>
      </c>
      <c r="M201" s="5">
        <f>K201-L201</f>
        <v>0</v>
      </c>
      <c r="N201" s="21">
        <v>4004.74</v>
      </c>
      <c r="O201" s="21">
        <v>4012.98</v>
      </c>
      <c r="P201" s="21">
        <f>O201-N201</f>
        <v>8.240000000000236</v>
      </c>
      <c r="Q201" s="21">
        <f>K201*N201</f>
        <v>1009917615.9017999</v>
      </c>
      <c r="R201" s="21">
        <f>L201*O201</f>
        <v>1011995583.7986001</v>
      </c>
      <c r="S201" s="21">
        <f>R201-Q201</f>
        <v>2077967.8968001604</v>
      </c>
      <c r="T201" t="str">
        <f>IF(R201&lt;= Q201,"No Monetizar","Monetizar")</f>
        <v>Monetizar</v>
      </c>
      <c r="V201" s="1">
        <v>45896</v>
      </c>
      <c r="W201" t="str">
        <v>Alfonso Fonseca A</v>
      </c>
      <c r="X201" t="str">
        <v>Alfonso Fonseca A</v>
      </c>
      <c r="Y201" t="str">
        <v>Se monetiza ya que el valor ofrecido por el banco en cada divisa es superior al valor facturado</v>
      </c>
      <c r="Z201" s="21">
        <f>K201*O201</f>
        <v>1011995583.7986001</v>
      </c>
      <c r="AA201" s="21">
        <f>Z201-Q201</f>
        <v>2077967.8968001604</v>
      </c>
    </row>
    <row r="202" outlineLevel="1">
      <c r="B202">
        <v>171</v>
      </c>
      <c r="C202" t="str">
        <v>Remofirst</v>
      </c>
      <c r="D202">
        <v>6180</v>
      </c>
      <c r="E202" s="1">
        <v>45894</v>
      </c>
      <c r="F202" s="1">
        <v>45954</v>
      </c>
      <c r="J202" s="20">
        <f>IFERROR(IF(TODAY()&gt;=E202,(TODAY()-E202)/I202,0),0)*0</f>
        <v>0</v>
      </c>
      <c r="K202" s="5">
        <v>5489.93</v>
      </c>
      <c r="L202" s="5">
        <v>5489.93</v>
      </c>
      <c r="M202" s="5">
        <f>K202-L202</f>
        <v>0</v>
      </c>
      <c r="N202" s="21">
        <v>3847.71</v>
      </c>
      <c r="O202" s="21">
        <v>4012.98</v>
      </c>
      <c r="P202" s="21">
        <f>O202-N202</f>
        <v>165.26999999999998</v>
      </c>
      <c r="Q202" s="21">
        <f>K202*N202</f>
        <v>21123658.5603</v>
      </c>
      <c r="R202" s="21">
        <f>L202*O202</f>
        <v>22030979.2914</v>
      </c>
      <c r="S202" s="21">
        <f>R202-Q202</f>
        <v>907320.7311000004</v>
      </c>
      <c r="T202" t="str">
        <f>IF(R202&lt;= Q202,"No Monetizar","Monetizar")</f>
        <v>Monetizar</v>
      </c>
      <c r="V202" s="1">
        <v>45896</v>
      </c>
      <c r="W202" t="str">
        <v>Alfonso Fonseca A</v>
      </c>
      <c r="X202" t="str">
        <v>Alfonso Fonseca A</v>
      </c>
      <c r="Y202" t="str">
        <v>Se monetiza ya que el valor ofrecido por el banco en cada divisa es superior al valor facturado</v>
      </c>
      <c r="Z202" s="21">
        <f>K202*O202</f>
        <v>22030979.2914</v>
      </c>
      <c r="AA202" s="21">
        <f>Z202-Q202</f>
        <v>907320.7311000004</v>
      </c>
    </row>
    <row r="203" ht="30" customHeight="1" outlineLevel="1">
      <c r="B203">
        <v>172</v>
      </c>
      <c r="C203" t="str">
        <v>Hong kong yonyou xinfushe cloud technology co</v>
      </c>
      <c r="D203">
        <v>6202</v>
      </c>
      <c r="E203" s="1">
        <v>45894</v>
      </c>
      <c r="F203" s="1">
        <v>45954</v>
      </c>
      <c r="J203" s="20">
        <f>IFERROR(IF(TODAY()&gt;=E203,(TODAY()-E203)/I203,0),0)*0</f>
        <v>0</v>
      </c>
      <c r="K203" s="5">
        <v>749.7</v>
      </c>
      <c r="L203" s="5">
        <v>749.7</v>
      </c>
      <c r="M203" s="5">
        <f>K203-L203</f>
        <v>0</v>
      </c>
      <c r="N203" s="21">
        <v>3917.12</v>
      </c>
      <c r="O203" s="21">
        <v>4012.98</v>
      </c>
      <c r="P203" s="21">
        <f>O203-N203</f>
        <v>95.86000000000013</v>
      </c>
      <c r="Q203" s="21">
        <f>K203*N203</f>
        <v>2936664.864</v>
      </c>
      <c r="R203" s="21">
        <f>L203*O203</f>
        <v>3008531.106</v>
      </c>
      <c r="S203" s="21">
        <f>R203-Q203</f>
        <v>71866.24200000009</v>
      </c>
      <c r="T203" t="str">
        <f>IF(R203&lt;= Q203,"No Monetizar","Monetizar")</f>
        <v>Monetizar</v>
      </c>
      <c r="V203" s="1">
        <v>45896</v>
      </c>
      <c r="W203" t="str">
        <v>Alfonso Fonseca A</v>
      </c>
      <c r="X203" t="str">
        <v>Alfonso Fonseca A</v>
      </c>
      <c r="Y203" t="str">
        <v>Se monetiza ya que el valor ofrecido por el banco en cada divisa es superior al valor facturado</v>
      </c>
      <c r="Z203" s="21">
        <f>K203*O203</f>
        <v>3008531.106</v>
      </c>
      <c r="AA203" s="21">
        <f>Z203-Q203</f>
        <v>71866.24200000009</v>
      </c>
    </row>
    <row r="204" ht="30" customHeight="1" outlineLevel="1">
      <c r="B204">
        <v>173</v>
      </c>
      <c r="C204" t="str">
        <v>Hong kong yonyou xinfushe cloud technology co</v>
      </c>
      <c r="D204" t="str">
        <v>FV-5-7</v>
      </c>
      <c r="E204" s="1">
        <v>45894</v>
      </c>
      <c r="F204" s="1">
        <v>45954</v>
      </c>
      <c r="J204" s="20">
        <f>IFERROR(IF(TODAY()&gt;=E204,(TODAY()-E204)/I204,0),0)*0</f>
        <v>0</v>
      </c>
      <c r="K204" s="5">
        <v>11758.38</v>
      </c>
      <c r="L204" s="5">
        <v>11758.38</v>
      </c>
      <c r="M204" s="5">
        <f>K204-L204</f>
        <v>0</v>
      </c>
      <c r="N204" s="21">
        <v>3917.12</v>
      </c>
      <c r="O204" s="21">
        <v>4012.98</v>
      </c>
      <c r="P204" s="21">
        <f>O204-N204</f>
        <v>95.86000000000013</v>
      </c>
      <c r="Q204" s="21">
        <f>K204*N204</f>
        <v>46058985.4656</v>
      </c>
      <c r="R204" s="21">
        <f>L204*O204</f>
        <v>47186143.7724</v>
      </c>
      <c r="S204" s="21">
        <f>R204-Q204</f>
        <v>1127158.3068000004</v>
      </c>
      <c r="T204" t="str">
        <f>IF(R204&lt;= Q204,"No Monetizar","Monetizar")</f>
        <v>Monetizar</v>
      </c>
      <c r="V204" s="1">
        <v>45896</v>
      </c>
      <c r="W204" t="str">
        <v>Alfonso Fonseca A</v>
      </c>
      <c r="X204" t="str">
        <v>Alfonso Fonseca A</v>
      </c>
      <c r="Y204" t="str">
        <v>Se monetiza ya que el valor ofrecido por el banco en cada divisa es superior al valor facturado</v>
      </c>
      <c r="Z204" s="21">
        <f>K204*O204</f>
        <v>47186143.7724</v>
      </c>
      <c r="AA204" s="21">
        <f>Z204-Q204</f>
        <v>1127158.3068000004</v>
      </c>
    </row>
    <row r="205" outlineLevel="1">
      <c r="B205">
        <v>174</v>
      </c>
      <c r="C205" t="str">
        <v>Hemmebarsch GMBH &amp; Co KG</v>
      </c>
      <c r="D205">
        <v>6117</v>
      </c>
      <c r="E205" s="1">
        <v>45896</v>
      </c>
      <c r="F205" s="1">
        <v>45956</v>
      </c>
      <c r="J205" s="20">
        <f>IFERROR(IF(TODAY()&gt;=E205,(TODAY()-E205)/I205,0),0)*0</f>
        <v>0</v>
      </c>
      <c r="K205" s="5">
        <v>1884.08</v>
      </c>
      <c r="L205" s="5">
        <v>1884.08</v>
      </c>
      <c r="M205" s="5">
        <f>K205-L205</f>
        <v>0</v>
      </c>
      <c r="N205" s="21">
        <v>3853.9</v>
      </c>
      <c r="O205" s="21">
        <v>4012.98</v>
      </c>
      <c r="P205" s="21">
        <f>O205-N205</f>
        <v>159.07999999999993</v>
      </c>
      <c r="Q205" s="21">
        <f>K205*N205</f>
        <v>7261055.912</v>
      </c>
      <c r="R205" s="21">
        <f>L205*O205</f>
        <v>7560775.358399999</v>
      </c>
      <c r="S205" s="21">
        <f>R205-Q205</f>
        <v>299719.4463999998</v>
      </c>
      <c r="T205" t="str">
        <f>IF(R205&lt;= Q205,"No Monetizar","Monetizar")</f>
        <v>Monetizar</v>
      </c>
      <c r="V205" s="1">
        <v>45896</v>
      </c>
      <c r="W205" t="str">
        <v>Alfonso Fonseca A</v>
      </c>
      <c r="X205" t="str">
        <v>Alfonso Fonseca A</v>
      </c>
      <c r="Y205" t="str">
        <v>Se monetiza ya que el valor ofrecido por el banco en cada divisa es superior al valor facturado</v>
      </c>
      <c r="Z205" s="21">
        <f>K205*O205</f>
        <v>7560775.358399999</v>
      </c>
      <c r="AA205" s="21">
        <f>Z205-Q205</f>
        <v>299719.4463999998</v>
      </c>
    </row>
    <row r="206" outlineLevel="1">
      <c r="B206">
        <v>175</v>
      </c>
      <c r="C206" t="str">
        <v>Hemmebarsch GMBH &amp; Co KG</v>
      </c>
      <c r="D206">
        <v>6201</v>
      </c>
      <c r="E206" s="1">
        <v>45896</v>
      </c>
      <c r="F206" s="1">
        <v>45956</v>
      </c>
      <c r="J206" s="20">
        <f>IFERROR(IF(TODAY()&gt;=E206,(TODAY()-E206)/I206,0),0)*0</f>
        <v>0</v>
      </c>
      <c r="K206" s="5">
        <v>108.73</v>
      </c>
      <c r="L206" s="5">
        <v>108.73</v>
      </c>
      <c r="M206" s="5">
        <f>K206-L206</f>
        <v>0</v>
      </c>
      <c r="N206" s="21">
        <v>3917.12</v>
      </c>
      <c r="O206" s="21">
        <v>4012.98</v>
      </c>
      <c r="P206" s="21">
        <f>O206-N206</f>
        <v>95.86000000000013</v>
      </c>
      <c r="Q206" s="21">
        <f>K206*N206</f>
        <v>425908.4576</v>
      </c>
      <c r="R206" s="21">
        <f>L206*O206</f>
        <v>436331.3154</v>
      </c>
      <c r="S206" s="21">
        <f>R206-Q206</f>
        <v>10422.857799999998</v>
      </c>
      <c r="T206" t="str">
        <f>IF(R206&lt;= Q206,"No Monetizar","Monetizar")</f>
        <v>Monetizar</v>
      </c>
      <c r="V206" s="1">
        <v>45896</v>
      </c>
      <c r="W206" t="str">
        <v>Alfonso Fonseca A</v>
      </c>
      <c r="X206" t="str">
        <v>Alfonso Fonseca A</v>
      </c>
      <c r="Y206" t="str">
        <v>Se monetiza ya que el valor ofrecido por el banco en cada divisa es superior al valor facturado</v>
      </c>
      <c r="Z206" s="21">
        <f>K206*O206</f>
        <v>436331.3154</v>
      </c>
      <c r="AA206" s="21">
        <f>Z206-Q206</f>
        <v>10422.857799999998</v>
      </c>
    </row>
    <row r="207" outlineLevel="1">
      <c r="B207">
        <v>176</v>
      </c>
      <c r="C207" t="str">
        <v>Hemmebarsch GMBH &amp; Co KG</v>
      </c>
      <c r="D207" t="str">
        <v>FV-5-10</v>
      </c>
      <c r="E207" s="1">
        <v>45896</v>
      </c>
      <c r="F207" s="1">
        <v>45956</v>
      </c>
      <c r="J207" s="20">
        <f>IFERROR(IF(TODAY()&gt;=E207,(TODAY()-E207)/I207,0),0)*0</f>
        <v>0</v>
      </c>
      <c r="K207" s="5">
        <v>1087.3</v>
      </c>
      <c r="L207" s="5">
        <v>1087.3</v>
      </c>
      <c r="M207" s="5">
        <f>K207-L207</f>
        <v>0</v>
      </c>
      <c r="N207" s="21">
        <v>3917.12</v>
      </c>
      <c r="O207" s="21">
        <v>4012.98</v>
      </c>
      <c r="P207" s="21">
        <f>O207-N207</f>
        <v>95.86000000000013</v>
      </c>
      <c r="Q207" s="21">
        <f>K207*N207</f>
        <v>4259084.575999999</v>
      </c>
      <c r="R207" s="21">
        <f>L207*O207</f>
        <v>4363313.154</v>
      </c>
      <c r="S207" s="21">
        <f>R207-Q207</f>
        <v>104228.57800000068</v>
      </c>
      <c r="T207" t="str">
        <f>IF(R207&lt;= Q207,"No Monetizar","Monetizar")</f>
        <v>Monetizar</v>
      </c>
      <c r="V207" s="1">
        <v>45896</v>
      </c>
      <c r="W207" t="str">
        <v>Alfonso Fonseca A</v>
      </c>
      <c r="X207" t="str">
        <v>Alfonso Fonseca A</v>
      </c>
      <c r="Y207" t="str">
        <v>Se monetiza ya que el valor ofrecido por el banco en cada divisa es superior al valor facturado</v>
      </c>
      <c r="Z207" s="21">
        <f>K207*O207</f>
        <v>4363313.154</v>
      </c>
      <c r="AA207" s="21">
        <f>Z207-Q207</f>
        <v>104228.57800000068</v>
      </c>
    </row>
    <row r="208" outlineLevel="1">
      <c r="B208">
        <v>177</v>
      </c>
      <c r="C208" t="str">
        <v>Bubble BPM</v>
      </c>
      <c r="D208">
        <v>6204</v>
      </c>
      <c r="E208" s="1">
        <v>45896</v>
      </c>
      <c r="F208" s="1">
        <v>45956</v>
      </c>
      <c r="J208" s="20">
        <f>IFERROR(IF(TODAY()&gt;=E208,(TODAY()-E208)/I208,0),0)*0</f>
        <v>0</v>
      </c>
      <c r="K208" s="5">
        <v>113.26</v>
      </c>
      <c r="L208" s="5">
        <v>110.2873486028241</v>
      </c>
      <c r="M208" s="5">
        <f>K208-L208</f>
        <v>2.972651397175909</v>
      </c>
      <c r="N208" s="21">
        <v>3917.12</v>
      </c>
      <c r="O208" s="21">
        <v>3989.05</v>
      </c>
      <c r="P208" s="21">
        <f>O208-N208</f>
        <v>71.93000000000029</v>
      </c>
      <c r="Q208" s="21">
        <f>K208*N208</f>
        <v>443653.0112</v>
      </c>
      <c r="R208" s="21">
        <f>L208*O208</f>
        <v>439941.74794409546</v>
      </c>
      <c r="S208" s="21">
        <f>R208-Q208</f>
        <v>-3711.263255904545</v>
      </c>
      <c r="T208" t="str">
        <f>IF(R208&lt;= Q208,"No Monetizar","Monetizar")</f>
        <v>No Monetizar</v>
      </c>
      <c r="V208" s="1">
        <v>45897</v>
      </c>
      <c r="W208" t="str">
        <v>Alfonso Fonseca A</v>
      </c>
      <c r="X208" t="str">
        <v>Alfonso Fonseca A</v>
      </c>
      <c r="Y208" t="str">
        <v>Se monetiza ya que el valor ofrecido por el banco en cada divisa es superior al valor facturado</v>
      </c>
      <c r="Z208" s="21">
        <f>K208*O208</f>
        <v>451799.803</v>
      </c>
      <c r="AA208" s="21">
        <f>Z208-Q208</f>
        <v>8146.791800000006</v>
      </c>
    </row>
    <row r="209" outlineLevel="1">
      <c r="B209">
        <v>178</v>
      </c>
      <c r="C209" t="str">
        <v>Bubble BPM</v>
      </c>
      <c r="D209" t="str">
        <v>FV-5-13</v>
      </c>
      <c r="E209" s="1">
        <v>45896</v>
      </c>
      <c r="F209" s="1">
        <v>45956</v>
      </c>
      <c r="J209" s="20">
        <f>IFERROR(IF(TODAY()&gt;=E209,(TODAY()-E209)/I209,0),0)*0</f>
        <v>0</v>
      </c>
      <c r="K209" s="5">
        <v>1029.76</v>
      </c>
      <c r="L209" s="5">
        <v>1002.7326513971759</v>
      </c>
      <c r="M209" s="5">
        <f>K209-L209</f>
        <v>27.027348602824077</v>
      </c>
      <c r="N209" s="21">
        <v>3917.12</v>
      </c>
      <c r="O209" s="21">
        <v>3989.05</v>
      </c>
      <c r="P209" s="21">
        <f>O209-N209</f>
        <v>71.93000000000029</v>
      </c>
      <c r="Q209" s="21">
        <f>K209*N209</f>
        <v>4033693.4912</v>
      </c>
      <c r="R209" s="21">
        <f>L209*O209</f>
        <v>3999950.6830559047</v>
      </c>
      <c r="S209" s="21">
        <f>R209-Q209</f>
        <v>-33742.808144095354</v>
      </c>
      <c r="T209" t="str">
        <f>IF(R209&lt;= Q209,"No Monetizar","Monetizar")</f>
        <v>No Monetizar</v>
      </c>
      <c r="V209" s="1">
        <v>45897</v>
      </c>
      <c r="W209" t="str">
        <v>Alfonso Fonseca A</v>
      </c>
      <c r="X209" t="str">
        <v>Alfonso Fonseca A</v>
      </c>
      <c r="Y209" t="str">
        <v>Se monetiza ya que el valor ofrecido por el banco en cada divisa es superior al valor facturado</v>
      </c>
      <c r="Z209" s="21">
        <f>K209*O209</f>
        <v>4107764.128</v>
      </c>
      <c r="AA209" s="21">
        <f>Z209-Q209</f>
        <v>74070.63679999998</v>
      </c>
    </row>
    <row r="210" outlineLevel="1">
      <c r="B210">
        <v>179</v>
      </c>
      <c r="C210" t="str">
        <v>Endrington</v>
      </c>
      <c r="D210">
        <v>6203</v>
      </c>
      <c r="E210" s="1">
        <v>45897</v>
      </c>
      <c r="F210" s="1">
        <v>45957</v>
      </c>
      <c r="J210" s="20">
        <f>IFERROR(IF(TODAY()&gt;=E210,(TODAY()-E210)/I210,0),0)*0</f>
        <v>0</v>
      </c>
      <c r="K210" s="5">
        <v>704.56</v>
      </c>
      <c r="L210" s="5">
        <v>704.56</v>
      </c>
      <c r="M210" s="5">
        <f>K210-L210</f>
        <v>0</v>
      </c>
      <c r="N210" s="21">
        <v>3917.12</v>
      </c>
      <c r="O210" s="21">
        <v>4006.5</v>
      </c>
      <c r="P210" s="21">
        <f>O210-N210</f>
        <v>89.38000000000011</v>
      </c>
      <c r="Q210" s="21">
        <f>K210*N210</f>
        <v>2759846.0672</v>
      </c>
      <c r="R210" s="21">
        <f>L210*O210</f>
        <v>2822819.6399999997</v>
      </c>
      <c r="S210" s="21">
        <f>R210-Q210</f>
        <v>62973.57279999973</v>
      </c>
      <c r="T210" t="str">
        <f>IF(R210&lt;= Q210,"No Monetizar","Monetizar")</f>
        <v>Monetizar</v>
      </c>
      <c r="V210" s="1">
        <v>45897</v>
      </c>
      <c r="W210" t="str">
        <v>Alfonso Fonseca A</v>
      </c>
      <c r="X210" t="str">
        <v>Alfonso Fonseca A</v>
      </c>
      <c r="Y210" t="str">
        <v>Se monetiza ya que el valor ofrecido por el banco en cada divisa es superior al valor facturado</v>
      </c>
      <c r="Z210" s="21">
        <f>K210*O210</f>
        <v>2822819.6399999997</v>
      </c>
      <c r="AA210" s="21">
        <f>Z210-Q210</f>
        <v>62973.57279999973</v>
      </c>
    </row>
    <row r="211" outlineLevel="1">
      <c r="B211">
        <v>180</v>
      </c>
      <c r="C211" t="str">
        <v>Endrington</v>
      </c>
      <c r="D211" t="str">
        <v>FV-5-12</v>
      </c>
      <c r="E211" s="1">
        <v>45897</v>
      </c>
      <c r="F211" s="1">
        <v>45957</v>
      </c>
      <c r="J211" s="20">
        <f>IFERROR(IF(TODAY()&gt;=E211,(TODAY()-E211)/I211,0),0)*0</f>
        <v>0</v>
      </c>
      <c r="K211" s="5">
        <v>12810.27</v>
      </c>
      <c r="L211" s="5">
        <v>12810.27</v>
      </c>
      <c r="M211" s="5">
        <f>K211-L211</f>
        <v>0</v>
      </c>
      <c r="N211" s="21">
        <v>3917.12</v>
      </c>
      <c r="O211" s="21">
        <v>4006.5</v>
      </c>
      <c r="P211" s="21">
        <f>O211-N211</f>
        <v>89.38000000000011</v>
      </c>
      <c r="Q211" s="21">
        <f>K211*N211</f>
        <v>50179364.8224</v>
      </c>
      <c r="R211" s="21">
        <f>L211*O211</f>
        <v>51324346.755</v>
      </c>
      <c r="S211" s="21">
        <f>R211-Q211</f>
        <v>1144981.932599999</v>
      </c>
      <c r="T211" t="str">
        <f>IF(R211&lt;= Q211,"No Monetizar","Monetizar")</f>
        <v>Monetizar</v>
      </c>
      <c r="V211" s="1">
        <v>45897</v>
      </c>
      <c r="W211" t="str">
        <v>Alfonso Fonseca A</v>
      </c>
      <c r="X211" t="str">
        <v>Alfonso Fonseca A</v>
      </c>
      <c r="Y211" t="str">
        <v>Se monetiza ya que el valor ofrecido por el banco en cada divisa es superior al valor facturado</v>
      </c>
      <c r="Z211" s="21">
        <f>K211*O211</f>
        <v>51324346.755</v>
      </c>
      <c r="AA211" s="21">
        <f>Z211-Q211</f>
        <v>1144981.932599999</v>
      </c>
    </row>
    <row r="212" outlineLevel="1">
      <c r="B212">
        <v>181</v>
      </c>
      <c r="C212" t="str">
        <v>Endrington</v>
      </c>
      <c r="D212">
        <v>6211</v>
      </c>
      <c r="E212" s="1">
        <v>45897</v>
      </c>
      <c r="F212" s="1">
        <v>45957</v>
      </c>
      <c r="J212" s="20">
        <f>IFERROR(IF(TODAY()&gt;=E212,(TODAY()-E212)/I212,0),0)*0</f>
        <v>0</v>
      </c>
      <c r="K212" s="5">
        <v>884.77</v>
      </c>
      <c r="L212" s="5">
        <v>884.77</v>
      </c>
      <c r="M212" s="5">
        <f>K212-L212</f>
        <v>0</v>
      </c>
      <c r="N212" s="21">
        <v>3917.12</v>
      </c>
      <c r="O212" s="21">
        <v>4006.5</v>
      </c>
      <c r="P212" s="21">
        <f>O212-N212</f>
        <v>89.38000000000011</v>
      </c>
      <c r="Q212" s="21">
        <f>K212*N212</f>
        <v>3465750.2624</v>
      </c>
      <c r="R212" s="21">
        <f>L212*O212</f>
        <v>3544831.005</v>
      </c>
      <c r="S212" s="21">
        <f>R212-Q212</f>
        <v>79080.7426</v>
      </c>
      <c r="T212" t="str">
        <f>IF(R212&lt;= Q212,"No Monetizar","Monetizar")</f>
        <v>Monetizar</v>
      </c>
      <c r="V212" s="1">
        <v>45897</v>
      </c>
      <c r="W212" t="str">
        <v>Alfonso Fonseca A</v>
      </c>
      <c r="X212" t="str">
        <v>Alfonso Fonseca A</v>
      </c>
      <c r="Y212" t="str">
        <v>Se monetiza ya que el valor ofrecido por el banco en cada divisa es superior al valor facturado</v>
      </c>
      <c r="Z212" s="21">
        <f>K212*O212</f>
        <v>3544831.005</v>
      </c>
      <c r="AA212" s="21">
        <f>Z212-Q212</f>
        <v>79080.7426</v>
      </c>
    </row>
    <row r="213" outlineLevel="1">
      <c r="B213">
        <v>182</v>
      </c>
      <c r="C213" t="str">
        <v>Endrington</v>
      </c>
      <c r="D213" t="str">
        <v>FV-5-19</v>
      </c>
      <c r="E213" s="1">
        <v>45897</v>
      </c>
      <c r="F213" s="1">
        <v>45957</v>
      </c>
      <c r="J213" s="20">
        <f>IFERROR(IF(TODAY()&gt;=E213,(TODAY()-E213)/I213,0),0)*0</f>
        <v>0</v>
      </c>
      <c r="K213" s="5">
        <v>16086.77</v>
      </c>
      <c r="L213" s="5">
        <v>16086.77</v>
      </c>
      <c r="M213" s="5">
        <f>K213-L213</f>
        <v>0</v>
      </c>
      <c r="N213" s="21">
        <v>3917.12</v>
      </c>
      <c r="O213" s="21">
        <v>4006.5</v>
      </c>
      <c r="P213" s="21">
        <f>O213-N213</f>
        <v>89.38000000000011</v>
      </c>
      <c r="Q213" s="21">
        <f>K213*N213</f>
        <v>63013808.5024</v>
      </c>
      <c r="R213" s="21">
        <f>L213*O213</f>
        <v>64451644.005</v>
      </c>
      <c r="S213" s="21">
        <f>R213-Q213</f>
        <v>1437835.5025999993</v>
      </c>
      <c r="T213" t="str">
        <f>IF(R213&lt;= Q213,"No Monetizar","Monetizar")</f>
        <v>Monetizar</v>
      </c>
      <c r="V213" s="1">
        <v>45897</v>
      </c>
      <c r="W213" t="str">
        <v>Alfonso Fonseca A</v>
      </c>
      <c r="X213" t="str">
        <v>Alfonso Fonseca A</v>
      </c>
      <c r="Y213" t="str">
        <v>Se monetiza ya que el valor ofrecido por el banco en cada divisa es superior al valor facturado</v>
      </c>
      <c r="Z213" s="21">
        <f>K213*O213</f>
        <v>64451644.005</v>
      </c>
      <c r="AA213" s="21">
        <f>Z213-Q213</f>
        <v>1437835.5025999993</v>
      </c>
    </row>
    <row r="214" outlineLevel="1">
      <c r="B214">
        <v>183</v>
      </c>
      <c r="C214" t="str">
        <v>Insider</v>
      </c>
      <c r="D214">
        <v>6241</v>
      </c>
      <c r="E214" s="1">
        <v>45897</v>
      </c>
      <c r="F214" s="1">
        <v>45957</v>
      </c>
      <c r="J214" s="20">
        <f>IFERROR(IF(TODAY()&gt;=E214,(TODAY()-E214)/I214,0),0)*0</f>
        <v>0</v>
      </c>
      <c r="K214" s="5">
        <v>5200.3</v>
      </c>
      <c r="L214" s="5">
        <v>5199.692668388742</v>
      </c>
      <c r="M214" s="5">
        <f>K214-L214</f>
        <v>0.607331611257905</v>
      </c>
      <c r="N214" s="21">
        <v>4007.44</v>
      </c>
      <c r="O214" s="21">
        <v>4010.1</v>
      </c>
      <c r="P214" s="21">
        <f>O214-N214</f>
        <v>2.6599999999998545</v>
      </c>
      <c r="Q214" s="21">
        <f>K214*N214</f>
        <v>20839890.232</v>
      </c>
      <c r="R214" s="21">
        <f>L214*O214</f>
        <v>20851287.569505695</v>
      </c>
      <c r="S214" s="21">
        <f>R214-Q214</f>
        <v>11397.337505694479</v>
      </c>
      <c r="T214" t="str">
        <f>IF(R214&lt;= Q214,"No Monetizar","Monetizar")</f>
        <v>Monetizar</v>
      </c>
      <c r="V214" s="1">
        <v>45897</v>
      </c>
      <c r="W214" t="str">
        <v>Alfonso Fonseca A</v>
      </c>
      <c r="X214" t="str">
        <v>Alfonso Fonseca A</v>
      </c>
      <c r="Y214" t="str">
        <v>Se monetiza ya que el valor ofrecido por el banco en cada divisa es superior al valor facturado</v>
      </c>
      <c r="Z214" s="21">
        <f>K214*O214</f>
        <v>20853723.03</v>
      </c>
      <c r="AA214" s="21">
        <f>Z214-Q214</f>
        <v>13832.798000000417</v>
      </c>
    </row>
    <row r="215" outlineLevel="1">
      <c r="B215">
        <v>184</v>
      </c>
      <c r="C215" t="str">
        <v>Insider</v>
      </c>
      <c r="D215" t="str">
        <v>FV-5-28</v>
      </c>
      <c r="E215" s="1">
        <v>45897</v>
      </c>
      <c r="F215" s="1">
        <v>45957</v>
      </c>
      <c r="J215" s="20">
        <f>IFERROR(IF(TODAY()&gt;=E215,(TODAY()-E215)/I215,0),0)*0</f>
        <v>0</v>
      </c>
      <c r="K215" s="5">
        <v>123237.77</v>
      </c>
      <c r="L215" s="5">
        <v>123223.37733161126</v>
      </c>
      <c r="M215" s="5">
        <f>K215-L215</f>
        <v>14.392668388740276</v>
      </c>
      <c r="N215" s="21">
        <v>4007.44</v>
      </c>
      <c r="O215" s="21">
        <v>4010.1</v>
      </c>
      <c r="P215" s="21">
        <f>O215-N215</f>
        <v>2.6599999999998545</v>
      </c>
      <c r="Q215" s="21">
        <f>K215*N215</f>
        <v>493867969.0088</v>
      </c>
      <c r="R215" s="21">
        <f>L215*O215</f>
        <v>494138065.43749434</v>
      </c>
      <c r="S215" s="21">
        <f>R215-Q215</f>
        <v>270096.4286943078</v>
      </c>
      <c r="T215" t="str">
        <f>IF(R215&lt;= Q215,"No Monetizar","Monetizar")</f>
        <v>Monetizar</v>
      </c>
      <c r="V215" s="1">
        <v>45897</v>
      </c>
      <c r="W215" t="str">
        <v>Alfonso Fonseca A</v>
      </c>
      <c r="X215" t="str">
        <v>Alfonso Fonseca A</v>
      </c>
      <c r="Y215" t="str">
        <v>Se monetiza ya que el valor ofrecido por el banco en cada divisa es superior al valor facturado</v>
      </c>
      <c r="Z215" s="21">
        <f>K215*O215</f>
        <v>494195781.477</v>
      </c>
      <c r="AA215" s="21">
        <f>Z215-Q215</f>
        <v>327812.46819996834</v>
      </c>
    </row>
    <row r="216" outlineLevel="1">
      <c r="B216">
        <v>185</v>
      </c>
      <c r="C216" t="str">
        <v>Nazdar ink technologies</v>
      </c>
      <c r="D216">
        <v>6196</v>
      </c>
      <c r="E216" s="1">
        <v>45897</v>
      </c>
      <c r="F216" s="1">
        <v>45957</v>
      </c>
      <c r="J216" s="20">
        <f>IFERROR(IF(TODAY()&gt;=E216,(TODAY()-E216)/I216,0),0)*0</f>
        <v>0</v>
      </c>
      <c r="K216" s="5">
        <v>910.11</v>
      </c>
      <c r="L216" s="5">
        <v>909.260943924292</v>
      </c>
      <c r="M216" s="5">
        <f>K216-L216</f>
        <v>0.849056075708063</v>
      </c>
      <c r="N216" s="21">
        <v>3917.12</v>
      </c>
      <c r="O216" s="21">
        <v>3998.01</v>
      </c>
      <c r="P216" s="21">
        <f>O216-N216</f>
        <v>80.89000000000033</v>
      </c>
      <c r="Q216" s="21">
        <f>K216*N216</f>
        <v>3565010.0831999998</v>
      </c>
      <c r="R216" s="21">
        <f>L216*O216</f>
        <v>3635234.346418759</v>
      </c>
      <c r="S216" s="21">
        <f>R216-Q216</f>
        <v>70224.2632187591</v>
      </c>
      <c r="T216" t="str">
        <f>IF(R216&lt;= Q216,"No Monetizar","Monetizar")</f>
        <v>Monetizar</v>
      </c>
      <c r="V216" s="1">
        <v>45897</v>
      </c>
      <c r="W216" t="str">
        <v>Alfonso Fonseca A</v>
      </c>
      <c r="X216" t="str">
        <v>Alfonso Fonseca A</v>
      </c>
      <c r="Y216" t="str">
        <v>Se monetiza ya que el valor ofrecido por el banco en cada divisa es superior al valor facturado</v>
      </c>
      <c r="Z216" s="21">
        <f>K216*O216</f>
        <v>3638628.8811000003</v>
      </c>
      <c r="AA216" s="21">
        <f>Z216-Q216</f>
        <v>73618.79790000059</v>
      </c>
    </row>
    <row r="217" outlineLevel="1">
      <c r="B217">
        <v>186</v>
      </c>
      <c r="C217" t="str">
        <v>Nazdar ink technologies</v>
      </c>
      <c r="D217" t="str">
        <v>FV-5-5</v>
      </c>
      <c r="E217" s="1">
        <v>45897</v>
      </c>
      <c r="F217" s="1">
        <v>45957</v>
      </c>
      <c r="J217" s="20">
        <f>IFERROR(IF(TODAY()&gt;=E217,(TODAY()-E217)/I217,0),0)*0</f>
        <v>0</v>
      </c>
      <c r="K217" s="5">
        <v>15168.51</v>
      </c>
      <c r="L217" s="5">
        <v>15154.35905607571</v>
      </c>
      <c r="M217" s="5">
        <f>K217-L217</f>
        <v>14.150943924290914</v>
      </c>
      <c r="N217" s="21">
        <v>3917.12</v>
      </c>
      <c r="O217" s="21">
        <v>3998.01</v>
      </c>
      <c r="P217" s="21">
        <f>O217-N217</f>
        <v>80.89000000000033</v>
      </c>
      <c r="Q217" s="21">
        <f>K217*N217</f>
        <v>59416873.8912</v>
      </c>
      <c r="R217" s="21">
        <f>L217*O217</f>
        <v>60587279.04978125</v>
      </c>
      <c r="S217" s="21">
        <f>R217-Q217</f>
        <v>1170405.1585812494</v>
      </c>
      <c r="T217" t="str">
        <f>IF(R217&lt;= Q217,"No Monetizar","Monetizar")</f>
        <v>Monetizar</v>
      </c>
      <c r="V217" s="1">
        <v>45897</v>
      </c>
      <c r="W217" t="str">
        <v>Alfonso Fonseca A</v>
      </c>
      <c r="X217" t="str">
        <v>Alfonso Fonseca A</v>
      </c>
      <c r="Y217" t="str">
        <v>Se monetiza ya que el valor ofrecido por el banco en cada divisa es superior al valor facturado</v>
      </c>
      <c r="Z217" s="21">
        <f>K217*O217</f>
        <v>60643854.6651</v>
      </c>
      <c r="AA217" s="21">
        <f>Z217-Q217</f>
        <v>1226980.7739000022</v>
      </c>
    </row>
    <row r="218" outlineLevel="1" xml:space="preserve">
      <c r="B218">
        <v>187</v>
      </c>
      <c r="C218" t="str">
        <v>Safeguard Payroll LLC</v>
      </c>
      <c r="D218" t="str">
        <v>5817-2827</v>
      </c>
      <c r="E218" s="1">
        <v>45848</v>
      </c>
      <c r="F218" s="1">
        <v>45908</v>
      </c>
      <c r="J218" s="20">
        <f>IFERROR(IF(TODAY()&gt;=E218,(TODAY()-E218)/I218,0),0)*0</f>
        <v>0</v>
      </c>
      <c r="K218" s="5">
        <v>11864.11</v>
      </c>
      <c r="L218" s="5">
        <v>11864</v>
      </c>
      <c r="M218" s="5">
        <f>K218-L218</f>
        <v>0.11000000000058208</v>
      </c>
      <c r="N218" s="21">
        <v>4152.59</v>
      </c>
      <c r="O218" s="21">
        <v>3945.04</v>
      </c>
      <c r="P218" s="21">
        <f>O218-N218</f>
        <v>-207.55000000000018</v>
      </c>
      <c r="Q218" s="21">
        <f>K218*N218</f>
        <v>49266784.54490001</v>
      </c>
      <c r="R218" s="21">
        <f>O218*L218</f>
        <v>46803954.56</v>
      </c>
      <c r="S218" s="21">
        <f>R218-Q218</f>
        <v>-2462829.984900005</v>
      </c>
      <c r="T218" t="str">
        <f>IF(R218&lt;= Q218,"No Monetizar","Monetizar")</f>
        <v>No Monetizar</v>
      </c>
      <c r="V218" s="1">
        <v>45905</v>
      </c>
      <c r="W218" t="str">
        <v>Alfonso Fonseca A</v>
      </c>
      <c r="X218" t="str">
        <v>Alfonso Fonseca A</v>
      </c>
      <c r="Y218"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$ 4,188.31  y la trm no ha estado por encima de ese valor desde el pasado 27 de enero. el dinero llego el 09 de agosto y de  ese tiempo la divisano ha llegado al valor facturado_x000d_
_x000d_
</v>
      </c>
      <c r="Z218" s="21">
        <f>K218*O218</f>
        <v>46804388.514400005</v>
      </c>
      <c r="AA218" s="21">
        <f>Z218-Q218</f>
        <v>-2462396.030500002</v>
      </c>
    </row>
    <row r="219" outlineLevel="1" xml:space="preserve">
      <c r="B219">
        <v>188</v>
      </c>
      <c r="C219" t="str">
        <v>Safeguard Payroll LLC</v>
      </c>
      <c r="D219" t="str">
        <v>5906-5916 y 5922</v>
      </c>
      <c r="E219" s="1">
        <v>45848</v>
      </c>
      <c r="F219" s="1">
        <v>45908</v>
      </c>
      <c r="J219" s="20">
        <f>IFERROR(IF(TODAY()&gt;=E219,(TODAY()-E219)/I219,0),0)*0</f>
        <v>0</v>
      </c>
      <c r="K219" s="5">
        <v>12175.220000000001</v>
      </c>
      <c r="L219" s="5">
        <v>12160.33</v>
      </c>
      <c r="M219" s="5">
        <f>K219-L219</f>
        <v>14.890000000001237</v>
      </c>
      <c r="N219" s="21">
        <v>4198.83</v>
      </c>
      <c r="O219" s="21">
        <v>3945.04</v>
      </c>
      <c r="P219" s="21">
        <f>O219-N219</f>
        <v>-253.78999999999996</v>
      </c>
      <c r="Q219" s="21">
        <f>K219*N219</f>
        <v>51121678.9926</v>
      </c>
      <c r="R219" s="21">
        <f>O219*L219</f>
        <v>47972988.2632</v>
      </c>
      <c r="S219" s="21">
        <f>R219-Q219</f>
        <v>-3148690.7294000015</v>
      </c>
      <c r="T219" t="str">
        <f>IF(R219&lt;= Q219,"No Monetizar","Monetizar")</f>
        <v>No Monetizar</v>
      </c>
      <c r="V219" s="1">
        <v>45905</v>
      </c>
      <c r="W219" t="str">
        <v>Alfonso Fonseca A</v>
      </c>
      <c r="X219" t="str">
        <v>Alfonso Fonseca A</v>
      </c>
      <c r="Y219"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$ 4,198.83  y la trm no ha estado por encima de ese valor desde el pasado 27 de enero. el dinero llego el 09 de agosto y de  ese tiempo la divisano ha llegado al valor facturado_x000d_
_x000d_
</v>
      </c>
      <c r="Z219" s="21">
        <f>K219*O219</f>
        <v>48031729.908800006</v>
      </c>
      <c r="AA219" s="21">
        <f>Z219-Q219</f>
        <v>-3089949.0837999955</v>
      </c>
    </row>
    <row r="220" outlineLevel="1" xml:space="preserve">
      <c r="B220">
        <v>189</v>
      </c>
      <c r="C220" t="str">
        <v>Safeguard Payroll LTD</v>
      </c>
      <c r="D220" t="str">
        <v>5917-5921</v>
      </c>
      <c r="E220" s="1">
        <v>45848</v>
      </c>
      <c r="F220" s="1">
        <v>45908</v>
      </c>
      <c r="J220" s="20">
        <f>IFERROR(IF(TODAY()&gt;=E220,(TODAY()-E220)/I220,0),0)*0</f>
        <v>0</v>
      </c>
      <c r="K220" s="5">
        <v>10410.66</v>
      </c>
      <c r="L220" s="5">
        <v>10410.66</v>
      </c>
      <c r="M220" s="5">
        <f>K220-L220</f>
        <v>0</v>
      </c>
      <c r="N220" s="21">
        <v>4198.83</v>
      </c>
      <c r="O220" s="21">
        <v>3945.04</v>
      </c>
      <c r="P220" s="21">
        <f>O220-N220</f>
        <v>-253.78999999999996</v>
      </c>
      <c r="Q220" s="21">
        <f>K220*N220</f>
        <v>43712591.5278</v>
      </c>
      <c r="R220" s="21">
        <f>L220*O220</f>
        <v>41070470.1264</v>
      </c>
      <c r="S220" s="21">
        <f>R220-Q220</f>
        <v>-2642121.4014</v>
      </c>
      <c r="T220" t="str">
        <f>IF(R220&lt;= Q220,"No Monetizar","Monetizar")</f>
        <v>No Monetizar</v>
      </c>
      <c r="V220" s="1">
        <v>45905</v>
      </c>
      <c r="W220" t="str">
        <v>Alfonso Fonseca A</v>
      </c>
      <c r="X220" t="str">
        <v>Alfonso Fonseca A</v>
      </c>
      <c r="Y220"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$ 4,198.83  y la trm no ha estado por encima de ese valor desde el pasado 27 de enero. el dinero llego el 09 de agosto y de  ese tiempo la divisano ha llegado al valor facturado_x000d_
_x000d_
</v>
      </c>
      <c r="Z220" s="21">
        <f>K220*O220</f>
        <v>41070470.1264</v>
      </c>
      <c r="AA220" s="21">
        <f>Z220-Q220</f>
        <v>-2642121.4014</v>
      </c>
    </row>
    <row r="221" outlineLevel="1" xml:space="preserve">
      <c r="B221">
        <v>190</v>
      </c>
      <c r="C221" t="str">
        <v>Global Project</v>
      </c>
      <c r="D221">
        <v>5904</v>
      </c>
      <c r="E221" s="1">
        <v>45848</v>
      </c>
      <c r="F221" s="1">
        <v>45908</v>
      </c>
      <c r="J221" s="20">
        <f>IFERROR(IF(TODAY()&gt;=E221,(TODAY()-E221)/I221,0),0)*0</f>
        <v>0</v>
      </c>
      <c r="K221" s="5">
        <v>650</v>
      </c>
      <c r="L221" s="5">
        <v>646.4385513122569</v>
      </c>
      <c r="M221" s="5">
        <f>K221-L221</f>
        <v>3.561448687743109</v>
      </c>
      <c r="N221" s="21">
        <v>4227.32</v>
      </c>
      <c r="O221" s="21">
        <v>3945.04</v>
      </c>
      <c r="P221" s="21">
        <f>O221-N221</f>
        <v>-282.27999999999975</v>
      </c>
      <c r="Q221" s="21">
        <f>K221*N221</f>
        <v>2747758</v>
      </c>
      <c r="R221" s="21">
        <f>L221*O221</f>
        <v>2550225.942468906</v>
      </c>
      <c r="S221" s="21">
        <f>R221-Q221</f>
        <v>-197532.05753109418</v>
      </c>
      <c r="T221" t="str">
        <f>IF(R221&lt;= Q221,"No Monetizar","Monetizar")</f>
        <v>No Monetizar</v>
      </c>
      <c r="V221" s="1">
        <v>45905</v>
      </c>
      <c r="W221" t="str">
        <v>Alfonso Fonseca A</v>
      </c>
      <c r="X221" t="str">
        <v>Alfonso Fonseca A</v>
      </c>
      <c r="Y221"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$ 4,227,32 y la trm no ha estado por encima de ese valor desde el pasado 27 de enero. el dinero llego el 09 de agosto y de  ese tiempo la divisa no ha llegado a esos valores facturados_x000d_
_x000d_
</v>
      </c>
      <c r="Z221" s="21">
        <f>K221*O221</f>
        <v>2564276</v>
      </c>
      <c r="AA221" s="21">
        <f>Z221-Q221</f>
        <v>-183482</v>
      </c>
    </row>
    <row r="222" outlineLevel="1" xml:space="preserve">
      <c r="B222">
        <v>191</v>
      </c>
      <c r="C222" t="str">
        <v>Global Project</v>
      </c>
      <c r="D222">
        <v>5970</v>
      </c>
      <c r="E222" s="1">
        <v>45848</v>
      </c>
      <c r="F222" s="1">
        <v>45908</v>
      </c>
      <c r="J222" s="20">
        <f>IFERROR(IF(TODAY()&gt;=E222,(TODAY()-E222)/I222,0),0)*0</f>
        <v>0</v>
      </c>
      <c r="K222" s="5">
        <v>262.55</v>
      </c>
      <c r="L222" s="5">
        <v>261.1114486877431</v>
      </c>
      <c r="M222" s="5">
        <f>K222-L222</f>
        <v>1.438551312256891</v>
      </c>
      <c r="N222" s="21">
        <v>4176.54</v>
      </c>
      <c r="O222" s="21">
        <v>3945.04</v>
      </c>
      <c r="P222" s="21">
        <f>O222-N222</f>
        <v>-231.5</v>
      </c>
      <c r="Q222" s="21">
        <f>K222*N222</f>
        <v>1096550.577</v>
      </c>
      <c r="R222" s="21">
        <f>L222*O222</f>
        <v>1030095.1095310941</v>
      </c>
      <c r="S222" s="21">
        <f>R222-Q222</f>
        <v>-66455.46746890596</v>
      </c>
      <c r="T222" t="str">
        <f>IF(R222&lt;= Q222,"No Monetizar","Monetizar")</f>
        <v>No Monetizar</v>
      </c>
      <c r="V222" s="1">
        <v>45905</v>
      </c>
      <c r="W222" t="str">
        <v>Alfonso Fonseca A</v>
      </c>
      <c r="X222" t="str">
        <v>Alfonso Fonseca A</v>
      </c>
      <c r="Y222"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$ 4,227,32 y la trm no ha estado por encima de ese valor desde el pasado 27 de enero. el dinero llego el 09 de agosto y de  ese tiempo la divisa no ha llegado a esos valores facturados_x000d_
_x000d_
</v>
      </c>
      <c r="Z222" s="21">
        <f>K222*O222</f>
        <v>1035770.252</v>
      </c>
      <c r="AA222" s="21">
        <f>Z222-Q222</f>
        <v>-60780.32500000007</v>
      </c>
    </row>
    <row r="223" outlineLevel="1" xml:space="preserve">
      <c r="B223">
        <v>192</v>
      </c>
      <c r="C223" t="str">
        <v>Insider</v>
      </c>
      <c r="D223" t="str">
        <v>FV-5-20</v>
      </c>
      <c r="E223" s="1">
        <v>45891</v>
      </c>
      <c r="F223" s="1">
        <v>45950</v>
      </c>
      <c r="J223" s="20">
        <f>IFERROR(IF(TODAY()&gt;=E223,(TODAY()-E223)/I223,0),0)*0</f>
        <v>0</v>
      </c>
      <c r="K223" s="5">
        <v>1052.67</v>
      </c>
      <c r="L223" s="5">
        <v>1042.67</v>
      </c>
      <c r="M223" s="5">
        <f>K223-L223</f>
        <v>10</v>
      </c>
      <c r="N223" s="21">
        <v>3999.24</v>
      </c>
      <c r="O223" s="21">
        <v>3945.04</v>
      </c>
      <c r="P223" s="21">
        <f>O223-N223</f>
        <v>-54.19999999999982</v>
      </c>
      <c r="Q223" s="21">
        <f>K223*N223</f>
        <v>4209879.9708</v>
      </c>
      <c r="R223" s="21">
        <f>L223*O223</f>
        <v>4113374.8568</v>
      </c>
      <c r="S223" s="21">
        <f>R223-Q223</f>
        <v>-96505.11400000006</v>
      </c>
      <c r="T223" t="str">
        <f>IF(R223&lt;= Q223,"No Monetizar","Monetizar")</f>
        <v>No Monetizar</v>
      </c>
      <c r="V223" s="1">
        <v>45905</v>
      </c>
      <c r="W223" t="str">
        <v>Alfonso Fonseca A</v>
      </c>
      <c r="X223" t="str">
        <v>Alfonso Fonseca A</v>
      </c>
      <c r="Y223" t="str" xml:space="preserve">
        <v xml:space="preserve">Se ha decidido monetizar estas divisas a pesar de que el valor recibido está por debajo del monto facturado, considerando que la fecha límite para su devolución vencía el Lunes 08 de septiembre_x000d_
_x000d_
Adicionalmente, al momento del cobro, fue  $ 4,227,32 y la trm no ha estado por encima de ese valor desde el pasado 27 de enero. el dinero llego el 09 de agosto y de  ese tiempo la divisa no ha llegado a esos valores facturados_x000d_
_x000d_
</v>
      </c>
      <c r="Z223" s="21">
        <f>K223*O223</f>
        <v>4152825.2568</v>
      </c>
      <c r="AA223" s="21">
        <f>Z223-Q223</f>
        <v>-57054.71400000015</v>
      </c>
    </row>
    <row r="224" outlineLevel="1">
      <c r="B224">
        <v>193</v>
      </c>
      <c r="C224" t="str">
        <v>Action</v>
      </c>
      <c r="D224">
        <v>6269</v>
      </c>
      <c r="E224" s="1">
        <v>45905</v>
      </c>
      <c r="F224" s="1">
        <v>45965</v>
      </c>
      <c r="J224" s="20">
        <f>IFERROR(IF(TODAY()&gt;=E224,(TODAY()-E224)/I224,0),0)*0</f>
        <v>0</v>
      </c>
      <c r="K224" s="5">
        <v>3310.17</v>
      </c>
      <c r="L224" s="5">
        <v>3310.17</v>
      </c>
      <c r="M224" s="5">
        <f>K224-L224</f>
        <v>0</v>
      </c>
      <c r="N224" s="21">
        <v>3932.86</v>
      </c>
      <c r="O224" s="21">
        <v>3944.35</v>
      </c>
      <c r="P224" s="21">
        <f>O224-N224</f>
        <v>11.489999999999782</v>
      </c>
      <c r="Q224" s="21">
        <f>K224*N224</f>
        <v>13018435.1862</v>
      </c>
      <c r="R224" s="21">
        <f>L224*O224</f>
        <v>13056469.0395</v>
      </c>
      <c r="S224" s="21">
        <f>R224-Q224</f>
        <v>38033.85329999961</v>
      </c>
      <c r="T224" t="str">
        <f>IF(R224&lt;= Q224,"No Monetizar","Monetizar")</f>
        <v>Monetizar</v>
      </c>
      <c r="V224" s="1">
        <v>45905</v>
      </c>
      <c r="W224" t="str">
        <v>Alfonso Fonseca A</v>
      </c>
      <c r="X224" t="str">
        <v>Alfonso Fonseca A</v>
      </c>
      <c r="Y224" t="str">
        <v>Se monetiza ya que el valor ofrecido por el banco en cada divisa es superior al valor facturado</v>
      </c>
      <c r="Z224" s="21">
        <f>K224*O224</f>
        <v>13056469.0395</v>
      </c>
      <c r="AA224" s="21">
        <f>Z224-Q224</f>
        <v>38033.85329999961</v>
      </c>
    </row>
    <row r="225" outlineLevel="1">
      <c r="B225">
        <v>194</v>
      </c>
      <c r="C225" t="str">
        <v>Insider</v>
      </c>
      <c r="D225" t="str">
        <v>FV-5-34</v>
      </c>
      <c r="E225" s="1">
        <v>45908</v>
      </c>
      <c r="F225" s="1">
        <v>45968</v>
      </c>
      <c r="J225" s="20">
        <f>IFERROR(IF(TODAY()&gt;=E225,(TODAY()-E225)/I225,0),0)*0</f>
        <v>0</v>
      </c>
      <c r="K225" s="5">
        <v>415.02</v>
      </c>
      <c r="L225" s="5">
        <v>410.02</v>
      </c>
      <c r="M225" s="5">
        <f>K225-L225</f>
        <v>5</v>
      </c>
      <c r="N225" s="21">
        <v>3891.31</v>
      </c>
      <c r="O225" s="21">
        <v>3939.57</v>
      </c>
      <c r="P225" s="21">
        <f>O225-N225</f>
        <v>48.26000000000022</v>
      </c>
      <c r="Q225" s="21">
        <f>K225*N225</f>
        <v>1614971.4762</v>
      </c>
      <c r="R225" s="21">
        <f>L225*O225</f>
        <v>1615302.4914</v>
      </c>
      <c r="S225" s="21">
        <f>R225-Q225</f>
        <v>331.01520000002347</v>
      </c>
      <c r="T225" t="str">
        <f>IF(R225&lt;= Q225,"No Monetizar","Monetizar")</f>
        <v>Monetizar</v>
      </c>
      <c r="V225" s="1">
        <v>45909</v>
      </c>
      <c r="W225" t="str">
        <v>Alfonso Fonseca A</v>
      </c>
      <c r="X225" t="str">
        <v>Alfonso Fonseca A</v>
      </c>
      <c r="Y225" t="str">
        <v>Se monetiza ya que el valor ofrecido por el banco en cada divisa es superior al valor facturado</v>
      </c>
      <c r="Z225" s="21">
        <f>K225*O225</f>
        <v>1635000.3414</v>
      </c>
      <c r="AA225" s="21">
        <f>Z225-Q225</f>
        <v>20028.865200000117</v>
      </c>
    </row>
    <row r="226" outlineLevel="1">
      <c r="B226">
        <v>195</v>
      </c>
      <c r="C226" t="str">
        <v>Marketing Doctors</v>
      </c>
      <c r="D226">
        <v>6284</v>
      </c>
      <c r="E226" s="1">
        <v>45917</v>
      </c>
      <c r="F226" s="1">
        <v>45977</v>
      </c>
      <c r="J226" s="20">
        <f>IFERROR(IF(TODAY()&gt;=E226,(TODAY()-E226)/I226,0),0)*0</f>
        <v>0</v>
      </c>
      <c r="K226" s="5">
        <v>133.35</v>
      </c>
      <c r="L226" s="5">
        <v>133.35</v>
      </c>
      <c r="M226" s="5">
        <f>K226-L226</f>
        <v>0</v>
      </c>
      <c r="N226" s="21">
        <v>3789.05</v>
      </c>
      <c r="O226" s="21">
        <v>3870</v>
      </c>
      <c r="P226" s="21">
        <f>O226-N226</f>
        <v>80.94999999999982</v>
      </c>
      <c r="Q226" s="21">
        <f>K226*N226</f>
        <v>505269.8175</v>
      </c>
      <c r="R226" s="21">
        <f>L226*O226</f>
        <v>516064.5</v>
      </c>
      <c r="S226" s="21">
        <f>R226-Q226</f>
        <v>10794.682499999995</v>
      </c>
      <c r="T226" t="str">
        <f>IF(R226&lt;= Q226,"No Monetizar","Monetizar")</f>
        <v>Monetizar</v>
      </c>
      <c r="V226" s="1">
        <v>45918</v>
      </c>
      <c r="W226" t="str">
        <v>Alfonso Fonseca A</v>
      </c>
      <c r="X226" t="str">
        <v>Alfonso Fonseca A</v>
      </c>
      <c r="Y226" t="str">
        <v>Se monetiza ya que el valor ofrecido por el banco en cada divisa es superior al valor facturado</v>
      </c>
      <c r="Z226" s="21">
        <f>K226*O226</f>
        <v>516064.5</v>
      </c>
      <c r="AA226" s="21">
        <f>Z226-Q226</f>
        <v>10794.682499999995</v>
      </c>
    </row>
    <row r="227" outlineLevel="1">
      <c r="B227">
        <v>196</v>
      </c>
      <c r="C227" t="str">
        <v>Marketing Doctors</v>
      </c>
      <c r="D227" t="str">
        <v>FV-5-39</v>
      </c>
      <c r="E227" s="1">
        <v>45917</v>
      </c>
      <c r="F227" s="1">
        <v>45977</v>
      </c>
      <c r="J227" s="20">
        <f>IFERROR(IF(TODAY()&gt;=E227,(TODAY()-E227)/I227,0),0)*0</f>
        <v>0</v>
      </c>
      <c r="K227" s="5">
        <v>1212.25</v>
      </c>
      <c r="L227" s="5">
        <v>1212.25</v>
      </c>
      <c r="M227" s="5">
        <f>K227-L227</f>
        <v>0</v>
      </c>
      <c r="N227" s="21">
        <v>3789.05</v>
      </c>
      <c r="O227" s="21">
        <v>3870</v>
      </c>
      <c r="P227" s="21">
        <f>O227-N227</f>
        <v>80.94999999999982</v>
      </c>
      <c r="Q227" s="21">
        <f>K227*N227</f>
        <v>4593275.8625</v>
      </c>
      <c r="R227" s="21">
        <f>L227*O227</f>
        <v>4691407.5</v>
      </c>
      <c r="S227" s="21">
        <f>R227-Q227</f>
        <v>98131.63750000019</v>
      </c>
      <c r="T227" t="str">
        <f>IF(R227&lt;= Q227,"No Monetizar","Monetizar")</f>
        <v>Monetizar</v>
      </c>
      <c r="V227" s="1">
        <v>45918</v>
      </c>
      <c r="W227" t="str">
        <v>Alfonso Fonseca A</v>
      </c>
      <c r="X227" t="str">
        <v>Alfonso Fonseca A</v>
      </c>
      <c r="Y227" t="str">
        <v>Se monetiza ya que el valor ofrecido por el banco en cada divisa es superior al valor facturado</v>
      </c>
      <c r="Z227" s="21">
        <f>K227*O227</f>
        <v>4691407.5</v>
      </c>
      <c r="AA227" s="21">
        <f>Z227-Q227</f>
        <v>98131.63750000019</v>
      </c>
    </row>
    <row r="228" outlineLevel="1">
      <c r="B228">
        <v>197</v>
      </c>
      <c r="C228" t="str">
        <v>Flexco</v>
      </c>
      <c r="D228">
        <v>6285</v>
      </c>
      <c r="E228" s="1">
        <v>45919</v>
      </c>
      <c r="F228" s="1">
        <v>45979</v>
      </c>
      <c r="J228" s="20">
        <f>IFERROR(IF(TODAY()&gt;=E228,(TODAY()-E228)/I228,0),0)*0</f>
        <v>0</v>
      </c>
      <c r="K228" s="5">
        <v>333.18</v>
      </c>
      <c r="L228" s="5">
        <v>333.18</v>
      </c>
      <c r="M228" s="5">
        <f>K228-L228</f>
        <v>0</v>
      </c>
      <c r="N228" s="21">
        <v>3789.05</v>
      </c>
      <c r="O228" s="21">
        <v>3837.52</v>
      </c>
      <c r="P228" s="21">
        <f>O228-N228</f>
        <v>48.4699999999998</v>
      </c>
      <c r="Q228" s="21">
        <f>K228*N228</f>
        <v>1262435.679</v>
      </c>
      <c r="R228" s="21">
        <f>L228*O228</f>
        <v>1278584.9136</v>
      </c>
      <c r="S228" s="21">
        <f>R228-Q228</f>
        <v>16149.234600000083</v>
      </c>
      <c r="T228" t="str">
        <f>IF(R228&lt;= Q228,"No Monetizar","Monetizar")</f>
        <v>Monetizar</v>
      </c>
      <c r="V228" s="1">
        <v>45922</v>
      </c>
      <c r="W228" t="str">
        <v>Alfonso Fonseca A</v>
      </c>
      <c r="X228" t="str">
        <v>Alfonso Fonseca A</v>
      </c>
      <c r="Y228" t="str">
        <v>Se monetiza ya que el valor ofrecido por el banco en cada divisa es superior al valor facturado</v>
      </c>
      <c r="Z228" s="21">
        <f>K228*O228</f>
        <v>1278584.9136</v>
      </c>
      <c r="AA228" s="21">
        <f>Z228-Q228</f>
        <v>16149.234600000083</v>
      </c>
    </row>
    <row r="229" outlineLevel="1">
      <c r="B229">
        <v>198</v>
      </c>
      <c r="C229" t="str">
        <v>Flexco</v>
      </c>
      <c r="D229" t="str">
        <v>FV-5-40</v>
      </c>
      <c r="E229" s="1">
        <v>45919</v>
      </c>
      <c r="F229" s="1">
        <v>45979</v>
      </c>
      <c r="J229" s="20">
        <f>IFERROR(IF(TODAY()&gt;=E229,(TODAY()-E229)/I229,0),0)*0</f>
        <v>0</v>
      </c>
      <c r="K229" s="5">
        <v>3702</v>
      </c>
      <c r="L229" s="5">
        <f>3702-10</f>
        <v>3692</v>
      </c>
      <c r="M229" s="5">
        <f>K229-L229</f>
        <v>10</v>
      </c>
      <c r="N229" s="21">
        <v>3789.05</v>
      </c>
      <c r="O229" s="21">
        <v>3837.52</v>
      </c>
      <c r="P229" s="21">
        <f>O229-N229</f>
        <v>48.4699999999998</v>
      </c>
      <c r="Q229" s="21">
        <f>K229*N229</f>
        <v>14027063.100000001</v>
      </c>
      <c r="R229" s="21">
        <f>L229*O229</f>
        <v>14168123.84</v>
      </c>
      <c r="S229" s="21">
        <f>R229-Q229</f>
        <v>141060.73999999836</v>
      </c>
      <c r="T229" t="str">
        <f>IF(R229&lt;= Q229,"No Monetizar","Monetizar")</f>
        <v>Monetizar</v>
      </c>
      <c r="V229" s="1">
        <v>45922</v>
      </c>
      <c r="W229" t="str">
        <v>Alfonso Fonseca A</v>
      </c>
      <c r="X229" t="str">
        <v>Alfonso Fonseca A</v>
      </c>
      <c r="Y229" t="str">
        <v>Se monetiza ya que el valor ofrecido por el banco en cada divisa es superior al valor facturado</v>
      </c>
      <c r="Z229" s="21">
        <f>K229*O229</f>
        <v>14206499.04</v>
      </c>
      <c r="AA229" s="21">
        <f>Z229-Q229</f>
        <v>179435.93999999762</v>
      </c>
    </row>
    <row r="230" ht="30" customHeight="1" outlineLevel="1">
      <c r="B230">
        <v>199</v>
      </c>
      <c r="C230" t="str">
        <v>Hong kong yonyou xinfushe cloud technology co</v>
      </c>
      <c r="D230">
        <v>6289</v>
      </c>
      <c r="E230" s="1">
        <v>45923</v>
      </c>
      <c r="F230" s="1">
        <v>45983</v>
      </c>
      <c r="J230" s="20">
        <f>IFERROR(IF(TODAY()&gt;=E230,(TODAY()-E230)/I230,0),0)*0</f>
        <v>0</v>
      </c>
      <c r="K230" s="5">
        <v>749.7</v>
      </c>
      <c r="L230" s="5">
        <v>749.7</v>
      </c>
      <c r="M230" s="5">
        <f>K230-L230</f>
        <v>0</v>
      </c>
      <c r="N230" s="21">
        <v>3789.05</v>
      </c>
      <c r="O230" s="21">
        <v>3842.75</v>
      </c>
      <c r="P230" s="21">
        <f>O230-N230</f>
        <v>53.69999999999982</v>
      </c>
      <c r="Q230" s="21">
        <f>K230*N230</f>
        <v>2840650.785</v>
      </c>
      <c r="R230" s="21">
        <f>L230*O230</f>
        <v>2880909.6750000003</v>
      </c>
      <c r="S230" s="21">
        <f>R230-Q230</f>
        <v>40258.89000000013</v>
      </c>
      <c r="T230" t="str">
        <f>IF(R230&lt;= Q230,"No Monetizar","Monetizar")</f>
        <v>Monetizar</v>
      </c>
      <c r="V230" s="1">
        <v>45922</v>
      </c>
      <c r="W230" t="str">
        <v>Alfonso Fonseca A</v>
      </c>
      <c r="X230" t="str">
        <v>Alfonso Fonseca A</v>
      </c>
      <c r="Y230" t="str">
        <v>Se monetiza ya que el valor ofrecido por el banco en cada divisa es superior al valor facturado</v>
      </c>
      <c r="Z230" s="21">
        <f>K230*O230</f>
        <v>2880909.6750000003</v>
      </c>
      <c r="AA230" s="21">
        <f>Z230-Q230</f>
        <v>40258.89000000013</v>
      </c>
    </row>
    <row r="231" ht="30" customHeight="1" outlineLevel="1">
      <c r="B231">
        <v>200</v>
      </c>
      <c r="C231" t="str">
        <v>Hong kong yonyou xinfushe cloud technology co</v>
      </c>
      <c r="D231" t="str">
        <v>FV-5-9</v>
      </c>
      <c r="E231" s="1">
        <v>45923</v>
      </c>
      <c r="F231" s="1">
        <v>45983</v>
      </c>
      <c r="J231" s="20">
        <f>IFERROR(IF(TODAY()&gt;=E231,(TODAY()-E231)/I231,0),0)*0</f>
        <v>0</v>
      </c>
      <c r="K231" s="5">
        <v>21390.07</v>
      </c>
      <c r="L231" s="5">
        <v>21390.07</v>
      </c>
      <c r="M231" s="5">
        <f>K231-L231</f>
        <v>0</v>
      </c>
      <c r="N231" s="21">
        <v>3789.05</v>
      </c>
      <c r="O231" s="21">
        <v>3842.75</v>
      </c>
      <c r="P231" s="21">
        <f>O231-N231</f>
        <v>53.69999999999982</v>
      </c>
      <c r="Q231" s="21">
        <f>K231*N231</f>
        <v>81048044.7335</v>
      </c>
      <c r="R231" s="21">
        <f>L231*O231</f>
        <v>82196691.49249999</v>
      </c>
      <c r="S231" s="21">
        <f>R231-Q231</f>
        <v>1148646.7589999884</v>
      </c>
      <c r="T231" t="str">
        <f>IF(R231&lt;= Q231,"No Monetizar","Monetizar")</f>
        <v>Monetizar</v>
      </c>
      <c r="V231" s="1">
        <v>45922</v>
      </c>
      <c r="W231" t="str">
        <v>Alfonso Fonseca A</v>
      </c>
      <c r="X231" t="str">
        <v>Alfonso Fonseca A</v>
      </c>
      <c r="Y231" t="str">
        <v>Se monetiza ya que el valor ofrecido por el banco en cada divisa es superior al valor facturado</v>
      </c>
      <c r="Z231" s="21">
        <f>K231*O231</f>
        <v>82196691.49249999</v>
      </c>
      <c r="AA231" s="21">
        <f>Z231-Q231</f>
        <v>1148646.7589999884</v>
      </c>
    </row>
    <row r="232" outlineLevel="1" xml:space="preserve">
      <c r="B232">
        <v>201</v>
      </c>
      <c r="C232" t="str">
        <v>Remofirst</v>
      </c>
      <c r="D232">
        <v>6273</v>
      </c>
      <c r="E232" s="1">
        <v>45923</v>
      </c>
      <c r="F232" s="1">
        <v>45983</v>
      </c>
      <c r="J232" s="20">
        <f>IFERROR(IF(TODAY()&gt;=E232,(TODAY()-E232)/I232,0),0)*0</f>
        <v>0</v>
      </c>
      <c r="K232" s="5">
        <v>272162.28</v>
      </c>
      <c r="L232" s="5">
        <v>272162.28</v>
      </c>
      <c r="M232" s="5">
        <f>K232-L232</f>
        <v>0</v>
      </c>
      <c r="N232" s="21">
        <v>3999.01</v>
      </c>
      <c r="O232" s="21">
        <v>3862</v>
      </c>
      <c r="P232" s="21">
        <f>O232-N232</f>
        <v>-137.01000000000022</v>
      </c>
      <c r="Q232" s="21">
        <f>K232*N232</f>
        <v>1088379679.3428001</v>
      </c>
      <c r="R232" s="21">
        <f>L232*O232</f>
        <v>1051090725.3600001</v>
      </c>
      <c r="S232" s="21">
        <f>R232-Q232</f>
        <v>-37288953.98280001</v>
      </c>
      <c r="T232" t="str">
        <f>IF(R232&lt;= Q232,"No Monetizar","Monetizar")</f>
        <v>No Monetizar</v>
      </c>
      <c r="V232" s="1">
        <v>45923</v>
      </c>
      <c r="W232" t="str">
        <v>Alfonso Fonseca A</v>
      </c>
      <c r="X232" t="str">
        <v>Alfonso Fonseca A</v>
      </c>
      <c r="Y232"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2" s="21">
        <f>K232*O232</f>
        <v>1051090725.3600001</v>
      </c>
      <c r="AA232" s="21">
        <f>Z232-Q232</f>
        <v>-37288953.98280001</v>
      </c>
    </row>
    <row r="233" outlineLevel="1">
      <c r="B233">
        <v>202</v>
      </c>
      <c r="C233" t="str">
        <v xml:space="preserve">Neo </v>
      </c>
      <c r="D233">
        <v>6295</v>
      </c>
      <c r="E233" s="1">
        <v>45925</v>
      </c>
      <c r="F233" s="1">
        <v>45985</v>
      </c>
      <c r="J233" s="20">
        <f>IFERROR(IF(TODAY()&gt;=E233,(TODAY()-E233)/I233,0),0)*0</f>
        <v>0</v>
      </c>
      <c r="K233" s="5">
        <v>1872.5</v>
      </c>
      <c r="L233" s="5">
        <v>1867.9814689691075</v>
      </c>
      <c r="M233" s="5">
        <f>K233-L233</f>
        <v>4.518531030892518</v>
      </c>
      <c r="N233" s="21">
        <v>3763.61</v>
      </c>
      <c r="O233" s="21">
        <v>3876.3</v>
      </c>
      <c r="P233" s="21">
        <f>O233-N233</f>
        <v>112.69000000000005</v>
      </c>
      <c r="Q233" s="21">
        <f>K233*N233</f>
        <v>7047359.725000001</v>
      </c>
      <c r="R233" s="21">
        <f>L233*O233</f>
        <v>7240856.568164952</v>
      </c>
      <c r="S233" s="21">
        <f>R233-Q233</f>
        <v>193496.84316495154</v>
      </c>
      <c r="T233" t="str">
        <f>IF(R233&lt;= Q233,"No Monetizar","Monetizar")</f>
        <v>Monetizar</v>
      </c>
      <c r="V233" s="1">
        <v>45925</v>
      </c>
      <c r="W233" t="str">
        <v>Alfonso Fonseca A</v>
      </c>
      <c r="X233" t="str">
        <v>Alfonso Fonseca A</v>
      </c>
      <c r="Y233" t="str">
        <v>Se monetiza ya que el valor ofrecido por el banco en cada divisa es superior al valor facturado</v>
      </c>
      <c r="Z233" s="21">
        <f>K233*O233</f>
        <v>7258371.75</v>
      </c>
      <c r="AA233" s="21">
        <f>Z233-Q233</f>
        <v>211012.02499999944</v>
      </c>
    </row>
    <row r="234" outlineLevel="1">
      <c r="B234">
        <v>203</v>
      </c>
      <c r="C234" t="str">
        <v xml:space="preserve">Neo </v>
      </c>
      <c r="D234" t="str">
        <v>FV-5-51</v>
      </c>
      <c r="E234" s="1">
        <v>45925</v>
      </c>
      <c r="F234" s="1">
        <v>45985</v>
      </c>
      <c r="J234" s="20">
        <f>IFERROR(IF(TODAY()&gt;=E234,(TODAY()-E234)/I234,0),0)*0</f>
        <v>0</v>
      </c>
      <c r="K234" s="5">
        <v>23406.18</v>
      </c>
      <c r="L234" s="5">
        <v>23349.698531030892</v>
      </c>
      <c r="M234" s="5">
        <f>K234-L234</f>
        <v>56.48146896910839</v>
      </c>
      <c r="N234" s="21">
        <v>3763.61</v>
      </c>
      <c r="O234" s="21">
        <v>3876.3</v>
      </c>
      <c r="P234" s="21">
        <f>O234-N234</f>
        <v>112.69000000000005</v>
      </c>
      <c r="Q234" s="21">
        <f>K234*N234</f>
        <v>88091733.10980001</v>
      </c>
      <c r="R234" s="21">
        <f>L234*O234</f>
        <v>90510436.41583505</v>
      </c>
      <c r="S234" s="21">
        <f>R234-Q234</f>
        <v>2418703.306035042</v>
      </c>
      <c r="T234" t="str">
        <f>IF(R234&lt;= Q234,"No Monetizar","Monetizar")</f>
        <v>Monetizar</v>
      </c>
      <c r="V234" s="1">
        <v>45925</v>
      </c>
      <c r="W234" t="str">
        <v>Alfonso Fonseca A</v>
      </c>
      <c r="X234" t="str">
        <v>Alfonso Fonseca A</v>
      </c>
      <c r="Y234" t="str">
        <v>Se monetiza ya que el valor ofrecido por el banco en cada divisa es superior al valor facturado</v>
      </c>
      <c r="Z234" s="21">
        <f>K234*O234</f>
        <v>90729375.53400001</v>
      </c>
      <c r="AA234" s="21">
        <f>Z234-Q234</f>
        <v>2637642.4241999984</v>
      </c>
    </row>
    <row r="235" outlineLevel="1" xml:space="preserve">
      <c r="B235">
        <v>204</v>
      </c>
      <c r="C235" t="str">
        <v>Hemmebarsch GMBH &amp; Co KG</v>
      </c>
      <c r="D235">
        <v>6200</v>
      </c>
      <c r="E235" s="1">
        <v>45917</v>
      </c>
      <c r="F235" s="1">
        <v>45977</v>
      </c>
      <c r="J235" s="20">
        <f>IFERROR(IF(TODAY()&gt;=E235,(TODAY()-E235)/I235,0),0)*0</f>
        <v>0</v>
      </c>
      <c r="K235" s="5">
        <v>174.05</v>
      </c>
      <c r="L235" s="5">
        <v>174.05</v>
      </c>
      <c r="M235" s="5">
        <f>K235-L235</f>
        <v>0</v>
      </c>
      <c r="N235" s="21">
        <v>3917.12</v>
      </c>
      <c r="O235" s="21">
        <v>3874</v>
      </c>
      <c r="P235" s="21">
        <f>O235-N235</f>
        <v>-43.11999999999989</v>
      </c>
      <c r="Q235" s="21">
        <f>K235*N235</f>
        <v>681774.736</v>
      </c>
      <c r="R235" s="21">
        <f>L235*O235</f>
        <v>674269.7000000001</v>
      </c>
      <c r="S235" s="21">
        <f>R235-Q235</f>
        <v>-7505.035999999964</v>
      </c>
      <c r="T235" t="str">
        <f>IF(R235&lt;= Q235,"No Monetizar","Monetizar")</f>
        <v>No Monetizar</v>
      </c>
      <c r="V235" s="1">
        <v>45925</v>
      </c>
      <c r="W235" t="str">
        <v>Alfonso Fonseca A</v>
      </c>
      <c r="X235" t="str">
        <v>Alfonso Fonseca A</v>
      </c>
      <c r="Y235"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5" s="21">
        <f>K235*O235</f>
        <v>674269.7000000001</v>
      </c>
      <c r="AA235" s="21">
        <f>Z235-Q235</f>
        <v>-7505.035999999964</v>
      </c>
    </row>
    <row r="236" outlineLevel="1" xml:space="preserve">
      <c r="B236">
        <v>205</v>
      </c>
      <c r="C236" t="str">
        <v>Hemmebarsch GMBH &amp; Co KG</v>
      </c>
      <c r="D236" t="str">
        <v>FV-5-9</v>
      </c>
      <c r="E236" s="1">
        <v>45917</v>
      </c>
      <c r="F236" s="1">
        <v>45977</v>
      </c>
      <c r="J236" s="20">
        <f>IFERROR(IF(TODAY()&gt;=E236,(TODAY()-E236)/I236,0),0)*0</f>
        <v>0</v>
      </c>
      <c r="K236" s="5">
        <v>1740.47</v>
      </c>
      <c r="L236" s="5">
        <v>1740.47</v>
      </c>
      <c r="M236" s="5">
        <f>K236-L236</f>
        <v>0</v>
      </c>
      <c r="N236" s="21">
        <v>3917.12</v>
      </c>
      <c r="O236" s="21">
        <v>3874</v>
      </c>
      <c r="P236" s="21">
        <f>O236-N236</f>
        <v>-43.11999999999989</v>
      </c>
      <c r="Q236" s="21">
        <f>K236*N236</f>
        <v>6817629.8464</v>
      </c>
      <c r="R236" s="21">
        <f>L236*O236</f>
        <v>6742580.78</v>
      </c>
      <c r="S236" s="21">
        <f>R236-Q236</f>
        <v>-75049.0663999999</v>
      </c>
      <c r="T236" t="str">
        <f>IF(R236&lt;= Q236,"No Monetizar","Monetizar")</f>
        <v>No Monetizar</v>
      </c>
      <c r="V236" s="1">
        <v>45925</v>
      </c>
      <c r="W236" t="str">
        <v>Alfonso Fonseca A</v>
      </c>
      <c r="X236" t="str">
        <v>Alfonso Fonseca A</v>
      </c>
      <c r="Y236"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6" s="21">
        <f>K236*O236</f>
        <v>6742580.78</v>
      </c>
      <c r="AA236" s="21">
        <f>Z236-Q236</f>
        <v>-75049.0663999999</v>
      </c>
    </row>
    <row r="237" outlineLevel="1" xml:space="preserve">
      <c r="B237">
        <v>206</v>
      </c>
      <c r="C237" t="str">
        <v>Nazdar ink technologies</v>
      </c>
      <c r="D237">
        <v>6286</v>
      </c>
      <c r="E237" s="1">
        <v>45925</v>
      </c>
      <c r="F237" s="1">
        <v>45985</v>
      </c>
      <c r="J237" s="20">
        <f>IFERROR(IF(TODAY()&gt;=E237,(TODAY()-E237)/I237,0),0)*0</f>
        <v>0</v>
      </c>
      <c r="K237" s="5">
        <v>749.12</v>
      </c>
      <c r="L237" s="5">
        <v>748.2709425408253</v>
      </c>
      <c r="M237" s="5">
        <f>K237-L237</f>
        <v>0.8490574591746736</v>
      </c>
      <c r="N237" s="21">
        <v>3789.05</v>
      </c>
      <c r="O237" s="21">
        <v>3875.09</v>
      </c>
      <c r="P237" s="21">
        <f>O237-N237</f>
        <v>86.03999999999996</v>
      </c>
      <c r="Q237" s="21">
        <f>K237*N237</f>
        <v>2838453.136</v>
      </c>
      <c r="R237" s="21">
        <f>L237*O237</f>
        <v>2899617.246730527</v>
      </c>
      <c r="S237" s="21">
        <f>R237-Q237</f>
        <v>61164.11073052697</v>
      </c>
      <c r="T237" t="str">
        <f>IF(R237&lt;= Q237,"No Monetizar","Monetizar")</f>
        <v>Monetizar</v>
      </c>
      <c r="V237" s="1">
        <v>45925</v>
      </c>
      <c r="W237" t="str">
        <v>Alfonso Fonseca A</v>
      </c>
      <c r="X237" t="str">
        <v>Alfonso Fonseca A</v>
      </c>
      <c r="Y237"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7" s="21">
        <f>K237*O237</f>
        <v>2902907.4208</v>
      </c>
      <c r="AA237" s="21">
        <f>Z237-Q237</f>
        <v>64454.28480000002</v>
      </c>
    </row>
    <row r="238" outlineLevel="1" xml:space="preserve">
      <c r="B238">
        <v>207</v>
      </c>
      <c r="C238" t="str">
        <v>Nazdar ink technologies</v>
      </c>
      <c r="D238" t="str">
        <v>FV-5-41</v>
      </c>
      <c r="E238" s="1">
        <v>45925</v>
      </c>
      <c r="F238" s="1">
        <v>45985</v>
      </c>
      <c r="J238" s="20">
        <f>IFERROR(IF(TODAY()&gt;=E233,(TODAY()-E233)/I233,0),0)*0</f>
        <v>0</v>
      </c>
      <c r="K238" s="5">
        <v>12485.32</v>
      </c>
      <c r="L238" s="5">
        <v>12471.169057459174</v>
      </c>
      <c r="M238" s="5">
        <f>K238-L238</f>
        <v>14.150942540825781</v>
      </c>
      <c r="N238" s="21">
        <v>3789.05</v>
      </c>
      <c r="O238" s="21">
        <v>3875.09</v>
      </c>
      <c r="P238" s="21">
        <f>O238-N238</f>
        <v>86.03999999999996</v>
      </c>
      <c r="Q238" s="21">
        <f>K238*N238</f>
        <v>47307501.746</v>
      </c>
      <c r="R238" s="21">
        <f>L238*O238</f>
        <v>48326902.50286947</v>
      </c>
      <c r="S238" s="21">
        <f>R238-Q238</f>
        <v>1019400.7568694726</v>
      </c>
      <c r="T238" t="str">
        <f>IF(R238&lt;= Q238,"No Monetizar","Monetizar")</f>
        <v>Monetizar</v>
      </c>
      <c r="V238" s="1">
        <v>45925</v>
      </c>
      <c r="W238" t="str">
        <v>Alfonso Fonseca A</v>
      </c>
      <c r="X238" t="str">
        <v>Alfonso Fonseca A</v>
      </c>
      <c r="Y238"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8" s="21">
        <f>K238*O238</f>
        <v>48381738.6788</v>
      </c>
      <c r="AA238" s="21">
        <f>Z238-Q238</f>
        <v>1074236.9328000024</v>
      </c>
    </row>
    <row r="239" outlineLevel="1" xml:space="preserve">
      <c r="B239">
        <v>208</v>
      </c>
      <c r="C239" t="str">
        <v>Rivermate</v>
      </c>
      <c r="D239">
        <v>6205</v>
      </c>
      <c r="E239" s="1">
        <v>45903</v>
      </c>
      <c r="F239" s="1">
        <v>45963</v>
      </c>
      <c r="J239" s="20">
        <f>IFERROR(IF(TODAY()&gt;=E234,(TODAY()-E234)/I234,0),0)*0</f>
        <v>0</v>
      </c>
      <c r="K239" s="5">
        <v>150</v>
      </c>
      <c r="L239" s="5">
        <v>149.34846693039415</v>
      </c>
      <c r="M239" s="24">
        <f>K239-L239</f>
        <v>0.651533069605847</v>
      </c>
      <c r="N239" s="21">
        <f>4608.65</f>
        <v>4608.65</v>
      </c>
      <c r="O239" s="21">
        <v>3890</v>
      </c>
      <c r="P239" s="21">
        <f>O239-N239</f>
        <v>-718.6499999999996</v>
      </c>
      <c r="Q239" s="21">
        <f>K239*N239</f>
        <v>691297.5</v>
      </c>
      <c r="R239" s="21">
        <f>L239*O239</f>
        <v>580965.5363592332</v>
      </c>
      <c r="S239" s="21">
        <f>R239-Q239</f>
        <v>-110331.9636407668</v>
      </c>
      <c r="T239" t="str">
        <f>IF(R239&lt;= Q239,"No Monetizar","Monetizar")</f>
        <v>No Monetizar</v>
      </c>
      <c r="V239" s="1">
        <v>45925</v>
      </c>
      <c r="W239" t="str">
        <v>Alfonso Fonseca A</v>
      </c>
      <c r="X239" t="str">
        <v>Alfonso Fonseca A</v>
      </c>
      <c r="Y239"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39" s="21">
        <f>K239*O239</f>
        <v>583500</v>
      </c>
      <c r="AA239" s="21">
        <f>Z239-Q239</f>
        <v>-107797.5</v>
      </c>
    </row>
    <row r="240" outlineLevel="1" xml:space="preserve">
      <c r="B240">
        <v>209</v>
      </c>
      <c r="C240" t="str">
        <v>Rivermate</v>
      </c>
      <c r="D240" t="str">
        <v>FV-5-14</v>
      </c>
      <c r="E240" s="1">
        <v>45903</v>
      </c>
      <c r="F240" s="1">
        <v>45963</v>
      </c>
      <c r="J240" s="20">
        <f>IFERROR(IF(TODAY()&gt;=E235,(TODAY()-E235)/I235,0),0)*0</f>
        <v>0</v>
      </c>
      <c r="K240" s="5">
        <v>7774.54</v>
      </c>
      <c r="L240" s="5">
        <v>7740.770867260177</v>
      </c>
      <c r="M240" s="24">
        <f>K240-L240</f>
        <v>33.76913273982336</v>
      </c>
      <c r="N240" s="21">
        <f>4608.65</f>
        <v>4608.65</v>
      </c>
      <c r="O240" s="21">
        <v>3890</v>
      </c>
      <c r="P240" s="21">
        <f>O240-N240</f>
        <v>-718.6499999999996</v>
      </c>
      <c r="Q240" s="21">
        <f>K240*N240</f>
        <v>35830133.771</v>
      </c>
      <c r="R240" s="21">
        <f>L240*O240</f>
        <v>30111598.673642088</v>
      </c>
      <c r="S240" s="21">
        <f>R240-Q240</f>
        <v>-5718535.09735791</v>
      </c>
      <c r="T240" t="str">
        <f>IF(R240&lt;= Q240,"No Monetizar","Monetizar")</f>
        <v>No Monetizar</v>
      </c>
      <c r="V240" s="1">
        <v>45925</v>
      </c>
      <c r="W240" t="str">
        <v>Alfonso Fonseca A</v>
      </c>
      <c r="X240" t="str">
        <v>Alfonso Fonseca A</v>
      </c>
      <c r="Y240"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0" s="21">
        <f>K240*O240</f>
        <v>30242960.6</v>
      </c>
      <c r="AA240" s="21">
        <f>Z240-Q240</f>
        <v>-5587173.170999996</v>
      </c>
    </row>
    <row r="241" outlineLevel="1" xml:space="preserve">
      <c r="B241">
        <v>210</v>
      </c>
      <c r="C241" t="str">
        <v>Rivermate</v>
      </c>
      <c r="D241">
        <v>6243</v>
      </c>
      <c r="E241" s="1">
        <v>45903</v>
      </c>
      <c r="F241" s="1">
        <v>45963</v>
      </c>
      <c r="J241" s="20">
        <f>IFERROR(IF(TODAY()&gt;=E236,(TODAY()-E236)/I236,0),0)*0</f>
        <v>0</v>
      </c>
      <c r="K241" s="5">
        <v>150</v>
      </c>
      <c r="L241" s="5">
        <v>149.34846693039415</v>
      </c>
      <c r="M241" s="24">
        <f>K241-L241</f>
        <v>0.651533069605847</v>
      </c>
      <c r="N241" s="21">
        <f>4608.65</f>
        <v>4608.65</v>
      </c>
      <c r="O241" s="21">
        <v>3890</v>
      </c>
      <c r="P241" s="21">
        <f>O241-N241</f>
        <v>-718.6499999999996</v>
      </c>
      <c r="Q241" s="21">
        <f>K241*N241</f>
        <v>691297.5</v>
      </c>
      <c r="R241" s="21">
        <f>L241*O241</f>
        <v>580965.5363592332</v>
      </c>
      <c r="S241" s="21">
        <f>R241-Q241</f>
        <v>-110331.9636407668</v>
      </c>
      <c r="T241" t="str">
        <f>IF(R241&lt;= Q241,"No Monetizar","Monetizar")</f>
        <v>No Monetizar</v>
      </c>
      <c r="V241" s="1">
        <v>45925</v>
      </c>
      <c r="W241" t="str">
        <v>Alfonso Fonseca A</v>
      </c>
      <c r="X241" t="str">
        <v>Alfonso Fonseca A</v>
      </c>
      <c r="Y241"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1" s="21">
        <f>K241*O241</f>
        <v>583500</v>
      </c>
      <c r="AA241" s="21">
        <f>Z241-Q241</f>
        <v>-107797.5</v>
      </c>
    </row>
    <row r="242" outlineLevel="1" xml:space="preserve">
      <c r="B242">
        <v>211</v>
      </c>
      <c r="C242" t="str">
        <v>Rivermate</v>
      </c>
      <c r="D242" t="str">
        <v>FV-5-29</v>
      </c>
      <c r="E242" s="1">
        <v>45903</v>
      </c>
      <c r="F242" s="1">
        <v>45963</v>
      </c>
      <c r="J242" s="20">
        <f>IFERROR(IF(TODAY()&gt;=E237,(TODAY()-E237)/I237,0),0)*0</f>
        <v>0</v>
      </c>
      <c r="K242" s="5">
        <v>4127.45</v>
      </c>
      <c r="L242" s="5">
        <v>4109.522198879035</v>
      </c>
      <c r="M242" s="24">
        <f>K242-L242</f>
        <v>17.927801120964432</v>
      </c>
      <c r="N242" s="21">
        <f>4608.65</f>
        <v>4608.65</v>
      </c>
      <c r="O242" s="21">
        <v>3890</v>
      </c>
      <c r="P242" s="21">
        <f>O242-N242</f>
        <v>-718.6499999999996</v>
      </c>
      <c r="Q242" s="21">
        <f>K242*N242</f>
        <v>19021972.4425</v>
      </c>
      <c r="R242" s="21">
        <f>L242*O242</f>
        <v>15986041.353639448</v>
      </c>
      <c r="S242" s="21">
        <f>R242-Q242</f>
        <v>-3035931.088860551</v>
      </c>
      <c r="T242" t="str">
        <f>IF(R242&lt;= Q242,"No Monetizar","Monetizar")</f>
        <v>No Monetizar</v>
      </c>
      <c r="V242" s="1">
        <v>45925</v>
      </c>
      <c r="W242" t="str">
        <v>Alfonso Fonseca A</v>
      </c>
      <c r="X242" t="str">
        <v>Alfonso Fonseca A</v>
      </c>
      <c r="Y242"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2" s="21">
        <f>K242*O242</f>
        <v>16055780.5</v>
      </c>
      <c r="AA242" s="21">
        <f>Z242-Q242</f>
        <v>-2966191.942499999</v>
      </c>
    </row>
    <row r="243" outlineLevel="1" xml:space="preserve">
      <c r="B243">
        <v>212</v>
      </c>
      <c r="C243" t="str">
        <v>Rivermate</v>
      </c>
      <c r="D243">
        <v>6271</v>
      </c>
      <c r="E243" s="1">
        <v>45925</v>
      </c>
      <c r="F243" s="1">
        <v>45985</v>
      </c>
      <c r="J243" s="20">
        <f>IFERROR(IF(TODAY()&gt;=E238,(TODAY()-E238)/I238,0),0)*0</f>
        <v>0</v>
      </c>
      <c r="K243" s="5">
        <v>16238.43</v>
      </c>
      <c r="L243" s="5">
        <v>16173.01</v>
      </c>
      <c r="M243" s="24">
        <f>K243-L243</f>
        <v>65.42000000000007</v>
      </c>
      <c r="N243" s="21">
        <f>4492.32</f>
        <v>4492.32</v>
      </c>
      <c r="O243" s="21">
        <v>3890</v>
      </c>
      <c r="P243" s="21">
        <f>O243-N243</f>
        <v>-602.3199999999997</v>
      </c>
      <c r="Q243" s="21">
        <f>K243*N243</f>
        <v>72948223.8576</v>
      </c>
      <c r="R243" s="21">
        <f>L243*O243</f>
        <v>62913008.9</v>
      </c>
      <c r="S243" s="21">
        <f>R243-Q243</f>
        <v>-10035214.957600005</v>
      </c>
      <c r="T243" t="str">
        <f>IF(R243&lt;= Q243,"No Monetizar","Monetizar")</f>
        <v>No Monetizar</v>
      </c>
      <c r="V243" s="1">
        <v>45925</v>
      </c>
      <c r="W243" t="str">
        <v>Alfonso Fonseca A</v>
      </c>
      <c r="X243" t="str">
        <v>Alfonso Fonseca A</v>
      </c>
      <c r="Y243"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3" s="21">
        <f>K243*O243</f>
        <v>63167492.7</v>
      </c>
      <c r="AA243" s="21">
        <f>Z243-Q243</f>
        <v>-9780731.1576</v>
      </c>
    </row>
    <row r="244" outlineLevel="1">
      <c r="B244">
        <v>213</v>
      </c>
      <c r="C244" t="str">
        <v>Bubble BPM</v>
      </c>
      <c r="D244">
        <v>6291</v>
      </c>
      <c r="E244" s="1">
        <v>45925</v>
      </c>
      <c r="F244" s="1">
        <v>45985</v>
      </c>
      <c r="J244" s="20">
        <f>IFERROR(IF(TODAY()&gt;=E239,(TODAY()-E239)/I239,0),0)*0</f>
        <v>0</v>
      </c>
      <c r="K244" s="5">
        <v>122.44</v>
      </c>
      <c r="L244" s="5">
        <v>119.46707296345757</v>
      </c>
      <c r="M244" s="5">
        <f>K244-L244</f>
        <v>2.97292703654243</v>
      </c>
      <c r="N244" s="21">
        <v>3789.05</v>
      </c>
      <c r="O244" s="21">
        <v>3885</v>
      </c>
      <c r="P244" s="21">
        <f>O244-N244</f>
        <v>95.94999999999982</v>
      </c>
      <c r="Q244" s="21">
        <f>K244*N244</f>
        <v>463931.282</v>
      </c>
      <c r="R244" s="21">
        <f>L244*O244</f>
        <v>464129.57846303267</v>
      </c>
      <c r="S244" s="21">
        <f>R244-Q244</f>
        <v>198.29646303266054</v>
      </c>
      <c r="T244" t="str">
        <f>IF(R244&lt;= Q244,"No Monetizar","Monetizar")</f>
        <v>Monetizar</v>
      </c>
      <c r="V244" s="1">
        <v>45926</v>
      </c>
      <c r="W244" t="str">
        <v>Alfonso Fonseca A</v>
      </c>
      <c r="X244" t="str">
        <v>Alfonso Fonseca A</v>
      </c>
      <c r="Y244" t="str">
        <v>Se monetiza ya que el valor ofrecido por el banco en cada divisa es superior al valor facturado</v>
      </c>
      <c r="Z244" s="21">
        <f>K244*O244</f>
        <v>475679.39999999997</v>
      </c>
      <c r="AA244" s="21">
        <f>Z244-Q244</f>
        <v>11748.117999999959</v>
      </c>
    </row>
    <row r="245" outlineLevel="1">
      <c r="B245">
        <v>214</v>
      </c>
      <c r="C245" t="str">
        <v>Bubble BPM</v>
      </c>
      <c r="D245" t="str">
        <v>FV-5-46</v>
      </c>
      <c r="E245" s="1">
        <v>45925</v>
      </c>
      <c r="F245" s="1">
        <v>45985</v>
      </c>
      <c r="J245" s="20">
        <f>IFERROR(IF(TODAY()&gt;=E240,(TODAY()-E240)/I240,0),0)*0</f>
        <v>0</v>
      </c>
      <c r="K245" s="5">
        <v>1113.11</v>
      </c>
      <c r="L245" s="5">
        <v>1086.0829270365423</v>
      </c>
      <c r="M245" s="5">
        <f>K245-L245</f>
        <v>27.027072963457613</v>
      </c>
      <c r="N245" s="21">
        <v>3789.05</v>
      </c>
      <c r="O245" s="21">
        <v>3885</v>
      </c>
      <c r="P245" s="21">
        <f>O245-N245</f>
        <v>95.94999999999982</v>
      </c>
      <c r="Q245" s="21">
        <f>K245*N245</f>
        <v>4217629.445499999</v>
      </c>
      <c r="R245" s="21">
        <f>L245*O245</f>
        <v>4219432.171536967</v>
      </c>
      <c r="S245" s="21">
        <f>R245-Q245</f>
        <v>1802.7260369677097</v>
      </c>
      <c r="T245" t="str">
        <f>IF(R245&lt;= Q245,"No Monetizar","Monetizar")</f>
        <v>Monetizar</v>
      </c>
      <c r="V245" s="1">
        <v>45926</v>
      </c>
      <c r="W245" t="str">
        <v>Alfonso Fonseca A</v>
      </c>
      <c r="X245" t="str">
        <v>Alfonso Fonseca A</v>
      </c>
      <c r="Y245" t="str">
        <v>Se monetiza ya que el valor ofrecido por el banco en cada divisa es superior al valor facturado</v>
      </c>
      <c r="Z245" s="21">
        <f>K245*O245</f>
        <v>4324432.35</v>
      </c>
      <c r="AA245" s="21">
        <f>Z245-Q245</f>
        <v>106802.90450000018</v>
      </c>
    </row>
    <row r="246" outlineLevel="1">
      <c r="B246">
        <v>215</v>
      </c>
      <c r="C246" t="str">
        <v>Oncehub</v>
      </c>
      <c r="D246">
        <v>6293</v>
      </c>
      <c r="E246" s="1">
        <v>45926</v>
      </c>
      <c r="F246" s="1">
        <v>45986</v>
      </c>
      <c r="J246" s="20">
        <f>IFERROR(IF(TODAY()&gt;=E241,(TODAY()-E241)/I241,0),0)*0</f>
        <v>0</v>
      </c>
      <c r="K246" s="5">
        <v>285.6</v>
      </c>
      <c r="L246" s="5">
        <v>283.91331776183887</v>
      </c>
      <c r="M246" s="5">
        <f>K246-L246</f>
        <v>1.6866822381611541</v>
      </c>
      <c r="N246" s="21">
        <v>3804.28</v>
      </c>
      <c r="O246" s="21">
        <v>3886.09</v>
      </c>
      <c r="P246" s="21">
        <f>O246-N246</f>
        <v>81.80999999999995</v>
      </c>
      <c r="Q246" s="21">
        <f>K246*N246</f>
        <v>1086502.3680000002</v>
      </c>
      <c r="R246" s="21">
        <f>L246*O246</f>
        <v>1103312.7050211045</v>
      </c>
      <c r="S246" s="21">
        <f>R246-Q246</f>
        <v>16810.337021104293</v>
      </c>
      <c r="T246" t="str">
        <f>IF(R246&lt;= Q246,"No Monetizar","Monetizar")</f>
        <v>Monetizar</v>
      </c>
      <c r="V246" s="1">
        <v>45926</v>
      </c>
      <c r="W246" t="str">
        <v>Alfonso Fonseca A</v>
      </c>
      <c r="X246" t="str">
        <v>Alfonso Fonseca A</v>
      </c>
      <c r="Y246" t="str">
        <v>Se monetiza ya que el valor ofrecido por el banco en cada divisa es superior al valor facturado</v>
      </c>
      <c r="Z246" s="21">
        <f>K246*O246</f>
        <v>1109867.3040000002</v>
      </c>
      <c r="AA246" s="21">
        <f>Z246-Q246</f>
        <v>23364.935999999987</v>
      </c>
    </row>
    <row r="247" outlineLevel="1">
      <c r="B247">
        <v>216</v>
      </c>
      <c r="C247" t="str">
        <v>Oncehub</v>
      </c>
      <c r="D247" t="str">
        <v>FV-5-50</v>
      </c>
      <c r="E247" s="1">
        <v>45926</v>
      </c>
      <c r="F247" s="1">
        <v>45986</v>
      </c>
      <c r="J247" s="20">
        <f>IFERROR(IF(TODAY()&gt;=E242,(TODAY()-E242)/I242,0),0)*0</f>
        <v>0</v>
      </c>
      <c r="K247" s="5">
        <v>3100.93</v>
      </c>
      <c r="L247" s="5">
        <v>3082.6166822381615</v>
      </c>
      <c r="M247" s="5">
        <f>K247-L247</f>
        <v>18.313317761838334</v>
      </c>
      <c r="N247" s="21">
        <v>3804.28</v>
      </c>
      <c r="O247" s="21">
        <v>3886.09</v>
      </c>
      <c r="P247" s="21">
        <f>O247-N247</f>
        <v>81.80999999999995</v>
      </c>
      <c r="Q247" s="21">
        <f>K247*N247</f>
        <v>11796805.9804</v>
      </c>
      <c r="R247" s="21">
        <f>L247*O247</f>
        <v>11979325.862678897</v>
      </c>
      <c r="S247" s="21">
        <f>R247-Q247</f>
        <v>182519.88227889687</v>
      </c>
      <c r="T247" t="str">
        <f>IF(R247&lt;= Q247,"No Monetizar","Monetizar")</f>
        <v>Monetizar</v>
      </c>
      <c r="V247" s="1">
        <v>45926</v>
      </c>
      <c r="W247" t="str">
        <v>Alfonso Fonseca A</v>
      </c>
      <c r="X247" t="str">
        <v>Alfonso Fonseca A</v>
      </c>
      <c r="Y247" t="str">
        <v>Se monetiza ya que el valor ofrecido por el banco en cada divisa es superior al valor facturado</v>
      </c>
      <c r="Z247" s="21">
        <f>K247*O247</f>
        <v>12050493.0637</v>
      </c>
      <c r="AA247" s="21">
        <f>Z247-Q247</f>
        <v>253687.08330000006</v>
      </c>
    </row>
    <row r="248" outlineLevel="1" xml:space="preserve">
      <c r="B248">
        <v>217</v>
      </c>
      <c r="C248" t="str">
        <v>Insider</v>
      </c>
      <c r="D248" t="str">
        <v>FV-5-34</v>
      </c>
      <c r="E248" s="1">
        <v>45908</v>
      </c>
      <c r="F248" s="1">
        <v>45978</v>
      </c>
      <c r="J248" s="20">
        <f>IFERROR(IF(TODAY()&gt;=E243,(TODAY()-E243)/I243,0),0)*0</f>
        <v>0</v>
      </c>
      <c r="K248" s="5">
        <v>415.02</v>
      </c>
      <c r="L248" s="5">
        <v>410.02</v>
      </c>
      <c r="M248" s="5">
        <f>K248-L248</f>
        <v>5</v>
      </c>
      <c r="N248" s="21">
        <v>3891.31</v>
      </c>
      <c r="O248" s="21">
        <v>3897</v>
      </c>
      <c r="P248" s="21">
        <f>O248-N248</f>
        <v>5.690000000000055</v>
      </c>
      <c r="Q248" s="21">
        <f>K248*N248</f>
        <v>1614971.4762</v>
      </c>
      <c r="R248" s="21">
        <f>L248*O248</f>
        <v>1597847.94</v>
      </c>
      <c r="S248" s="21">
        <f>R248-Q248</f>
        <v>-17123.536199999973</v>
      </c>
      <c r="T248" t="str">
        <f>IF(R248&lt;= Q248,"No Monetizar","Monetizar")</f>
        <v>No Monetizar</v>
      </c>
      <c r="V248" s="1">
        <v>45926</v>
      </c>
      <c r="W248" t="str">
        <v>Alfonso Fonseca A</v>
      </c>
      <c r="X248" t="str">
        <v>Alfonso Fonseca A</v>
      </c>
      <c r="Y248" t="str" xml:space="preserve">
        <v xml:space="preserve">Se ha decidido monetizar estas divisas a pesar de que el valor recibido está por debajo del monto facturado ya que la  la trm no ha estado por encima de ese valor y se requiere el dinero para pago de nómina para el viernes 26 de septiembre_x000d_
_x000d_
</v>
      </c>
      <c r="Z248" s="21">
        <f>K248*O248</f>
        <v>1617332.94</v>
      </c>
      <c r="AA248" s="21">
        <f>Z248-Q248</f>
        <v>2361.463800000027</v>
      </c>
    </row>
    <row r="249" outlineLevel="1">
      <c r="B249">
        <v>218</v>
      </c>
      <c r="C249" t="str">
        <v>Europortage</v>
      </c>
      <c r="D249">
        <v>6292</v>
      </c>
      <c r="E249" s="1">
        <v>45929</v>
      </c>
      <c r="F249" s="1">
        <v>45989</v>
      </c>
      <c r="J249" s="20">
        <f>IFERROR(IF(TODAY()&gt;=E244,(TODAY()-E244)/I244,0),0)*0</f>
        <v>0</v>
      </c>
      <c r="K249" s="5">
        <v>238</v>
      </c>
      <c r="L249" s="5">
        <v>235.83340919435594</v>
      </c>
      <c r="M249" s="5">
        <f>K249-L249</f>
        <v>2.166590805644063</v>
      </c>
      <c r="N249" s="21">
        <v>3780.64</v>
      </c>
      <c r="O249" s="21">
        <v>3905</v>
      </c>
      <c r="P249" s="21">
        <f>O249-N249</f>
        <v>124.36000000000013</v>
      </c>
      <c r="Q249" s="21">
        <f>K249*N249</f>
        <v>899792.32</v>
      </c>
      <c r="R249" s="21">
        <f>L249*O249</f>
        <v>920929.4629039599</v>
      </c>
      <c r="S249" s="21">
        <f>R249-Q249</f>
        <v>21137.14290395996</v>
      </c>
      <c r="T249" t="str">
        <f>IF(R249&lt;= Q249,"No Monetizar","Monetizar")</f>
        <v>Monetizar</v>
      </c>
      <c r="V249" s="1">
        <v>45930</v>
      </c>
      <c r="W249" t="str">
        <v>Alfonso Fonseca A</v>
      </c>
      <c r="X249" t="str">
        <v>Alfonso Fonseca A</v>
      </c>
      <c r="Y249" t="str">
        <v>Se monetiza ya que el valor ofrecido por el banco en cada divisa es superior al valor facturado</v>
      </c>
      <c r="Z249" s="21">
        <f>K249*O249</f>
        <v>929390</v>
      </c>
      <c r="AA249" s="21">
        <f>Z249-Q249</f>
        <v>29597.68000000005</v>
      </c>
    </row>
    <row r="250" outlineLevel="1">
      <c r="B250">
        <v>219</v>
      </c>
      <c r="C250" t="str">
        <v>Europortage</v>
      </c>
      <c r="D250" t="str">
        <v>FV-5-48</v>
      </c>
      <c r="E250" s="1">
        <v>45929</v>
      </c>
      <c r="F250" s="1">
        <v>45989</v>
      </c>
      <c r="J250" s="20">
        <f>IFERROR(IF(TODAY()&gt;=E245,(TODAY()-E245)/I245,0),0)*0</f>
        <v>0</v>
      </c>
      <c r="K250" s="5">
        <v>1739.3</v>
      </c>
      <c r="L250" s="5">
        <v>1723.466590805644</v>
      </c>
      <c r="M250" s="5">
        <f>K250-L250</f>
        <v>15.833409194355909</v>
      </c>
      <c r="N250" s="21">
        <v>3780.64</v>
      </c>
      <c r="O250" s="21">
        <v>3905</v>
      </c>
      <c r="P250" s="21">
        <f>O250-N250</f>
        <v>124.36000000000013</v>
      </c>
      <c r="Q250" s="21">
        <f>K250*N250</f>
        <v>6575667.152</v>
      </c>
      <c r="R250" s="21">
        <f>L250*O250</f>
        <v>6730137.03709604</v>
      </c>
      <c r="S250" s="21">
        <f>R250-Q250</f>
        <v>154469.88509604055</v>
      </c>
      <c r="T250" t="str">
        <f>IF(R250&lt;= Q250,"No Monetizar","Monetizar")</f>
        <v>Monetizar</v>
      </c>
      <c r="V250" s="1">
        <v>45930</v>
      </c>
      <c r="W250" t="str">
        <v>Alfonso Fonseca A</v>
      </c>
      <c r="X250" t="str">
        <v>Alfonso Fonseca A</v>
      </c>
      <c r="Y250" t="str">
        <v>Se monetiza ya que el valor ofrecido por el banco en cada divisa es superior al valor facturado</v>
      </c>
      <c r="Z250" s="21">
        <f>K250*O250</f>
        <v>6791966.5</v>
      </c>
      <c r="AA250" s="21">
        <f>Z250-Q250</f>
        <v>216299.34800000023</v>
      </c>
    </row>
    <row r="251" outlineLevel="1">
      <c r="B251">
        <v>220</v>
      </c>
      <c r="C251" t="str">
        <v>Insider</v>
      </c>
      <c r="D251">
        <v>6319</v>
      </c>
      <c r="E251" s="1">
        <v>45930</v>
      </c>
      <c r="F251" s="1">
        <v>45990</v>
      </c>
      <c r="J251" s="20">
        <f>IFERROR(IF(TODAY()&gt;=E246,(TODAY()-E246)/I246,0),0)*0</f>
        <v>0</v>
      </c>
      <c r="K251" s="5">
        <v>5426.4</v>
      </c>
      <c r="L251" s="5">
        <v>5425.690990432256</v>
      </c>
      <c r="M251" s="5">
        <f>K251-L251</f>
        <v>0.7090095677440331</v>
      </c>
      <c r="N251" s="21">
        <v>3790.88</v>
      </c>
      <c r="O251" s="21">
        <v>3908</v>
      </c>
      <c r="P251" s="21">
        <f>O251-N251</f>
        <v>117.11999999999989</v>
      </c>
      <c r="Q251" s="21">
        <f>K251*N251</f>
        <v>20570831.232</v>
      </c>
      <c r="R251" s="21">
        <f>L251*O251</f>
        <v>21203600.390609253</v>
      </c>
      <c r="S251" s="21">
        <f>R251-Q251</f>
        <v>632769.1586092524</v>
      </c>
      <c r="T251" t="str">
        <f>IF(R251&lt;= Q251,"No Monetizar","Monetizar")</f>
        <v>Monetizar</v>
      </c>
      <c r="V251" s="1">
        <v>45930</v>
      </c>
      <c r="W251" t="str">
        <v>Alfonso Fonseca A</v>
      </c>
      <c r="X251" t="str">
        <v>Alfonso Fonseca A</v>
      </c>
      <c r="Y251" t="str">
        <v>Se monetiza ya que el valor ofrecido por el banco en cada divisa es superior al valor facturado</v>
      </c>
      <c r="Z251" s="21">
        <f>K251*O251</f>
        <v>21206371.2</v>
      </c>
      <c r="AA251" s="21">
        <f>Z251-Q251</f>
        <v>635539.9679999985</v>
      </c>
    </row>
    <row r="252" outlineLevel="1">
      <c r="B252">
        <v>221</v>
      </c>
      <c r="C252" t="str">
        <v>Insider</v>
      </c>
      <c r="D252" t="str">
        <v>FV-5-58</v>
      </c>
      <c r="E252" s="1">
        <v>45930</v>
      </c>
      <c r="F252" s="1">
        <v>45990</v>
      </c>
      <c r="J252" s="20">
        <f>IFERROR(IF(TODAY()&gt;=E247,(TODAY()-E247)/I247,0),0)*0</f>
        <v>0</v>
      </c>
      <c r="K252" s="5">
        <v>109376</v>
      </c>
      <c r="L252" s="5">
        <v>109361.70900956774</v>
      </c>
      <c r="M252" s="5">
        <f>K252-L252</f>
        <v>14.290990432258695</v>
      </c>
      <c r="N252" s="21">
        <v>3790.88</v>
      </c>
      <c r="O252" s="21">
        <v>3908</v>
      </c>
      <c r="P252" s="21">
        <f>O252-N252</f>
        <v>117.11999999999989</v>
      </c>
      <c r="Q252" s="21">
        <f>K252*N252</f>
        <v>414631290.88</v>
      </c>
      <c r="R252" s="21">
        <f>L252*O252</f>
        <v>427385558.8093907</v>
      </c>
      <c r="S252" s="21">
        <f>R252-Q252</f>
        <v>12754267.929390728</v>
      </c>
      <c r="T252" t="str">
        <f>IF(R252&lt;= Q252,"No Monetizar","Monetizar")</f>
        <v>Monetizar</v>
      </c>
      <c r="V252" s="1">
        <v>45930</v>
      </c>
      <c r="W252" t="str">
        <v>Alfonso Fonseca A</v>
      </c>
      <c r="X252" t="str">
        <v>Alfonso Fonseca A</v>
      </c>
      <c r="Y252" t="str">
        <v>Se monetiza ya que el valor ofrecido por el banco en cada divisa es superior al valor facturado</v>
      </c>
      <c r="Z252" s="21">
        <f>K252*O252</f>
        <v>427441408</v>
      </c>
      <c r="AA252" s="21">
        <f>Z252-Q252</f>
        <v>12810117.120000005</v>
      </c>
    </row>
    <row r="253" outlineLevel="1">
      <c r="B253">
        <v>222</v>
      </c>
      <c r="C253" t="str">
        <v xml:space="preserve">Neo </v>
      </c>
      <c r="D253" t="str">
        <v>FV-5-58</v>
      </c>
      <c r="E253" s="1">
        <v>45931</v>
      </c>
      <c r="F253" s="1">
        <v>45991</v>
      </c>
      <c r="J253" s="20">
        <f>IFERROR(IF(TODAY()&gt;=E248,(TODAY()-E248)/I248,0),0)*0</f>
        <v>0</v>
      </c>
      <c r="K253" s="5">
        <v>6562.17</v>
      </c>
      <c r="L253" s="5">
        <v>6506.17</v>
      </c>
      <c r="M253" s="5">
        <f>K253-L253</f>
        <v>56</v>
      </c>
      <c r="N253" s="21">
        <v>3763.61</v>
      </c>
      <c r="O253" s="21">
        <v>3872.5</v>
      </c>
      <c r="P253" s="21">
        <f>O253-N253</f>
        <v>108.88999999999987</v>
      </c>
      <c r="Q253" s="21">
        <f>K253*N253</f>
        <v>24697448.633700002</v>
      </c>
      <c r="R253" s="21">
        <f>L253*O253</f>
        <v>25195143.325</v>
      </c>
      <c r="S253" s="21">
        <f>R253-Q253</f>
        <v>497694.69129999727</v>
      </c>
      <c r="T253" t="str">
        <f>IF(R253&lt;= Q253,"No Monetizar","Monetizar")</f>
        <v>Monetizar</v>
      </c>
      <c r="V253" s="1">
        <v>45931</v>
      </c>
      <c r="W253" t="str">
        <v>Alfonso Fonseca A</v>
      </c>
      <c r="X253" t="str">
        <v>Alfonso Fonseca A</v>
      </c>
      <c r="Y253" t="str">
        <v>Se monetiza ya que el valor ofrecido por el banco en cada divisa es superior al valor facturado</v>
      </c>
      <c r="Z253" s="21">
        <f>K253*O253</f>
        <v>25412003.325</v>
      </c>
      <c r="AA253" s="21">
        <f>Z253-Q253</f>
        <v>714554.6912999973</v>
      </c>
    </row>
    <row r="254" outlineLevel="1">
      <c r="B254">
        <v>223</v>
      </c>
      <c r="C254" t="str">
        <v>Hemmebarsch GMBH &amp; Co KG</v>
      </c>
      <c r="D254" t="str">
        <v>FV-4-6288</v>
      </c>
      <c r="E254" s="1">
        <v>45932</v>
      </c>
      <c r="F254" s="1">
        <v>45992</v>
      </c>
      <c r="J254" s="20">
        <f>IFERROR(IF(TODAY()&gt;=E249,(TODAY()-E249)/I249,0),0)*0</f>
        <v>0</v>
      </c>
      <c r="K254" s="5">
        <v>112.54</v>
      </c>
      <c r="L254" s="5">
        <v>112.54</v>
      </c>
      <c r="M254" s="5">
        <f>K254-L254</f>
        <v>0</v>
      </c>
      <c r="N254" s="21">
        <v>3789.05</v>
      </c>
      <c r="O254" s="21">
        <v>3866</v>
      </c>
      <c r="P254" s="21">
        <f>O254-N254</f>
        <v>76.94999999999982</v>
      </c>
      <c r="Q254" s="21">
        <f>K254*N254</f>
        <v>426419.68700000003</v>
      </c>
      <c r="R254" s="21">
        <f>L254*O254</f>
        <v>435079.64</v>
      </c>
      <c r="S254" s="21">
        <f>R254-Q254</f>
        <v>8659.95299999998</v>
      </c>
      <c r="T254" t="str">
        <f>IF(R254&lt;= Q254,"No Monetizar","Monetizar")</f>
        <v>Monetizar</v>
      </c>
      <c r="V254" s="1">
        <v>45933</v>
      </c>
      <c r="W254" t="str">
        <v>Alfonso Fonseca A</v>
      </c>
      <c r="X254" t="str">
        <v>Alfonso Fonseca A</v>
      </c>
      <c r="Y254" t="str">
        <v>Se monetiza ya que el valor ofrecido por el banco en cada divisa es superior al valor facturado</v>
      </c>
      <c r="Z254" s="21">
        <f>K254*O254</f>
        <v>435079.64</v>
      </c>
      <c r="AA254" s="21">
        <f>Z254-Q254</f>
        <v>8659.95299999998</v>
      </c>
    </row>
    <row r="255" outlineLevel="1">
      <c r="B255">
        <v>224</v>
      </c>
      <c r="C255" t="str">
        <v>Hemmebarsch GMBH &amp; Co KG</v>
      </c>
      <c r="D255" t="str">
        <v>FV-5-43</v>
      </c>
      <c r="E255" s="1">
        <v>45932</v>
      </c>
      <c r="F255" s="1">
        <v>45992</v>
      </c>
      <c r="J255" s="20">
        <f>IFERROR(IF(TODAY()&gt;=E250,(TODAY()-E250)/I250,0),0)*0</f>
        <v>0</v>
      </c>
      <c r="K255" s="5">
        <v>1125.42</v>
      </c>
      <c r="L255" s="5">
        <v>1125.42</v>
      </c>
      <c r="M255" s="5">
        <f>K255-L255</f>
        <v>0</v>
      </c>
      <c r="N255" s="21">
        <v>3789.05</v>
      </c>
      <c r="O255" s="21">
        <v>3866</v>
      </c>
      <c r="P255" s="21">
        <f>O255-N255</f>
        <v>76.94999999999982</v>
      </c>
      <c r="Q255" s="21">
        <f>K255*N255</f>
        <v>4264272.651000001</v>
      </c>
      <c r="R255" s="21">
        <f>L255*O255</f>
        <v>4350873.720000001</v>
      </c>
      <c r="S255" s="21">
        <f>R255-Q255</f>
        <v>86601.06900000013</v>
      </c>
      <c r="T255" t="str">
        <f>IF(R255&lt;= Q255,"No Monetizar","Monetizar")</f>
        <v>Monetizar</v>
      </c>
      <c r="V255" s="1">
        <v>45933</v>
      </c>
      <c r="W255" t="str">
        <v>Alfonso Fonseca A</v>
      </c>
      <c r="X255" t="str">
        <v>Alfonso Fonseca A</v>
      </c>
      <c r="Y255" t="str">
        <v>Se monetiza ya que el valor ofrecido por el banco en cada divisa es superior al valor facturado</v>
      </c>
      <c r="Z255" s="21">
        <f>K255*O255</f>
        <v>4350873.720000001</v>
      </c>
      <c r="AA255" s="21">
        <f>Z255-Q255</f>
        <v>86601.06900000013</v>
      </c>
    </row>
    <row r="256" outlineLevel="1">
      <c r="B256">
        <v>225</v>
      </c>
      <c r="C256" t="str">
        <v>Endrington</v>
      </c>
      <c r="D256">
        <v>6290</v>
      </c>
      <c r="E256" s="1">
        <v>45937</v>
      </c>
      <c r="F256" s="1">
        <v>45996</v>
      </c>
      <c r="J256" s="20">
        <f>IFERROR(IF(TODAY()&gt;=E256,(TODAY()-E256)/I256,0),0)</f>
        <v>0</v>
      </c>
      <c r="K256" s="5">
        <v>401.92</v>
      </c>
      <c r="L256" s="5">
        <v>401.92</v>
      </c>
      <c r="M256" s="5">
        <f>K256-L256</f>
        <v>0</v>
      </c>
      <c r="N256" s="21">
        <v>3789.05</v>
      </c>
      <c r="O256" s="21">
        <v>3850</v>
      </c>
      <c r="P256" s="21">
        <f>O256-N256</f>
        <v>60.94999999999982</v>
      </c>
      <c r="Q256" s="21">
        <f>K256*N256</f>
        <v>1522894.976</v>
      </c>
      <c r="R256" s="21">
        <f>L256*O256</f>
        <v>1547392</v>
      </c>
      <c r="S256" s="21">
        <f>R256-Q256</f>
        <v>24497.023999999976</v>
      </c>
      <c r="T256" t="str">
        <f>IF(R256&lt;= Q256,"No Monetizar","Monetizar")</f>
        <v>Monetizar</v>
      </c>
      <c r="V256" s="1">
        <v>45937</v>
      </c>
      <c r="W256" t="str">
        <v>Julieth Bonilla</v>
      </c>
      <c r="X256" t="str">
        <v>Yuly Peña</v>
      </c>
      <c r="Y256" t="str">
        <v>Se monetiza ya que el valor ofrecido por el banco en cada divisa es superior al valor facturado</v>
      </c>
      <c r="Z256" s="21">
        <f>K256*O256</f>
        <v>1547392</v>
      </c>
      <c r="AA256" s="21">
        <f>Z256-Q256</f>
        <v>24497.023999999976</v>
      </c>
    </row>
    <row r="257" outlineLevel="1">
      <c r="B257">
        <v>226</v>
      </c>
      <c r="C257" t="str">
        <v>Endrington</v>
      </c>
      <c r="D257" t="str">
        <v>FV-5-45</v>
      </c>
      <c r="E257" s="1">
        <v>45937</v>
      </c>
      <c r="F257" s="1">
        <v>45996</v>
      </c>
      <c r="J257" s="20">
        <f>IFERROR(IF(TODAY()&gt;=E257,(TODAY()-E257)/I257,0),0)</f>
        <v>0</v>
      </c>
      <c r="K257" s="5">
        <v>10899.62</v>
      </c>
      <c r="L257" s="5">
        <v>10899.62</v>
      </c>
      <c r="M257" s="5">
        <f>K257-L257</f>
        <v>0</v>
      </c>
      <c r="N257" s="21">
        <v>3789.05</v>
      </c>
      <c r="O257" s="21">
        <f>O256</f>
        <v>3850</v>
      </c>
      <c r="P257" s="21">
        <f>O257-N257</f>
        <v>60.94999999999982</v>
      </c>
      <c r="Q257" s="21">
        <f>K257*N257</f>
        <v>41299205.161000006</v>
      </c>
      <c r="R257" s="21">
        <f>L257*O257</f>
        <v>41963537</v>
      </c>
      <c r="S257" s="21">
        <f>R257-Q257</f>
        <v>664331.8389999941</v>
      </c>
      <c r="T257" t="str">
        <f>IF(R257&lt;= Q257,"No Monetizar","Monetizar")</f>
        <v>Monetizar</v>
      </c>
      <c r="V257" s="1">
        <v>45937</v>
      </c>
      <c r="W257" t="str">
        <v>Julieth Bonilla</v>
      </c>
      <c r="X257" t="str">
        <v>Yuly Peña</v>
      </c>
      <c r="Y257" t="str">
        <v>Se monetiza ya que el valor ofrecido por el banco en cada divisa es superior al valor facturado</v>
      </c>
      <c r="Z257" s="21">
        <f>K257*O257</f>
        <v>41963537</v>
      </c>
      <c r="AA257" s="21">
        <f>Z257-Q257</f>
        <v>664331.8389999941</v>
      </c>
    </row>
    <row r="258" outlineLevel="1">
      <c r="B258">
        <v>227</v>
      </c>
      <c r="C258" t="str">
        <v>Endrington</v>
      </c>
      <c r="D258">
        <v>6339</v>
      </c>
      <c r="E258" s="1">
        <v>45937</v>
      </c>
      <c r="F258" s="1">
        <v>45996</v>
      </c>
      <c r="J258" s="20">
        <f>IFERROR(IF(TODAY()&gt;=E258,(TODAY()-E258)/I258,0),0)</f>
        <v>0</v>
      </c>
      <c r="K258" s="5">
        <v>197.61</v>
      </c>
      <c r="L258" s="5">
        <v>197.61</v>
      </c>
      <c r="M258" s="5">
        <f>K258-L258</f>
        <v>0</v>
      </c>
      <c r="N258" s="21">
        <v>3789.05</v>
      </c>
      <c r="O258" s="21">
        <f>O257</f>
        <v>3850</v>
      </c>
      <c r="P258" s="21">
        <f>O258-N258</f>
        <v>60.94999999999982</v>
      </c>
      <c r="Q258" s="21">
        <f>K258*N258</f>
        <v>748754.1705000001</v>
      </c>
      <c r="R258" s="21">
        <f>L258*O258</f>
        <v>760798.5</v>
      </c>
      <c r="S258" s="21">
        <f>R258-Q258</f>
        <v>12044.329499999876</v>
      </c>
      <c r="T258" t="str">
        <f>IF(R258&lt;= Q258,"No Monetizar","Monetizar")</f>
        <v>Monetizar</v>
      </c>
      <c r="V258" s="1">
        <v>45937</v>
      </c>
      <c r="W258" t="str">
        <v>Julieth Bonilla</v>
      </c>
      <c r="X258" t="str">
        <v>Yuly Peña</v>
      </c>
      <c r="Y258" t="str">
        <v>Se monetiza ya que el valor ofrecido por el banco en cada divisa es superior al valor facturado</v>
      </c>
      <c r="Z258" s="21">
        <f>K258*O258</f>
        <v>760798.5</v>
      </c>
      <c r="AA258" s="21">
        <f>Z258-Q258</f>
        <v>12044.329499999876</v>
      </c>
    </row>
    <row r="259" outlineLevel="1">
      <c r="B259">
        <v>228</v>
      </c>
      <c r="C259" t="str">
        <v>Europortage</v>
      </c>
      <c r="D259" t="str">
        <v>FV-5-62</v>
      </c>
      <c r="E259" s="1">
        <v>45937</v>
      </c>
      <c r="F259" s="1">
        <v>45997</v>
      </c>
      <c r="J259" s="20">
        <f>IFERROR(IF(TODAY()&gt;=E259,(TODAY()-E259)/I259,0),0)</f>
        <v>0</v>
      </c>
      <c r="K259" s="5">
        <v>1160.16</v>
      </c>
      <c r="L259" s="5">
        <v>1160.16</v>
      </c>
      <c r="M259" s="5">
        <f>K259-L259</f>
        <v>0</v>
      </c>
      <c r="N259" s="21">
        <v>3780.64</v>
      </c>
      <c r="O259" s="21">
        <v>3864</v>
      </c>
      <c r="P259" s="21">
        <f>O259-N259</f>
        <v>83.36000000000013</v>
      </c>
      <c r="Q259" s="21">
        <f>K259*N259</f>
        <v>4386147.3024</v>
      </c>
      <c r="R259" s="21">
        <f>L259*O259</f>
        <v>4482858.24</v>
      </c>
      <c r="S259" s="21">
        <f>R259-Q259</f>
        <v>96710.93759999983</v>
      </c>
      <c r="T259" t="str">
        <f>IF(R259&lt;= Q259,"No Monetizar","Monetizar")</f>
        <v>Monetizar</v>
      </c>
      <c r="V259" s="1">
        <v>45946</v>
      </c>
      <c r="W259" t="str">
        <v>Alfonso Fonseca A</v>
      </c>
      <c r="X259" t="str">
        <v>Alfonso Fonseca A</v>
      </c>
      <c r="Y259" t="str">
        <v>Se monetiza ya que el valor ofrecido por el banco en cada divisa es superior al valor facturado</v>
      </c>
      <c r="Z259" s="21">
        <f>K259*O259</f>
        <v>4482858.24</v>
      </c>
      <c r="AA259" s="21">
        <f>Z259-Q259</f>
        <v>96710.93759999983</v>
      </c>
    </row>
    <row r="260" outlineLevel="1">
      <c r="B260">
        <v>229</v>
      </c>
      <c r="C260" t="str">
        <v>Equus Global Expansion, LLC</v>
      </c>
      <c r="D260">
        <v>6342</v>
      </c>
      <c r="E260" s="1">
        <v>45944</v>
      </c>
      <c r="F260" s="1">
        <v>46004</v>
      </c>
      <c r="J260" s="20">
        <f>IFERROR(IF(TODAY()&gt;=E260,(TODAY()-E260)/I260,0),0)</f>
        <v>0</v>
      </c>
      <c r="K260" s="5">
        <v>238</v>
      </c>
      <c r="L260" s="5">
        <v>238</v>
      </c>
      <c r="M260" s="5">
        <f>K260-L260</f>
        <v>0</v>
      </c>
      <c r="N260" s="21">
        <v>3763.41</v>
      </c>
      <c r="O260" s="21">
        <v>3855</v>
      </c>
      <c r="P260" s="21">
        <f>O260-N260</f>
        <v>91.59000000000015</v>
      </c>
      <c r="Q260" s="21">
        <f>K260*N260</f>
        <v>895691.58</v>
      </c>
      <c r="R260" s="21">
        <f>L260*O260</f>
        <v>917490</v>
      </c>
      <c r="S260" s="21">
        <f>R260-Q260</f>
        <v>21798.420000000042</v>
      </c>
      <c r="T260" t="str">
        <f>IF(R260&lt;= Q260,"No Monetizar","Monetizar")</f>
        <v>Monetizar</v>
      </c>
      <c r="V260" s="1">
        <v>45946</v>
      </c>
      <c r="W260" t="str">
        <v>Alfonso Fonseca A</v>
      </c>
      <c r="X260" t="str">
        <v>Alfonso Fonseca A</v>
      </c>
      <c r="Y260" t="str">
        <v>Se monetiza ya que el valor ofrecido por el banco en cada divisa es superior al valor facturado</v>
      </c>
      <c r="Z260" s="21">
        <f>K260*O260</f>
        <v>917490</v>
      </c>
      <c r="AA260" s="21">
        <f>Z260-Q260</f>
        <v>21798.420000000042</v>
      </c>
    </row>
    <row r="261" outlineLevel="1">
      <c r="B261">
        <v>230</v>
      </c>
      <c r="C261" t="str">
        <v>Equus Global Expansion, LLC</v>
      </c>
      <c r="D261" t="str">
        <v>FV-5-65</v>
      </c>
      <c r="E261" s="1">
        <v>45944</v>
      </c>
      <c r="F261" s="1">
        <v>46004</v>
      </c>
      <c r="J261" s="20">
        <f>IFERROR(IF(TODAY()&gt;=E261,(TODAY()-E261)/I261,0),0)</f>
        <v>0</v>
      </c>
      <c r="K261" s="5">
        <v>1187.24</v>
      </c>
      <c r="L261" s="5">
        <v>1187.24</v>
      </c>
      <c r="M261" s="5">
        <f>K261-L261</f>
        <v>0</v>
      </c>
      <c r="N261" s="21">
        <v>3763.41</v>
      </c>
      <c r="O261" s="21">
        <v>3855</v>
      </c>
      <c r="P261" s="21">
        <f>O261-N261</f>
        <v>91.59000000000015</v>
      </c>
      <c r="Q261" s="21">
        <f>K261*N261</f>
        <v>4468070.8884</v>
      </c>
      <c r="R261" s="21">
        <f>L261*O261</f>
        <v>4576810.2</v>
      </c>
      <c r="S261" s="21">
        <f>R261-Q261</f>
        <v>108739.3116000006</v>
      </c>
      <c r="T261" t="str">
        <f>IF(R261&lt;= Q261,"No Monetizar","Monetizar")</f>
        <v>Monetizar</v>
      </c>
      <c r="V261" s="1">
        <v>45946</v>
      </c>
      <c r="W261" t="str">
        <v>Alfonso Fonseca A</v>
      </c>
      <c r="X261" t="str">
        <v>Alfonso Fonseca A</v>
      </c>
      <c r="Y261" t="str">
        <v>Se monetiza ya que el valor ofrecido por el banco en cada divisa es superior al valor facturado</v>
      </c>
      <c r="Z261" s="21">
        <f>K261*O261</f>
        <v>4576810.2</v>
      </c>
      <c r="AA261" s="21">
        <f>Z261-Q261</f>
        <v>108739.3116000006</v>
      </c>
    </row>
    <row r="262" outlineLevel="1">
      <c r="B262">
        <v>231</v>
      </c>
      <c r="C262" t="str">
        <v>Hemmebarsch GMBH &amp; Co KG</v>
      </c>
      <c r="D262">
        <v>6287</v>
      </c>
      <c r="E262" s="1">
        <v>45945</v>
      </c>
      <c r="F262" s="1">
        <v>46003</v>
      </c>
      <c r="J262" s="20">
        <f>IFERROR(IF(TODAY()&gt;=E262,(TODAY()-E262)/I262,0),0)</f>
        <v>0</v>
      </c>
      <c r="K262" s="5">
        <v>180.15</v>
      </c>
      <c r="L262" s="5">
        <v>180.15</v>
      </c>
      <c r="M262" s="5">
        <f>K262-L262</f>
        <v>0</v>
      </c>
      <c r="N262" s="21">
        <v>3789.05</v>
      </c>
      <c r="O262" s="21">
        <v>3843.5</v>
      </c>
      <c r="P262" s="21">
        <f>O262-N262</f>
        <v>54.44999999999982</v>
      </c>
      <c r="Q262" s="21">
        <f>K262*N262</f>
        <v>682597.3575</v>
      </c>
      <c r="R262" s="21">
        <f>L262*O262</f>
        <v>692406.525</v>
      </c>
      <c r="S262" s="21">
        <f>R262-Q262</f>
        <v>9809.167499999981</v>
      </c>
      <c r="T262" t="str">
        <f>IF(R262&lt;= Q262,"No Monetizar","Monetizar")</f>
        <v>Monetizar</v>
      </c>
      <c r="V262" s="1">
        <v>45946</v>
      </c>
      <c r="W262" t="str">
        <v>Alfonso Fonseca A</v>
      </c>
      <c r="X262" t="str">
        <v>Alfonso Fonseca A</v>
      </c>
      <c r="Y262" t="str">
        <v>Se monetiza ya que el valor ofrecido por el banco en cada divisa es superior al valor facturado</v>
      </c>
      <c r="Z262" s="21">
        <f>K262*O262</f>
        <v>692406.525</v>
      </c>
      <c r="AA262" s="21">
        <f>Z262-Q262</f>
        <v>9809.167499999981</v>
      </c>
    </row>
    <row r="263" outlineLevel="1">
      <c r="B263">
        <v>232</v>
      </c>
      <c r="C263" t="str">
        <v>Hemmebarsch GMBH &amp; Co KG</v>
      </c>
      <c r="D263" t="str">
        <v>FV-5-42</v>
      </c>
      <c r="E263" s="1">
        <v>45945</v>
      </c>
      <c r="F263" s="1">
        <v>46003</v>
      </c>
      <c r="J263" s="20">
        <f>IFERROR(IF(TODAY()&gt;=E263,(TODAY()-E263)/I263,0),0)</f>
        <v>0</v>
      </c>
      <c r="K263" s="5">
        <v>1801.5</v>
      </c>
      <c r="L263" s="5">
        <v>1801.5</v>
      </c>
      <c r="M263" s="5">
        <f>K263-L263</f>
        <v>0</v>
      </c>
      <c r="N263" s="21">
        <v>3789.05</v>
      </c>
      <c r="O263" s="21">
        <v>3843.5</v>
      </c>
      <c r="P263" s="21">
        <f>O263-N263</f>
        <v>54.44999999999982</v>
      </c>
      <c r="Q263" s="21">
        <f>K263*N263</f>
        <v>6825973.575</v>
      </c>
      <c r="R263" s="21">
        <f>L263*O263</f>
        <v>6924065.25</v>
      </c>
      <c r="S263" s="21">
        <f>R263-Q263</f>
        <v>98091.67499999981</v>
      </c>
      <c r="T263" t="str">
        <f>IF(R263&lt;= Q263,"No Monetizar","Monetizar")</f>
        <v>Monetizar</v>
      </c>
      <c r="V263" s="1">
        <v>45946</v>
      </c>
      <c r="W263" t="str">
        <v>Alfonso Fonseca A</v>
      </c>
      <c r="X263" t="str">
        <v>Alfonso Fonseca A</v>
      </c>
      <c r="Y263" t="str">
        <v>Se monetiza ya que el valor ofrecido por el banco en cada divisa es superior al valor facturado</v>
      </c>
      <c r="Z263" s="21">
        <f>K263*O263</f>
        <v>6924065.25</v>
      </c>
      <c r="AA263" s="21">
        <f>Z263-Q263</f>
        <v>98091.67499999981</v>
      </c>
    </row>
    <row r="264" outlineLevel="1">
      <c r="B264">
        <v>233</v>
      </c>
      <c r="C264" t="str">
        <v>Marketing Doctors</v>
      </c>
      <c r="D264">
        <v>6346</v>
      </c>
      <c r="E264" s="1">
        <v>45945</v>
      </c>
      <c r="F264" s="1">
        <v>46003</v>
      </c>
      <c r="J264" s="20">
        <f>IFERROR(IF(TODAY()&gt;=E264,(TODAY()-E264)/I264,0),0)</f>
        <v>0</v>
      </c>
      <c r="K264" s="5">
        <v>63.43</v>
      </c>
      <c r="L264" s="5">
        <v>63.43</v>
      </c>
      <c r="M264" s="5">
        <f>K264-L264</f>
        <v>0</v>
      </c>
      <c r="N264" s="21">
        <v>3763.41</v>
      </c>
      <c r="O264" s="21">
        <v>3847.5</v>
      </c>
      <c r="P264" s="21">
        <f>O264-N264</f>
        <v>84.09000000000015</v>
      </c>
      <c r="Q264" s="21">
        <f>K264*N264</f>
        <v>238713.09629999998</v>
      </c>
      <c r="R264" s="21">
        <f>L264*O264</f>
        <v>244046.925</v>
      </c>
      <c r="S264" s="21">
        <f>R264-Q264</f>
        <v>5333.828700000013</v>
      </c>
      <c r="T264" t="str">
        <f>IF(R264&lt;= Q264,"No Monetizar","Monetizar")</f>
        <v>Monetizar</v>
      </c>
      <c r="V264" s="1">
        <v>45946</v>
      </c>
      <c r="W264" t="str">
        <v>Alfonso Fonseca A</v>
      </c>
      <c r="X264" t="str">
        <v>Alfonso Fonseca A</v>
      </c>
      <c r="Y264" t="str">
        <v>Se monetiza ya que el valor ofrecido por el banco en cada divisa es superior al valor facturado</v>
      </c>
      <c r="Z264" s="21">
        <f>K264*O264</f>
        <v>244046.925</v>
      </c>
      <c r="AA264" s="21">
        <f>Z264-Q264</f>
        <v>5333.828700000013</v>
      </c>
    </row>
    <row r="265" outlineLevel="1">
      <c r="B265">
        <v>234</v>
      </c>
      <c r="C265" t="str">
        <v>Marketing Doctors</v>
      </c>
      <c r="D265" t="str">
        <v>FV-5-69</v>
      </c>
      <c r="E265" s="1">
        <v>45945</v>
      </c>
      <c r="F265" s="1">
        <v>46003</v>
      </c>
      <c r="J265" s="20">
        <f>IFERROR(IF(TODAY()&gt;=E265,(TODAY()-E265)/I265,0),0)</f>
        <v>0</v>
      </c>
      <c r="K265" s="5">
        <v>576.65</v>
      </c>
      <c r="L265" s="5">
        <v>576.65</v>
      </c>
      <c r="M265" s="5">
        <f>K265-L265</f>
        <v>0</v>
      </c>
      <c r="N265" s="21">
        <v>3763.41</v>
      </c>
      <c r="O265" s="21">
        <v>3847.5</v>
      </c>
      <c r="P265" s="21">
        <f>O265-N265</f>
        <v>84.09000000000015</v>
      </c>
      <c r="Q265" s="21">
        <f>K265*N265</f>
        <v>2170170.3765</v>
      </c>
      <c r="R265" s="21">
        <f>L265*O265</f>
        <v>2218660.875</v>
      </c>
      <c r="S265" s="21">
        <f>R265-Q265</f>
        <v>48490.49850000022</v>
      </c>
      <c r="T265" t="str">
        <f>IF(R265&lt;= Q265,"No Monetizar","Monetizar")</f>
        <v>Monetizar</v>
      </c>
      <c r="V265" s="1">
        <v>45946</v>
      </c>
      <c r="W265" t="str">
        <v>Alfonso Fonseca A</v>
      </c>
      <c r="X265" t="str">
        <v>Alfonso Fonseca A</v>
      </c>
      <c r="Y265" t="str">
        <v>Se monetiza ya que el valor ofrecido por el banco en cada divisa es superior al valor facturado</v>
      </c>
      <c r="Z265" s="21">
        <f>K265*O265</f>
        <v>2218660.875</v>
      </c>
      <c r="AA265" s="21">
        <f>Z265-Q265</f>
        <v>48490.49850000022</v>
      </c>
    </row>
    <row r="266" outlineLevel="1">
      <c r="B266">
        <v>235</v>
      </c>
      <c r="C266" t="str">
        <v>Nazdar ink technologies</v>
      </c>
      <c r="D266">
        <v>6346</v>
      </c>
      <c r="E266" s="1">
        <v>45946</v>
      </c>
      <c r="F266" s="1">
        <v>46006</v>
      </c>
      <c r="J266" s="20">
        <f>IFERROR(IF(TODAY()&gt;=E266,(TODAY()-E266)/I266,0),0)</f>
        <v>0</v>
      </c>
      <c r="K266" s="5">
        <v>801.12</v>
      </c>
      <c r="L266" s="5">
        <v>800.270950595058</v>
      </c>
      <c r="M266" s="5">
        <f>K266-L266</f>
        <v>0.8490494049419794</v>
      </c>
      <c r="N266" s="21">
        <v>3763.41</v>
      </c>
      <c r="O266" s="21">
        <v>3841</v>
      </c>
      <c r="P266" s="21">
        <f>O266-N266</f>
        <v>77.59000000000015</v>
      </c>
      <c r="Q266" s="21">
        <f>K266*N266</f>
        <v>3014943.0192</v>
      </c>
      <c r="R266" s="21">
        <f>L266*O266</f>
        <v>3073840.721235618</v>
      </c>
      <c r="S266" s="21">
        <f>R266-Q266</f>
        <v>58897.702035618015</v>
      </c>
      <c r="T266" t="str">
        <f>IF(R266&lt;= Q266,"No Monetizar","Monetizar")</f>
        <v>Monetizar</v>
      </c>
      <c r="V266" s="1">
        <v>45946</v>
      </c>
      <c r="W266" t="str">
        <v>Alfonso Fonseca A</v>
      </c>
      <c r="X266" t="str">
        <v>Alfonso Fonseca A</v>
      </c>
      <c r="Y266" t="str">
        <v>Se monetiza ya que el valor ofrecido por el banco en cada divisa es superior al valor facturado</v>
      </c>
      <c r="Z266" s="21">
        <f>K266*O266</f>
        <v>3077101.92</v>
      </c>
      <c r="AA266" s="21">
        <f>Z266-Q266</f>
        <v>62158.900799999945</v>
      </c>
    </row>
    <row r="267" outlineLevel="1">
      <c r="B267">
        <v>236</v>
      </c>
      <c r="C267" t="str">
        <v>Nazdar ink technologies</v>
      </c>
      <c r="D267" t="str">
        <v>FV-5-66</v>
      </c>
      <c r="E267" s="1">
        <v>45946</v>
      </c>
      <c r="F267" s="1">
        <v>46006</v>
      </c>
      <c r="J267" s="20">
        <f>IFERROR(IF(TODAY()&gt;=E267,(TODAY()-E267)/I267,0),0)</f>
        <v>0</v>
      </c>
      <c r="K267" s="5">
        <v>13352.12</v>
      </c>
      <c r="L267" s="5">
        <v>13337.969049404941</v>
      </c>
      <c r="M267" s="5">
        <f>K267-L267</f>
        <v>14.15095059505984</v>
      </c>
      <c r="N267" s="21">
        <v>3763.41</v>
      </c>
      <c r="O267" s="21">
        <v>3841</v>
      </c>
      <c r="P267" s="21">
        <f>O267-N267</f>
        <v>77.59000000000015</v>
      </c>
      <c r="Q267" s="21">
        <f>K267*N267</f>
        <v>50249501.9292</v>
      </c>
      <c r="R267" s="21">
        <f>L267*O267</f>
        <v>51231139.11876438</v>
      </c>
      <c r="S267" s="21">
        <f>R267-Q267</f>
        <v>981637.1895643771</v>
      </c>
      <c r="T267" t="str">
        <f>IF(R267&lt;= Q267,"No Monetizar","Monetizar")</f>
        <v>Monetizar</v>
      </c>
      <c r="V267" s="1">
        <v>45946</v>
      </c>
      <c r="W267" t="str">
        <v>Alfonso Fonseca A</v>
      </c>
      <c r="X267" t="str">
        <v>Alfonso Fonseca A</v>
      </c>
      <c r="Y267" t="str">
        <v>Se monetiza ya que el valor ofrecido por el banco en cada divisa es superior al valor facturado</v>
      </c>
      <c r="Z267" s="21">
        <f>K267*O267</f>
        <v>51285492.92</v>
      </c>
      <c r="AA267" s="21">
        <f>Z267-Q267</f>
        <v>1035990.9908000007</v>
      </c>
    </row>
    <row r="268" outlineLevel="1">
      <c r="B268">
        <v>237</v>
      </c>
      <c r="C268" t="str">
        <v>Action AD</v>
      </c>
      <c r="D268">
        <v>6352</v>
      </c>
      <c r="E268" s="1">
        <v>45947</v>
      </c>
      <c r="F268" s="1">
        <v>46007</v>
      </c>
      <c r="J268" s="20">
        <f>IFERROR(IF(TODAY()&gt;=E268,(TODAY()-E268)/I268,0),0)</f>
        <v>0</v>
      </c>
      <c r="K268" s="5">
        <v>346.64</v>
      </c>
      <c r="L268" s="5">
        <v>346.64</v>
      </c>
      <c r="M268" s="5">
        <f>K268-L268</f>
        <v>0</v>
      </c>
      <c r="N268" s="21">
        <v>3778.14</v>
      </c>
      <c r="O268" s="21">
        <v>3789.1</v>
      </c>
      <c r="P268" s="21">
        <f>O268-N268</f>
        <v>10.960000000000036</v>
      </c>
      <c r="Q268" s="21">
        <f>K268*N268</f>
        <v>1309654.4496</v>
      </c>
      <c r="R268" s="21">
        <f>L268*O268</f>
        <v>1313453.6239999998</v>
      </c>
      <c r="S268" s="21">
        <f>R268-Q268</f>
        <v>3799.1743999999017</v>
      </c>
      <c r="T268" t="str">
        <f>IF(R268&lt;= Q268,"No Monetizar","Monetizar")</f>
        <v>Monetizar</v>
      </c>
      <c r="V268" s="1">
        <v>45946</v>
      </c>
      <c r="W268" t="str">
        <v>Alfonso Fonseca A</v>
      </c>
      <c r="X268" t="str">
        <v>Alfonso Fonseca A</v>
      </c>
      <c r="Y268" t="str">
        <v>Se monetiza ya que el valor ofrecido por el banco en cada divisa es superior al valor facturado</v>
      </c>
      <c r="Z268" s="21">
        <f>K268*O268</f>
        <v>1313453.6239999998</v>
      </c>
      <c r="AA268" s="21">
        <f>Z268-Q268</f>
        <v>3799.1743999999017</v>
      </c>
    </row>
    <row r="269" outlineLevel="1">
      <c r="B269">
        <v>238</v>
      </c>
      <c r="C269" t="str">
        <v>Action AD</v>
      </c>
      <c r="D269" t="str">
        <v>FV-5-75</v>
      </c>
      <c r="E269" s="1">
        <v>45947</v>
      </c>
      <c r="F269" s="1">
        <v>46007</v>
      </c>
      <c r="J269" s="20">
        <f>IFERROR(IF(TODAY()&gt;=E269,(TODAY()-E269)/I269,0),0)</f>
        <v>0</v>
      </c>
      <c r="K269" s="5">
        <v>3151.34</v>
      </c>
      <c r="L269" s="5">
        <v>3151.34</v>
      </c>
      <c r="M269" s="5">
        <f>K269-L269</f>
        <v>0</v>
      </c>
      <c r="N269" s="21">
        <v>3778.14</v>
      </c>
      <c r="O269" s="21">
        <v>3789.1</v>
      </c>
      <c r="P269" s="21">
        <f>O269-N269</f>
        <v>10.960000000000036</v>
      </c>
      <c r="Q269" s="21">
        <f>K269*N269</f>
        <v>11906203.7076</v>
      </c>
      <c r="R269" s="21">
        <f>L269*O269</f>
        <v>11940742.394</v>
      </c>
      <c r="S269" s="21">
        <f>R269-Q269</f>
        <v>34538.686400000006</v>
      </c>
      <c r="T269" t="str">
        <f>IF(R269&lt;= Q269,"No Monetizar","Monetizar")</f>
        <v>Monetizar</v>
      </c>
      <c r="V269" s="1">
        <v>45946</v>
      </c>
      <c r="W269" t="str">
        <v>Alfonso Fonseca A</v>
      </c>
      <c r="X269" t="str">
        <v>Alfonso Fonseca A</v>
      </c>
      <c r="Y269" t="str">
        <v>Se monetiza ya que el valor ofrecido por el banco en cada divisa es superior al valor facturado</v>
      </c>
      <c r="Z269" s="21">
        <f>K269*O269</f>
        <v>11940742.394</v>
      </c>
      <c r="AA269" s="21">
        <f>Z269-Q269</f>
        <v>34538.686400000006</v>
      </c>
    </row>
    <row r="270" outlineLevel="1">
      <c r="B270">
        <v>239</v>
      </c>
      <c r="C270" t="str">
        <v>Insider</v>
      </c>
      <c r="D270" t="str">
        <v>FV-5-78</v>
      </c>
      <c r="E270" s="1">
        <v>45947</v>
      </c>
      <c r="F270" s="1">
        <v>46007</v>
      </c>
      <c r="J270" s="20">
        <f>IFERROR(IF(TODAY()&gt;=E270,(TODAY()-E270)/I270,0),0)</f>
        <v>0</v>
      </c>
      <c r="K270" s="5">
        <v>777.24</v>
      </c>
      <c r="L270" s="5">
        <v>772.24</v>
      </c>
      <c r="M270" s="5">
        <f>K270-L270</f>
        <v>5</v>
      </c>
      <c r="N270" s="21">
        <v>3795.84</v>
      </c>
      <c r="O270" s="21">
        <v>3805</v>
      </c>
      <c r="P270" s="21">
        <f>O270-N270</f>
        <v>9.159999999999854</v>
      </c>
      <c r="Q270" s="21">
        <f>K270*N270</f>
        <v>2950278.6816000002</v>
      </c>
      <c r="R270" s="21">
        <f>L270*O270</f>
        <v>2938373.2</v>
      </c>
      <c r="S270" s="21">
        <f>R270-Q270</f>
        <v>-11905.481600000057</v>
      </c>
      <c r="T270" t="str">
        <f>IF(R270&lt;= Q270,"No Monetizar","Monetizar")</f>
        <v>No Monetizar</v>
      </c>
      <c r="V270" s="1">
        <v>45946</v>
      </c>
      <c r="W270" t="str">
        <v>Alfonso Fonseca A</v>
      </c>
      <c r="X270" t="str">
        <v>Alfonso Fonseca A</v>
      </c>
      <c r="Y270" t="str">
        <v>Se monetiza el dinero por un menor valor de $ 11.905,48 debido a dos situaciones el primero es que el GMF tiene un descuento de USD 5  y adicional se requiere para el pago de expenses de los empleados</v>
      </c>
      <c r="Z270" s="21">
        <f>K270*O270</f>
        <v>2957398.2</v>
      </c>
      <c r="AA270" s="21">
        <f>Z270-Q270</f>
        <v>7119.518399999943</v>
      </c>
    </row>
    <row r="271" ht="30" customHeight="1" outlineLevel="1">
      <c r="B271">
        <v>240</v>
      </c>
      <c r="C271" t="str">
        <v>Hong kong yonyou xinfushe cloud technology co</v>
      </c>
      <c r="D271">
        <v>6362</v>
      </c>
      <c r="E271" s="1">
        <v>45952</v>
      </c>
      <c r="F271" s="1">
        <v>46012</v>
      </c>
      <c r="J271" s="20">
        <f>IFERROR(IF(TODAY()&gt;=E271,(TODAY()-E271)/I271,0),0)</f>
        <v>0</v>
      </c>
      <c r="K271" s="5">
        <v>749.7</v>
      </c>
      <c r="L271" s="5">
        <v>749.7</v>
      </c>
      <c r="M271" s="5">
        <f>K271-L271</f>
        <v>0</v>
      </c>
      <c r="N271" s="21">
        <v>3834.98</v>
      </c>
      <c r="O271" s="21">
        <v>3865.5</v>
      </c>
      <c r="P271" s="21">
        <f>O271-N271</f>
        <v>30.519999999999982</v>
      </c>
      <c r="Q271" s="21">
        <f>K271*N271</f>
        <v>2875084.506</v>
      </c>
      <c r="R271" s="21">
        <f>L271*O271</f>
        <v>2897965.35</v>
      </c>
      <c r="S271" s="21">
        <f>R271-Q271</f>
        <v>22880.84400000004</v>
      </c>
      <c r="T271" t="str">
        <f>IF(R271&lt;= Q271,"No Monetizar","Monetizar")</f>
        <v>Monetizar</v>
      </c>
      <c r="V271" s="1">
        <v>45952</v>
      </c>
      <c r="W271" t="str">
        <v>Alfonso Fonseca A</v>
      </c>
      <c r="X271" t="str">
        <v>Alfonso Fonseca A</v>
      </c>
      <c r="Y271" t="str">
        <v>Se monetiza ya que el valor ofrecido por el banco en cada divisa es superior al valor facturado</v>
      </c>
      <c r="Z271" s="21">
        <f>K271*O271</f>
        <v>2897965.35</v>
      </c>
      <c r="AA271" s="21">
        <f>Z271-Q271</f>
        <v>22880.84400000004</v>
      </c>
    </row>
    <row r="272" ht="30" customHeight="1" outlineLevel="1">
      <c r="B272">
        <v>241</v>
      </c>
      <c r="C272" t="str">
        <v>Hong kong yonyou xinfushe cloud technology co</v>
      </c>
      <c r="D272" t="str">
        <v>FV-5-83</v>
      </c>
      <c r="E272" s="1">
        <v>45952</v>
      </c>
      <c r="F272" s="1">
        <v>46012</v>
      </c>
      <c r="J272" s="20">
        <f>IFERROR(IF(TODAY()&gt;=E272,(TODAY()-E272)/I272,0),0)</f>
        <v>0</v>
      </c>
      <c r="K272" s="5">
        <v>13317.57</v>
      </c>
      <c r="L272" s="5">
        <v>13317.57</v>
      </c>
      <c r="M272" s="5">
        <f>K272-L272</f>
        <v>0</v>
      </c>
      <c r="N272" s="21">
        <v>3834.98</v>
      </c>
      <c r="O272" s="21">
        <v>3865.5</v>
      </c>
      <c r="P272" s="21">
        <f>O272-N272</f>
        <v>30.519999999999982</v>
      </c>
      <c r="Q272" s="21">
        <f>K272*N272</f>
        <v>51072614.5986</v>
      </c>
      <c r="R272" s="21">
        <f>L272*O272</f>
        <v>51479066.835</v>
      </c>
      <c r="S272" s="21">
        <f>R272-Q272</f>
        <v>406452.23640000075</v>
      </c>
      <c r="T272" t="str">
        <f>IF(R272&lt;= Q272,"No Monetizar","Monetizar")</f>
        <v>Monetizar</v>
      </c>
      <c r="V272" s="1">
        <v>45952</v>
      </c>
      <c r="W272" t="str">
        <v>Alfonso Fonseca A</v>
      </c>
      <c r="X272" t="str">
        <v>Alfonso Fonseca A</v>
      </c>
      <c r="Y272" t="str">
        <v>Se monetiza ya que el valor ofrecido por el banco en cada divisa es superior al valor facturado</v>
      </c>
      <c r="Z272" s="21">
        <f>K272*O272</f>
        <v>51479066.835</v>
      </c>
      <c r="AA272" s="21">
        <f>Z272-Q272</f>
        <v>406452.23640000075</v>
      </c>
    </row>
    <row r="273" outlineLevel="1" xml:space="preserve">
      <c r="B273">
        <v>242</v>
      </c>
      <c r="C273" t="str">
        <v>Global Project</v>
      </c>
      <c r="D273">
        <v>5985</v>
      </c>
      <c r="E273" s="1">
        <v>45896</v>
      </c>
      <c r="F273" s="1">
        <v>45956</v>
      </c>
      <c r="J273" s="20">
        <f>IFERROR(IF(TODAY()&gt;=E273,(TODAY()-E273)/I273,0),0)</f>
        <v>0</v>
      </c>
      <c r="K273" s="5">
        <v>650</v>
      </c>
      <c r="L273" s="5">
        <v>647.9819618435555</v>
      </c>
      <c r="M273" s="5">
        <f>K273-L273</f>
        <v>2.0180381564445042</v>
      </c>
      <c r="N273" s="21">
        <v>4165.41</v>
      </c>
      <c r="O273" s="21">
        <v>3889.4</v>
      </c>
      <c r="P273" s="21">
        <f>O273-N273</f>
        <v>-276.00999999999976</v>
      </c>
      <c r="Q273" s="21">
        <f>K273*N273</f>
        <v>2707516.5</v>
      </c>
      <c r="R273" s="21">
        <f>L273*O273</f>
        <v>2520261.0423943247</v>
      </c>
      <c r="S273" s="21">
        <f>R273-Q273</f>
        <v>-187255.45760567533</v>
      </c>
      <c r="T273" t="str">
        <f>IF(R273&lt;= Q273,"No Monetizar","Monetizar")</f>
        <v>No Monetizar</v>
      </c>
      <c r="V273" s="1">
        <v>45952</v>
      </c>
      <c r="W273" t="str">
        <v>Alfonso Fonseca A</v>
      </c>
      <c r="X273" t="str">
        <v>Eduard Forero</v>
      </c>
      <c r="Y273"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3" s="21">
        <f>K273*O273</f>
        <v>2528110</v>
      </c>
      <c r="AA273" s="21">
        <f>Z273-Q273</f>
        <v>-179406.5</v>
      </c>
    </row>
    <row r="274" outlineLevel="1" xml:space="preserve">
      <c r="B274">
        <v>243</v>
      </c>
      <c r="C274" t="str">
        <v>Global Project</v>
      </c>
      <c r="D274">
        <v>6056</v>
      </c>
      <c r="E274" s="1">
        <v>45896</v>
      </c>
      <c r="F274" s="1">
        <v>45956</v>
      </c>
      <c r="J274" s="20">
        <f>IFERROR(IF(TODAY()&gt;=E274,(TODAY()-E274)/I274,0),0)</f>
        <v>0</v>
      </c>
      <c r="K274" s="5">
        <v>1041.6</v>
      </c>
      <c r="L274" s="5">
        <v>1038.3661714711498</v>
      </c>
      <c r="M274" s="5">
        <f>K274-L274</f>
        <v>3.233828528850154</v>
      </c>
      <c r="N274" s="21">
        <v>4076.32</v>
      </c>
      <c r="O274" s="21">
        <v>3889.4</v>
      </c>
      <c r="P274" s="21">
        <f>O274-N274</f>
        <v>-186.92000000000007</v>
      </c>
      <c r="Q274" s="21">
        <f>K274*N274</f>
        <v>4245894.912</v>
      </c>
      <c r="R274" s="21">
        <f>L274*O274</f>
        <v>4038621.38731989</v>
      </c>
      <c r="S274" s="21">
        <f>R274-Q274</f>
        <v>-207273.5246801097</v>
      </c>
      <c r="T274" t="str">
        <f>IF(R274&lt;= Q274,"No Monetizar","Monetizar")</f>
        <v>No Monetizar</v>
      </c>
      <c r="V274" s="1">
        <v>45952</v>
      </c>
      <c r="W274" t="str">
        <v>Alfonso Fonseca A</v>
      </c>
      <c r="X274" t="str">
        <v>Eduard Forero</v>
      </c>
      <c r="Y274"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4" s="21">
        <f>K274*O274</f>
        <v>4051199.0399999996</v>
      </c>
      <c r="AA274" s="21">
        <f>Z274-Q274</f>
        <v>-194695.87199999997</v>
      </c>
    </row>
    <row r="275" outlineLevel="1" xml:space="preserve">
      <c r="B275">
        <v>244</v>
      </c>
      <c r="C275" t="str">
        <v>Global Project</v>
      </c>
      <c r="D275">
        <v>6074</v>
      </c>
      <c r="E275" s="1">
        <v>45896</v>
      </c>
      <c r="F275" s="1">
        <v>45956</v>
      </c>
      <c r="J275" s="20">
        <f>IFERROR(IF(TODAY()&gt;=E275,(TODAY()-E275)/I275,0),0)</f>
        <v>0</v>
      </c>
      <c r="K275" s="5">
        <v>650</v>
      </c>
      <c r="L275" s="5">
        <v>647.9819618435555</v>
      </c>
      <c r="M275" s="5">
        <f>K275-L275</f>
        <v>2.0180381564445042</v>
      </c>
      <c r="N275" s="21">
        <v>4042.87</v>
      </c>
      <c r="O275" s="21">
        <v>3889.4</v>
      </c>
      <c r="P275" s="21">
        <f>O275-N275</f>
        <v>-153.4699999999998</v>
      </c>
      <c r="Q275" s="21">
        <f>K275*N275</f>
        <v>2627865.5</v>
      </c>
      <c r="R275" s="21">
        <f>L275*O275</f>
        <v>2520261.0423943247</v>
      </c>
      <c r="S275" s="21">
        <f>R275-Q275</f>
        <v>-107604.45760567533</v>
      </c>
      <c r="T275" t="str">
        <f>IF(R275&lt;= Q275,"No Monetizar","Monetizar")</f>
        <v>No Monetizar</v>
      </c>
      <c r="V275" s="1">
        <v>45952</v>
      </c>
      <c r="W275" t="str">
        <v>Alfonso Fonseca A</v>
      </c>
      <c r="X275" t="str">
        <v>Eduard Forero</v>
      </c>
      <c r="Y275"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5" s="21">
        <f>K275*O275</f>
        <v>2528110</v>
      </c>
      <c r="AA275" s="21">
        <f>Z275-Q275</f>
        <v>-99755.5</v>
      </c>
    </row>
    <row r="276" outlineLevel="1" xml:space="preserve">
      <c r="B276">
        <v>245</v>
      </c>
      <c r="C276" t="str">
        <v>Global Project</v>
      </c>
      <c r="D276">
        <v>6124</v>
      </c>
      <c r="E276" s="1">
        <v>45896</v>
      </c>
      <c r="F276" s="1">
        <v>45956</v>
      </c>
      <c r="J276" s="20">
        <f>IFERROR(IF(TODAY()&gt;=E276,(TODAY()-E276)/I276,0),0)</f>
        <v>0</v>
      </c>
      <c r="K276" s="5">
        <v>879.35</v>
      </c>
      <c r="L276" s="5">
        <v>876.6199048417393</v>
      </c>
      <c r="M276" s="5">
        <f>K276-L276</f>
        <v>2.730095158260724</v>
      </c>
      <c r="N276" s="21">
        <v>4003.9</v>
      </c>
      <c r="O276" s="21">
        <v>3889.4</v>
      </c>
      <c r="P276" s="21">
        <f>O276-N276</f>
        <v>-114.5</v>
      </c>
      <c r="Q276" s="21">
        <f>K276*N276</f>
        <v>3520829.4650000003</v>
      </c>
      <c r="R276" s="21">
        <f>L276*O276</f>
        <v>3409525.457891461</v>
      </c>
      <c r="S276" s="21">
        <f>R276-Q276</f>
        <v>-111304.00710853934</v>
      </c>
      <c r="T276" t="str">
        <f>IF(R276&lt;= Q276,"No Monetizar","Monetizar")</f>
        <v>No Monetizar</v>
      </c>
      <c r="V276" s="1">
        <v>45952</v>
      </c>
      <c r="W276" t="str">
        <v>Alfonso Fonseca A</v>
      </c>
      <c r="X276" t="str">
        <v>Eduard Forero</v>
      </c>
      <c r="Y276" t="str" xml:space="preserve">
        <v xml:space="preserve">Se monetiza el dinero por un menor valor conforme al siguiente análisis : se nos va a vence por tiempo el primer giro de Global Project por valor de USD 3.210,96, cuya facturación en su momento fue de USD 4.072,10 (promedio, son varias facturas a diferentes tasas).Durante estas dos semanas, el banco ha estado pagando en promedio una tasa entre 3.883 y 3.885, y aunque hoy está un poco más alta, con lo que hemos visto no vamos a llegar a los 3.900 que nos habíamos puesto como meta en la reunión de inicio de mes. El valor esperado según la facturación es de $13.102.106,38, y si lo ingresamos en este momento a una tasa de 3.889,40, entrarían $12.488.669, lo que representa una diferencia de $630.776,58, aproximadamente un 4,7%.  esta transacción fue aprobada por el director general  basado en estas condiciones planteadas_x000d_
</v>
      </c>
      <c r="Z276" s="21">
        <f>K276*O276</f>
        <v>3420143.89</v>
      </c>
      <c r="AA276" s="21">
        <f>Z276-Q276</f>
        <v>-100685.57500000019</v>
      </c>
    </row>
    <row r="277" outlineLevel="1">
      <c r="B277">
        <v>246</v>
      </c>
      <c r="C277" t="str">
        <v>Rivermate</v>
      </c>
      <c r="D277">
        <v>6347</v>
      </c>
      <c r="E277" s="1">
        <v>45952</v>
      </c>
      <c r="F277" s="1">
        <v>46012</v>
      </c>
      <c r="J277" s="20">
        <f>IFERROR(IF(TODAY()&gt;=E277,(TODAY()-E277)/I277,0),0)</f>
        <v>0</v>
      </c>
      <c r="K277" s="5">
        <v>150</v>
      </c>
      <c r="L277" s="5">
        <v>150</v>
      </c>
      <c r="M277" s="24">
        <f>K277-L277</f>
        <v>0</v>
      </c>
      <c r="N277" s="21">
        <f>4373.79</f>
        <v>4373.79</v>
      </c>
      <c r="O277" s="21">
        <v>3898</v>
      </c>
      <c r="P277" s="21">
        <f>O277-N277</f>
        <v>-475.78999999999996</v>
      </c>
      <c r="Q277" s="21">
        <f>K277*N277</f>
        <v>656068.5</v>
      </c>
      <c r="R277" s="21">
        <f>L277*O277</f>
        <v>584700</v>
      </c>
      <c r="S277" s="21">
        <f>R277-Q277</f>
        <v>-71368.5</v>
      </c>
      <c r="T277" t="str">
        <f>IF(R277&lt;= Q277,"No Monetizar","Monetizar")</f>
        <v>No Monetizar</v>
      </c>
      <c r="V277" s="1">
        <v>45952</v>
      </c>
      <c r="W277" t="str">
        <v>Alfonso Fonseca A</v>
      </c>
      <c r="X277" t="str">
        <v>Alfonso Fonseca A</v>
      </c>
      <c r="Y277" t="str">
        <v>Se monetiza ya que el valor ofrecido por el banco en cada divisa es superior al valor facturado</v>
      </c>
      <c r="Z277" s="21">
        <f>K277*O277</f>
        <v>584700</v>
      </c>
      <c r="AA277" s="21">
        <f>Z277-Q277</f>
        <v>-71368.5</v>
      </c>
    </row>
    <row r="278" outlineLevel="1">
      <c r="B278">
        <v>247</v>
      </c>
      <c r="C278" t="str">
        <v>Rivermate</v>
      </c>
      <c r="D278" t="str">
        <v>FV-5-70</v>
      </c>
      <c r="E278" s="1">
        <v>45952</v>
      </c>
      <c r="F278" s="1">
        <v>46012</v>
      </c>
      <c r="J278" s="20">
        <f>IFERROR(IF(TODAY()&gt;=E278,(TODAY()-E278)/I278,0),0)</f>
        <v>0</v>
      </c>
      <c r="K278" s="5">
        <v>16346.38</v>
      </c>
      <c r="L278" s="5">
        <v>16346.38</v>
      </c>
      <c r="M278" s="24">
        <f>K278-L278</f>
        <v>0</v>
      </c>
      <c r="N278" s="21">
        <f>4373.79</f>
        <v>4373.79</v>
      </c>
      <c r="O278" s="21">
        <v>3898</v>
      </c>
      <c r="P278" s="21">
        <f>O278-N278</f>
        <v>-475.78999999999996</v>
      </c>
      <c r="Q278" s="21">
        <f>K278*N278</f>
        <v>71495633.3802</v>
      </c>
      <c r="R278" s="21">
        <f>L278*O278</f>
        <v>63718189.239999995</v>
      </c>
      <c r="S278" s="21">
        <f>R278-Q278</f>
        <v>-7777444.140200004</v>
      </c>
      <c r="T278" t="str">
        <f>IF(R278&lt;= Q278,"No Monetizar","Monetizar")</f>
        <v>No Monetizar</v>
      </c>
      <c r="V278" s="1">
        <v>45952</v>
      </c>
      <c r="W278" t="str">
        <v>Alfonso Fonseca A</v>
      </c>
      <c r="X278" t="str">
        <v>Alfonso Fonseca A</v>
      </c>
      <c r="Y278" t="str">
        <v>Se monetiza ya que el valor ofrecido por el banco en cada divisa es superior al valor facturado</v>
      </c>
      <c r="Z278" s="21">
        <f>K278*O278</f>
        <v>63718189.239999995</v>
      </c>
      <c r="AA278" s="21">
        <f>Z278-Q278</f>
        <v>-7777444.140200004</v>
      </c>
    </row>
    <row r="279" outlineLevel="1">
      <c r="B279">
        <v>248</v>
      </c>
      <c r="C279" t="str">
        <v>Rivermate</v>
      </c>
      <c r="D279">
        <v>6359</v>
      </c>
      <c r="E279" s="1">
        <v>45952</v>
      </c>
      <c r="F279" s="1">
        <v>46012</v>
      </c>
      <c r="J279" s="20">
        <f>IFERROR(IF(TODAY()&gt;=E279,(TODAY()-E279)/I279,0),0)</f>
        <v>0</v>
      </c>
      <c r="K279" s="5">
        <v>150</v>
      </c>
      <c r="L279" s="5">
        <v>150</v>
      </c>
      <c r="M279" s="24">
        <f>K279-L279</f>
        <v>0</v>
      </c>
      <c r="N279" s="21">
        <f>4373.79</f>
        <v>4373.79</v>
      </c>
      <c r="O279" s="21">
        <v>3898</v>
      </c>
      <c r="P279" s="21">
        <f>O279-N279</f>
        <v>-475.78999999999996</v>
      </c>
      <c r="Q279" s="21">
        <f>K279*N279</f>
        <v>656068.5</v>
      </c>
      <c r="R279" s="21">
        <f>L279*O279</f>
        <v>584700</v>
      </c>
      <c r="S279" s="21">
        <f>R279-Q279</f>
        <v>-71368.5</v>
      </c>
      <c r="T279" t="str">
        <f>IF(R279&lt;= Q279,"No Monetizar","Monetizar")</f>
        <v>No Monetizar</v>
      </c>
      <c r="V279" s="1">
        <v>45952</v>
      </c>
      <c r="W279" t="str">
        <v>Alfonso Fonseca A</v>
      </c>
      <c r="X279" t="str">
        <v>Alfonso Fonseca A</v>
      </c>
      <c r="Y279" t="str">
        <v>Se monetiza ya que el valor ofrecido por el banco en cada divisa es superior al valor facturado</v>
      </c>
      <c r="Z279" s="21">
        <f>K279*O279</f>
        <v>584700</v>
      </c>
      <c r="AA279" s="21">
        <f>Z279-Q279</f>
        <v>-71368.5</v>
      </c>
    </row>
    <row r="280" outlineLevel="1">
      <c r="B280">
        <v>249</v>
      </c>
      <c r="C280" t="str">
        <v>Remofirst</v>
      </c>
      <c r="D280">
        <v>6350</v>
      </c>
      <c r="E280" s="1">
        <v>45952</v>
      </c>
      <c r="F280" s="1">
        <v>46012</v>
      </c>
      <c r="J280" s="20">
        <f>IFERROR(IF(TODAY()&gt;=E280,(TODAY()-E280)/I280,0),0)</f>
        <v>0</v>
      </c>
      <c r="K280" s="5">
        <v>11424</v>
      </c>
      <c r="L280" s="5">
        <v>11424</v>
      </c>
      <c r="M280" s="5">
        <f>K280-L280</f>
        <v>0</v>
      </c>
      <c r="N280" s="21">
        <v>3751.51</v>
      </c>
      <c r="O280" s="21">
        <v>3880.5</v>
      </c>
      <c r="P280" s="21">
        <f>O280-N280</f>
        <v>128.98999999999978</v>
      </c>
      <c r="Q280" s="21">
        <f>K280*N280</f>
        <v>42857250.24</v>
      </c>
      <c r="R280" s="21">
        <f>L280*O280</f>
        <v>44330832</v>
      </c>
      <c r="S280" s="21">
        <f>R280-Q280</f>
        <v>1473581.759999998</v>
      </c>
      <c r="T280" t="str">
        <f>IF(R280&lt;= Q280,"No Monetizar","Monetizar")</f>
        <v>Monetizar</v>
      </c>
      <c r="V280" s="1">
        <v>45953</v>
      </c>
      <c r="W280" t="str">
        <v>Alfonso Fonseca A</v>
      </c>
      <c r="X280" t="str">
        <v>Alfonso Fonseca A</v>
      </c>
      <c r="Y280" t="str">
        <v>Se monetiza ya que el valor ofrecido por el banco en cada divisa es superior al valor facturado</v>
      </c>
      <c r="Z280" s="21">
        <f>K280*O280</f>
        <v>44330832</v>
      </c>
      <c r="AA280" s="21">
        <f>Z280-Q280</f>
        <v>1473581.759999998</v>
      </c>
    </row>
    <row r="281" outlineLevel="1">
      <c r="B281">
        <v>250</v>
      </c>
      <c r="C281" t="str">
        <v>Remofirst</v>
      </c>
      <c r="D281" t="str">
        <v>FV-5-73</v>
      </c>
      <c r="E281" s="1">
        <v>45952</v>
      </c>
      <c r="F281" s="1">
        <v>46012</v>
      </c>
      <c r="J281" s="20">
        <f>IFERROR(IF(TODAY()&gt;=E281,(TODAY()-E281)/I281,0),0)</f>
        <v>0</v>
      </c>
      <c r="K281" s="5">
        <v>257058.08</v>
      </c>
      <c r="L281" s="5">
        <v>257058.08</v>
      </c>
      <c r="M281" s="5">
        <f>K281-L281</f>
        <v>0</v>
      </c>
      <c r="N281" s="21">
        <v>3751.51</v>
      </c>
      <c r="O281" s="21">
        <v>3880.5</v>
      </c>
      <c r="P281" s="21">
        <f>O281-N281</f>
        <v>128.98999999999978</v>
      </c>
      <c r="Q281" s="21">
        <f>K281*N281</f>
        <v>964355957.7008001</v>
      </c>
      <c r="R281" s="21">
        <f>L281*O281</f>
        <v>997513879.4399999</v>
      </c>
      <c r="S281" s="21">
        <f>R281-Q281</f>
        <v>33157921.739199877</v>
      </c>
      <c r="T281" t="str">
        <f>IF(R281&lt;= Q281,"No Monetizar","Monetizar")</f>
        <v>Monetizar</v>
      </c>
      <c r="V281" s="1">
        <v>45953</v>
      </c>
      <c r="W281" t="str">
        <v>Alfonso Fonseca A</v>
      </c>
      <c r="X281" t="str">
        <v>Alfonso Fonseca A</v>
      </c>
      <c r="Y281" t="str">
        <v>Se monetiza ya que el valor ofrecido por el banco en cada divisa es superior al valor facturado</v>
      </c>
      <c r="Z281" s="21">
        <f>K281*O281</f>
        <v>997513879.4399999</v>
      </c>
      <c r="AA281" s="21">
        <f>Z281-Q281</f>
        <v>33157921.739199877</v>
      </c>
    </row>
    <row r="282" outlineLevel="1">
      <c r="B282">
        <v>251</v>
      </c>
      <c r="C282" t="str">
        <v>Remofirst</v>
      </c>
      <c r="D282">
        <v>6360</v>
      </c>
      <c r="E282" s="1">
        <v>45952</v>
      </c>
      <c r="F282" s="1">
        <v>46012</v>
      </c>
      <c r="J282" s="20">
        <f>IFERROR(IF(TODAY()&gt;=E282,(TODAY()-E282)/I282,0),0)</f>
        <v>0</v>
      </c>
      <c r="K282" s="5">
        <v>428.4</v>
      </c>
      <c r="L282" s="5">
        <v>428.4</v>
      </c>
      <c r="M282" s="5">
        <f>K282-L282</f>
        <v>0</v>
      </c>
      <c r="N282" s="21">
        <v>3751.51</v>
      </c>
      <c r="O282" s="21">
        <v>3880.5</v>
      </c>
      <c r="P282" s="21">
        <f>O282-N282</f>
        <v>128.98999999999978</v>
      </c>
      <c r="Q282" s="21">
        <f>K282*N282</f>
        <v>1607146.884</v>
      </c>
      <c r="R282" s="21">
        <f>L282*O282</f>
        <v>1662406.2</v>
      </c>
      <c r="S282" s="21">
        <f>R282-Q282</f>
        <v>55259.315999999875</v>
      </c>
      <c r="T282" t="str">
        <f>IF(R282&lt;= Q282,"No Monetizar","Monetizar")</f>
        <v>Monetizar</v>
      </c>
      <c r="V282" s="1">
        <v>45953</v>
      </c>
      <c r="W282" t="str">
        <v>Alfonso Fonseca A</v>
      </c>
      <c r="X282" t="str">
        <v>Alfonso Fonseca A</v>
      </c>
      <c r="Y282" t="str">
        <v>Se monetiza ya que el valor ofrecido por el banco en cada divisa es superior al valor facturado</v>
      </c>
      <c r="Z282" s="21">
        <f>K282*O282</f>
        <v>1662406.2</v>
      </c>
      <c r="AA282" s="21">
        <f>Z282-Q282</f>
        <v>55259.315999999875</v>
      </c>
    </row>
    <row r="283" outlineLevel="1">
      <c r="B283">
        <v>252</v>
      </c>
      <c r="C283" t="str">
        <v>Remofirst</v>
      </c>
      <c r="D283" t="str">
        <v>FV-5-80</v>
      </c>
      <c r="E283" s="1">
        <v>45952</v>
      </c>
      <c r="F283" s="1">
        <v>46012</v>
      </c>
      <c r="J283" s="20">
        <f>IFERROR(IF(TODAY()&gt;=E283,(TODAY()-E283)/I283,0),0)</f>
        <v>0</v>
      </c>
      <c r="K283" s="5">
        <v>15102.83</v>
      </c>
      <c r="L283" s="5">
        <v>15102.83</v>
      </c>
      <c r="M283" s="5">
        <f>K283-L283</f>
        <v>0</v>
      </c>
      <c r="N283" s="21">
        <v>3751.51</v>
      </c>
      <c r="O283" s="21">
        <v>3880.5</v>
      </c>
      <c r="P283" s="21">
        <f>O283-N283</f>
        <v>128.98999999999978</v>
      </c>
      <c r="Q283" s="21">
        <f>K283*N283</f>
        <v>56658417.7733</v>
      </c>
      <c r="R283" s="21">
        <f>L283*O283</f>
        <v>58606531.815</v>
      </c>
      <c r="S283" s="21">
        <f>R283-Q283</f>
        <v>1948114.041699998</v>
      </c>
      <c r="T283" t="str">
        <f>IF(R283&lt;= Q283,"No Monetizar","Monetizar")</f>
        <v>Monetizar</v>
      </c>
      <c r="V283" s="1">
        <v>45953</v>
      </c>
      <c r="W283" t="str">
        <v>Alfonso Fonseca A</v>
      </c>
      <c r="X283" t="str">
        <v>Alfonso Fonseca A</v>
      </c>
      <c r="Y283" t="str">
        <v>Se monetiza ya que el valor ofrecido por el banco en cada divisa es superior al valor facturado</v>
      </c>
      <c r="Z283" s="21">
        <f>K283*O283</f>
        <v>58606531.815</v>
      </c>
      <c r="AA283" s="21">
        <f>Z283-Q283</f>
        <v>1948114.041699998</v>
      </c>
    </row>
    <row r="284" outlineLevel="1">
      <c r="B284">
        <v>253</v>
      </c>
      <c r="C284" t="str">
        <v xml:space="preserve">Neo </v>
      </c>
      <c r="D284">
        <v>6340</v>
      </c>
      <c r="E284" s="1">
        <v>45954</v>
      </c>
      <c r="F284" s="1">
        <v>46014</v>
      </c>
      <c r="J284" s="20">
        <f>IFERROR(IF(TODAY()&gt;=E284,(TODAY()-E284)/I284,0),0)</f>
        <v>0</v>
      </c>
      <c r="K284" s="5">
        <v>1789.86</v>
      </c>
      <c r="L284" s="5">
        <v>1785.3414459510684</v>
      </c>
      <c r="M284" s="5">
        <f>K284-L284</f>
        <v>4.518554048931492</v>
      </c>
      <c r="N284" s="21">
        <v>3763.41</v>
      </c>
      <c r="O284" s="21">
        <v>3815</v>
      </c>
      <c r="P284" s="21">
        <f>O284-N284</f>
        <v>51.590000000000146</v>
      </c>
      <c r="Q284" s="21">
        <f>K284*N284</f>
        <v>6735977.0226</v>
      </c>
      <c r="R284" s="21">
        <f>L284*O284</f>
        <v>6811077.616303326</v>
      </c>
      <c r="S284" s="21">
        <f>R284-Q284</f>
        <v>75100.59370332584</v>
      </c>
      <c r="T284" t="str">
        <f>IF(R284&lt;= Q284,"No Monetizar","Monetizar")</f>
        <v>Monetizar</v>
      </c>
      <c r="V284" s="1">
        <v>45957</v>
      </c>
      <c r="W284" t="str">
        <v>Alfonso Fonseca A</v>
      </c>
      <c r="X284" t="str">
        <v>Alfonso Fonseca A</v>
      </c>
      <c r="Y284" t="str">
        <v>Se monetiza ya que el valor ofrecido por el banco en cada divisa es superior al valor facturado</v>
      </c>
      <c r="Z284" s="21">
        <f>K284*O284</f>
        <v>6828315.899999999</v>
      </c>
      <c r="AA284" s="21">
        <f>Z284-Q284</f>
        <v>92338.87739999965</v>
      </c>
    </row>
    <row r="285" outlineLevel="1">
      <c r="B285">
        <v>254</v>
      </c>
      <c r="C285" t="str">
        <v xml:space="preserve">Neo </v>
      </c>
      <c r="D285" t="str">
        <v>FV-5-63</v>
      </c>
      <c r="E285" s="1">
        <v>45954</v>
      </c>
      <c r="F285" s="1">
        <v>46014</v>
      </c>
      <c r="J285" s="20">
        <f>IFERROR(IF(TODAY()&gt;=E285,(TODAY()-E285)/I285,0),0)</f>
        <v>0</v>
      </c>
      <c r="K285" s="5">
        <v>22373.06</v>
      </c>
      <c r="L285" s="5">
        <v>22316.578554048927</v>
      </c>
      <c r="M285" s="5">
        <f>K285-L285</f>
        <v>56.48144595107442</v>
      </c>
      <c r="N285" s="21">
        <v>3763.41</v>
      </c>
      <c r="O285" s="21">
        <v>3815</v>
      </c>
      <c r="P285" s="21">
        <f>O285-N285</f>
        <v>51.590000000000146</v>
      </c>
      <c r="Q285" s="21">
        <f>K285*N285</f>
        <v>84198997.73460001</v>
      </c>
      <c r="R285" s="21">
        <f>L285*O285</f>
        <v>85137747.18369666</v>
      </c>
      <c r="S285" s="21">
        <f>R285-Q285</f>
        <v>938749.4490966499</v>
      </c>
      <c r="T285" t="str">
        <f>IF(R285&lt;= Q285,"No Monetizar","Monetizar")</f>
        <v>Monetizar</v>
      </c>
      <c r="V285" s="1">
        <v>45957</v>
      </c>
      <c r="W285" t="str">
        <v>Alfonso Fonseca A</v>
      </c>
      <c r="X285" t="str">
        <v>Alfonso Fonseca A</v>
      </c>
      <c r="Y285" t="str">
        <v>Se monetiza ya que el valor ofrecido por el banco en cada divisa es superior al valor facturado</v>
      </c>
      <c r="Z285" s="21">
        <f>K285*O285</f>
        <v>85353223.9</v>
      </c>
      <c r="AA285" s="21">
        <f>Z285-Q285</f>
        <v>1154226.1653999984</v>
      </c>
    </row>
    <row r="286" outlineLevel="1">
      <c r="B286">
        <v>255</v>
      </c>
      <c r="C286" t="str">
        <v>Flexco</v>
      </c>
      <c r="D286">
        <v>6344</v>
      </c>
      <c r="E286" s="1">
        <v>45957</v>
      </c>
      <c r="F286" s="1">
        <v>45956</v>
      </c>
      <c r="J286" s="20">
        <f>IFERROR(IF(TODAY()&gt;=E286,(TODAY()-E286)/I286,0),0)</f>
        <v>0</v>
      </c>
      <c r="K286" s="5">
        <v>2329.66</v>
      </c>
      <c r="L286" s="5">
        <v>2328.421466085268</v>
      </c>
      <c r="M286" s="5">
        <f>K286-L286</f>
        <v>1.2385339147317609</v>
      </c>
      <c r="N286" s="21">
        <v>3763.41</v>
      </c>
      <c r="O286" s="21">
        <v>3825.55</v>
      </c>
      <c r="P286" s="21">
        <f>O286-N286</f>
        <v>62.14000000000033</v>
      </c>
      <c r="Q286" s="21">
        <f>K286*N286</f>
        <v>8767465.7406</v>
      </c>
      <c r="R286" s="21">
        <f>L286*O286</f>
        <v>8907492.739582498</v>
      </c>
      <c r="S286" s="21">
        <f>R286-Q286</f>
        <v>140026.99898249842</v>
      </c>
      <c r="T286" t="str">
        <f>IF(R286&lt;= Q286,"No Monetizar","Monetizar")</f>
        <v>Monetizar</v>
      </c>
      <c r="V286" s="1">
        <v>45957</v>
      </c>
      <c r="W286" t="str">
        <v>Alfonso Fonseca A</v>
      </c>
      <c r="X286" t="str">
        <v>Alfonso Fonseca A</v>
      </c>
      <c r="Y286" t="str">
        <v>Se monetiza ya que el valor ofrecido por el banco en cada divisa es superior al valor facturado</v>
      </c>
      <c r="Z286" s="21">
        <f>K286*O286</f>
        <v>8912230.813</v>
      </c>
      <c r="AA286" s="21">
        <f>Z286-Q286</f>
        <v>144765.07239999995</v>
      </c>
    </row>
    <row r="287" outlineLevel="1">
      <c r="B287">
        <v>256</v>
      </c>
      <c r="C287" t="str">
        <v>Flexco</v>
      </c>
      <c r="D287" t="str">
        <v>FV-5-67</v>
      </c>
      <c r="E287" s="1">
        <v>45957</v>
      </c>
      <c r="F287" s="1">
        <v>45956</v>
      </c>
      <c r="J287" s="20">
        <f>IFERROR(IF(TODAY()&gt;=E287,(TODAY()-E287)/I287,0),0)</f>
        <v>0</v>
      </c>
      <c r="K287" s="5">
        <v>25885.07</v>
      </c>
      <c r="L287" s="5">
        <v>25871.308533914733</v>
      </c>
      <c r="M287" s="5">
        <f>K287-L287</f>
        <v>13.761466085266875</v>
      </c>
      <c r="N287" s="21">
        <v>3763.41</v>
      </c>
      <c r="O287" s="21">
        <v>3825.55</v>
      </c>
      <c r="P287" s="21">
        <f>O287-N287</f>
        <v>62.14000000000033</v>
      </c>
      <c r="Q287" s="21">
        <f>K287*N287</f>
        <v>97416131.2887</v>
      </c>
      <c r="R287" s="21">
        <f>L287*O287</f>
        <v>98971984.36191751</v>
      </c>
      <c r="S287" s="21">
        <f>R287-Q287</f>
        <v>1555853.0732175112</v>
      </c>
      <c r="T287" t="str">
        <f>IF(R287&lt;= Q287,"No Monetizar","Monetizar")</f>
        <v>Monetizar</v>
      </c>
      <c r="V287" s="1">
        <v>45957</v>
      </c>
      <c r="W287" t="str">
        <v>Alfonso Fonseca A</v>
      </c>
      <c r="X287" t="str">
        <v>Alfonso Fonseca A</v>
      </c>
      <c r="Y287" t="str">
        <v>Se monetiza ya que el valor ofrecido por el banco en cada divisa es superior al valor facturado</v>
      </c>
      <c r="Z287" s="21">
        <f>K287*O287</f>
        <v>99024629.53850001</v>
      </c>
      <c r="AA287" s="21">
        <f>Z287-Q287</f>
        <v>1608498.2498000115</v>
      </c>
    </row>
    <row r="288" outlineLevel="1">
      <c r="B288">
        <v>257</v>
      </c>
      <c r="C288" t="str">
        <v>Oncehub</v>
      </c>
      <c r="D288">
        <v>6361</v>
      </c>
      <c r="E288" s="1">
        <v>45954</v>
      </c>
      <c r="F288" s="1">
        <v>46014</v>
      </c>
      <c r="J288" s="20">
        <f>IFERROR(IF(TODAY()&gt;=E288,(TODAY()-E288)/I288,0),0)</f>
        <v>0</v>
      </c>
      <c r="K288" s="5">
        <v>285.6</v>
      </c>
      <c r="L288" s="5">
        <v>283.8945333703568</v>
      </c>
      <c r="M288" s="5">
        <f>K288-L288</f>
        <v>1.7054666296432401</v>
      </c>
      <c r="N288" s="21">
        <v>3856.19</v>
      </c>
      <c r="O288" s="21">
        <v>3866.93</v>
      </c>
      <c r="P288" s="21">
        <f>O288-N288</f>
        <v>10.739999999999782</v>
      </c>
      <c r="Q288" s="21">
        <f>K288*N288</f>
        <v>1101327.864</v>
      </c>
      <c r="R288" s="21">
        <f>L288*O288</f>
        <v>1097800.2879258336</v>
      </c>
      <c r="S288" s="21">
        <f>R288-Q288</f>
        <v>-3527.5760741664562</v>
      </c>
      <c r="T288" t="str">
        <f>IF(R288&lt;= Q288,"No Monetizar","Monetizar")</f>
        <v>No Monetizar</v>
      </c>
      <c r="V288" s="1">
        <v>45958</v>
      </c>
      <c r="W288" t="str">
        <v>Alfonso Fonseca A</v>
      </c>
      <c r="X288" t="str">
        <v>Alfonso Fonseca A</v>
      </c>
      <c r="Y288" t="str">
        <v>Se monetiza el dinero por un menor valor de $ 43,286,43 debido a dos situaciones: 1) el primero es que el GMF tiene un descuento de USD 20  y 2) se requiere el dinero para el pago de la nomina de los empleados del cliente que es el día de hoy 28/10/2025</v>
      </c>
      <c r="Z288" s="21">
        <f>K288*O288</f>
        <v>1104395.208</v>
      </c>
      <c r="AA288" s="21">
        <f>Z288-Q288</f>
        <v>3067.344000000041</v>
      </c>
    </row>
    <row r="289" outlineLevel="1">
      <c r="B289">
        <v>258</v>
      </c>
      <c r="C289" t="str">
        <v>Oncehub</v>
      </c>
      <c r="D289" t="str">
        <v>FV-5-82</v>
      </c>
      <c r="E289" s="1">
        <v>45954</v>
      </c>
      <c r="F289" s="1">
        <v>46014</v>
      </c>
      <c r="J289" s="20">
        <f>IFERROR(IF(TODAY()&gt;=E289,(TODAY()-E289)/I289,0),0)</f>
        <v>0</v>
      </c>
      <c r="K289" s="5">
        <v>3043.53</v>
      </c>
      <c r="L289" s="5">
        <v>3025.355494218074</v>
      </c>
      <c r="M289" s="5">
        <f>K289-L289</f>
        <v>18.1745057819262</v>
      </c>
      <c r="N289" s="21">
        <v>3856.19</v>
      </c>
      <c r="O289" s="21">
        <v>3866.3</v>
      </c>
      <c r="P289" s="21">
        <f>O289-N289</f>
        <v>10.110000000000127</v>
      </c>
      <c r="Q289" s="21">
        <f>K289*N289</f>
        <v>11736429.950700002</v>
      </c>
      <c r="R289" s="21">
        <f>L289*O289</f>
        <v>11696931.94729534</v>
      </c>
      <c r="S289" s="21">
        <f>R289-Q289</f>
        <v>-39498.00340466201</v>
      </c>
      <c r="T289" t="str">
        <f>IF(R289&lt;= Q289,"No Monetizar","Monetizar")</f>
        <v>No Monetizar</v>
      </c>
      <c r="V289" s="1">
        <v>45958</v>
      </c>
      <c r="W289" t="str">
        <v>Alfonso Fonseca A</v>
      </c>
      <c r="X289" t="str">
        <v>Alfonso Fonseca A</v>
      </c>
      <c r="Y289" t="str">
        <v>Se monetiza el dinero por un menor valor de $ 43,286,43 debido a dos situaciones: 1) el primero es que el GMF tiene un descuento de USD 20  y 2) se requiere el dinero para el pago de la nomina de los empleados del cliente que es el día de hoy 28/10/2025</v>
      </c>
      <c r="Z289" s="21">
        <f>K289*O289</f>
        <v>11767200.039</v>
      </c>
      <c r="AA289" s="21">
        <f>Z289-Q289</f>
        <v>30770.088299999014</v>
      </c>
    </row>
    <row r="290" outlineLevel="1">
      <c r="B290">
        <v>259</v>
      </c>
      <c r="C290" t="str">
        <v>Oncehub</v>
      </c>
      <c r="D290" t="str">
        <v>FV-5-91</v>
      </c>
      <c r="E290" s="1">
        <v>45954</v>
      </c>
      <c r="F290" s="1">
        <v>46014</v>
      </c>
      <c r="J290" s="20">
        <f>IFERROR(IF(TODAY()&gt;=E290,(TODAY()-E290)/I290,0),0)</f>
        <v>0</v>
      </c>
      <c r="K290" s="5">
        <v>20.1</v>
      </c>
      <c r="L290" s="5">
        <v>19.97997241156923</v>
      </c>
      <c r="M290" s="5">
        <f>K290-L290</f>
        <v>0.12002758843077288</v>
      </c>
      <c r="N290" s="21">
        <v>3856.19</v>
      </c>
      <c r="O290" s="21">
        <v>3866.3</v>
      </c>
      <c r="P290" s="21">
        <f>O290-N290</f>
        <v>10.110000000000127</v>
      </c>
      <c r="Q290" s="21">
        <f>K290*N290</f>
        <v>77509.41900000001</v>
      </c>
      <c r="R290" s="21">
        <f>L290*O290</f>
        <v>77248.56733485012</v>
      </c>
      <c r="S290" s="21">
        <f>R290-Q290</f>
        <v>-260.85166514989396</v>
      </c>
      <c r="T290" t="str">
        <f>IF(R290&lt;= Q290,"No Monetizar","Monetizar")</f>
        <v>No Monetizar</v>
      </c>
      <c r="V290" s="1">
        <v>45958</v>
      </c>
      <c r="W290" t="str">
        <v>Alfonso Fonseca A</v>
      </c>
      <c r="X290" t="str">
        <v>Alfonso Fonseca A</v>
      </c>
      <c r="Y290" t="str">
        <v>Se monetiza el dinero por un menor valor de $ 43,286,43 debido a dos situaciones: 1) el primero es que el GMF tiene un descuento de USD 20  y 2) se requiere el dinero para el pago de la nomina de los empleados del cliente que es el día de hoy 28/10/2025</v>
      </c>
      <c r="Z290" s="21">
        <f>K290*O290</f>
        <v>77712.63</v>
      </c>
      <c r="AA290" s="21">
        <f>Z290-Q290</f>
        <v>203.2109999999957</v>
      </c>
    </row>
    <row r="291" outlineLevel="1">
      <c r="B291">
        <v>260</v>
      </c>
      <c r="C291" t="str">
        <v>Bubble BPM</v>
      </c>
      <c r="D291">
        <v>6341</v>
      </c>
      <c r="E291" s="1">
        <v>45957</v>
      </c>
      <c r="F291" s="1">
        <v>45956</v>
      </c>
      <c r="J291" s="20">
        <f>IFERROR(IF(TODAY()&gt;=E291,(TODAY()-E291)/I291,0),0)</f>
        <v>0</v>
      </c>
      <c r="K291" s="5">
        <v>118.13</v>
      </c>
      <c r="L291" s="5">
        <v>115.15705423430222</v>
      </c>
      <c r="M291" s="5">
        <f>K291-L291</f>
        <v>2.972945765697773</v>
      </c>
      <c r="N291" s="21">
        <v>3763.41</v>
      </c>
      <c r="O291" s="21">
        <v>3839</v>
      </c>
      <c r="P291" s="21">
        <f>O291-N291</f>
        <v>75.59000000000015</v>
      </c>
      <c r="Q291" s="21">
        <f>K291*N291</f>
        <v>444571.6233</v>
      </c>
      <c r="R291" s="21">
        <f>L291*O291</f>
        <v>442087.93120548624</v>
      </c>
      <c r="S291" s="21">
        <f>R291-Q291</f>
        <v>-2483.692094513739</v>
      </c>
      <c r="T291" t="str">
        <f>IF(R291&lt;= Q291,"No Monetizar","Monetizar")</f>
        <v>No Monetizar</v>
      </c>
      <c r="V291" s="1">
        <v>45958</v>
      </c>
      <c r="W291" t="str">
        <v>Alfonso Fonseca A</v>
      </c>
      <c r="X291" t="str">
        <v>Alfonso Fonseca A</v>
      </c>
      <c r="Y291" t="str">
        <v>Se monetiza ya que el valor ofrecido por el banco en cada divisa es superior al valor facturado</v>
      </c>
      <c r="Z291" s="21">
        <f>K291*O291</f>
        <v>453501.07</v>
      </c>
      <c r="AA291" s="21">
        <f>Z291-Q291</f>
        <v>8929.44670000003</v>
      </c>
    </row>
    <row r="292" outlineLevel="1">
      <c r="B292">
        <v>261</v>
      </c>
      <c r="C292" t="str">
        <v>Bubble BPM</v>
      </c>
      <c r="D292" t="str">
        <v>FV-5-64</v>
      </c>
      <c r="E292" s="1">
        <v>45957</v>
      </c>
      <c r="F292" s="1">
        <v>45956</v>
      </c>
      <c r="J292" s="20">
        <f>IFERROR(IF(TODAY()&gt;=E292,(TODAY()-E292)/I292,0),0)</f>
        <v>0</v>
      </c>
      <c r="K292" s="5">
        <v>1073.92</v>
      </c>
      <c r="L292" s="5">
        <v>1046.8929457656977</v>
      </c>
      <c r="M292" s="5">
        <f>K292-L292</f>
        <v>27.02705423430234</v>
      </c>
      <c r="N292" s="21">
        <v>3763.41</v>
      </c>
      <c r="O292" s="21">
        <v>3839</v>
      </c>
      <c r="P292" s="21">
        <f>O292-N292</f>
        <v>75.59000000000015</v>
      </c>
      <c r="Q292" s="21">
        <f>K292*N292</f>
        <v>4041601.2672</v>
      </c>
      <c r="R292" s="21">
        <f>L292*O292</f>
        <v>4019022.018794514</v>
      </c>
      <c r="S292" s="21">
        <f>R292-Q292</f>
        <v>-22579.248405486345</v>
      </c>
      <c r="T292" t="str">
        <f>IF(R292&lt;= Q292,"No Monetizar","Monetizar")</f>
        <v>No Monetizar</v>
      </c>
      <c r="V292" s="1">
        <v>45958</v>
      </c>
      <c r="W292" t="str">
        <v>Alfonso Fonseca A</v>
      </c>
      <c r="X292" t="str">
        <v>Alfonso Fonseca A</v>
      </c>
      <c r="Y292" t="str">
        <v>Se monetiza ya que el valor ofrecido por el banco en cada divisa es superior al valor facturado</v>
      </c>
      <c r="Z292" s="21">
        <f>K292*O292</f>
        <v>4122778.8800000004</v>
      </c>
      <c r="AA292" s="21">
        <f>Z292-Q292</f>
        <v>81177.61280000024</v>
      </c>
    </row>
    <row r="293" outlineLevel="1">
      <c r="B293">
        <v>262</v>
      </c>
      <c r="C293" t="str">
        <v>Europortage</v>
      </c>
      <c r="D293">
        <v>6351</v>
      </c>
      <c r="E293" s="1">
        <v>45957</v>
      </c>
      <c r="F293" s="1">
        <v>45956</v>
      </c>
      <c r="J293" s="20">
        <f>IFERROR(IF(TODAY()&gt;=E293,(TODAY()-E293)/I293,0),0)</f>
        <v>0</v>
      </c>
      <c r="K293" s="5">
        <v>476.02</v>
      </c>
      <c r="L293" s="5">
        <v>475.0980464482723</v>
      </c>
      <c r="M293" s="5">
        <f>K293-L293</f>
        <v>0.921953551727654</v>
      </c>
      <c r="N293" s="21">
        <v>3778.14</v>
      </c>
      <c r="O293" s="21">
        <v>3839</v>
      </c>
      <c r="P293" s="21">
        <f>O293-N293</f>
        <v>60.86000000000013</v>
      </c>
      <c r="Q293" s="21">
        <f>K293*N293</f>
        <v>1798470.2027999999</v>
      </c>
      <c r="R293" s="21">
        <f>L293*O293</f>
        <v>1823901.4003149176</v>
      </c>
      <c r="S293" s="21">
        <f>R293-Q293</f>
        <v>25431.1975149177</v>
      </c>
      <c r="T293" t="str">
        <f>IF(R293&lt;= Q293,"No Monetizar","Monetizar")</f>
        <v>Monetizar</v>
      </c>
      <c r="V293" s="1">
        <v>45958</v>
      </c>
      <c r="W293" t="str">
        <v>Alfonso Fonseca A</v>
      </c>
      <c r="X293" t="str">
        <v>Alfonso Fonseca A</v>
      </c>
      <c r="Y293" t="str">
        <v>Se monetiza ya que el valor ofrecido por el banco en cada divisa es superior al valor facturado</v>
      </c>
      <c r="Z293" s="21">
        <f>K293*O293</f>
        <v>1827440.78</v>
      </c>
      <c r="AA293" s="21">
        <f>Z293-Q293</f>
        <v>28970.577200000174</v>
      </c>
    </row>
    <row r="294" outlineLevel="1">
      <c r="B294">
        <v>263</v>
      </c>
      <c r="C294" t="str">
        <v>Europortage</v>
      </c>
      <c r="D294" t="str">
        <v>FV-5-74</v>
      </c>
      <c r="E294" s="1">
        <v>45957</v>
      </c>
      <c r="F294" s="1">
        <v>45956</v>
      </c>
      <c r="J294" s="20">
        <f>IFERROR(IF(TODAY()&gt;=E294,(TODAY()-E294)/I294,0),0)</f>
        <v>0</v>
      </c>
      <c r="K294" s="5">
        <v>8684.53</v>
      </c>
      <c r="L294" s="5">
        <v>8667.709838497154</v>
      </c>
      <c r="M294" s="5">
        <f>K294-L294</f>
        <v>16.82016150284653</v>
      </c>
      <c r="N294" s="21">
        <v>3778.14</v>
      </c>
      <c r="O294" s="21">
        <v>3839</v>
      </c>
      <c r="P294" s="21">
        <f>O294-N294</f>
        <v>60.86000000000013</v>
      </c>
      <c r="Q294" s="21">
        <f>K294*N294</f>
        <v>32811370.174200002</v>
      </c>
      <c r="R294" s="21">
        <f>L294*O294</f>
        <v>33275338.069990575</v>
      </c>
      <c r="S294" s="21">
        <f>R294-Q294</f>
        <v>463967.8957905732</v>
      </c>
      <c r="T294" t="str">
        <f>IF(R294&lt;= Q294,"No Monetizar","Monetizar")</f>
        <v>Monetizar</v>
      </c>
      <c r="V294" s="1">
        <v>45958</v>
      </c>
      <c r="W294" t="str">
        <v>Alfonso Fonseca A</v>
      </c>
      <c r="X294" t="str">
        <v>Alfonso Fonseca A</v>
      </c>
      <c r="Y294" t="str">
        <v>Se monetiza ya que el valor ofrecido por el banco en cada divisa es superior al valor facturado</v>
      </c>
      <c r="Z294" s="21">
        <f>K294*O294</f>
        <v>33339910.67</v>
      </c>
      <c r="AA294" s="21">
        <f>Z294-Q294</f>
        <v>528540.4957999997</v>
      </c>
    </row>
    <row r="295" outlineLevel="1">
      <c r="B295">
        <v>264</v>
      </c>
      <c r="C295" t="str">
        <v>Europortage</v>
      </c>
      <c r="D295" t="str">
        <v>FV-5-77</v>
      </c>
      <c r="E295" s="1">
        <v>45957</v>
      </c>
      <c r="F295" s="1">
        <v>45956</v>
      </c>
      <c r="J295" s="20">
        <f>IFERROR(IF(TODAY()&gt;=E295,(TODAY()-E295)/I295,0),0)</f>
        <v>0</v>
      </c>
      <c r="K295" s="5">
        <v>908.57</v>
      </c>
      <c r="L295" s="5">
        <v>906.8102854113416</v>
      </c>
      <c r="M295" s="5">
        <f>K295-L295</f>
        <v>1.7597145886584258</v>
      </c>
      <c r="N295" s="21">
        <v>3778.14</v>
      </c>
      <c r="O295" s="21">
        <v>3839</v>
      </c>
      <c r="P295" s="21">
        <f>O295-N295</f>
        <v>60.86000000000013</v>
      </c>
      <c r="Q295" s="21">
        <f>K295*N295</f>
        <v>3432704.6598</v>
      </c>
      <c r="R295" s="21">
        <f>L295*O295</f>
        <v>3481244.6856941404</v>
      </c>
      <c r="S295" s="21">
        <f>R295-Q295</f>
        <v>48540.02589414036</v>
      </c>
      <c r="T295" t="str">
        <f>IF(R295&lt;= Q295,"No Monetizar","Monetizar")</f>
        <v>Monetizar</v>
      </c>
      <c r="V295" s="1">
        <v>45958</v>
      </c>
      <c r="W295" t="str">
        <v>Alfonso Fonseca A</v>
      </c>
      <c r="X295" t="str">
        <v>Alfonso Fonseca A</v>
      </c>
      <c r="Y295" t="str">
        <v>Se monetiza ya que el valor ofrecido por el banco en cada divisa es superior al valor facturado</v>
      </c>
      <c r="Z295" s="21">
        <f>K295*O295</f>
        <v>3488000.23</v>
      </c>
      <c r="AA295" s="21">
        <f>Z295-Q295</f>
        <v>55295.57019999996</v>
      </c>
    </row>
    <row r="296" outlineLevel="1">
      <c r="B296">
        <v>265</v>
      </c>
      <c r="C296" t="str">
        <v>Europortage</v>
      </c>
      <c r="D296" t="str">
        <v>FV-5-81</v>
      </c>
      <c r="E296" s="1">
        <v>45957</v>
      </c>
      <c r="F296" s="1">
        <v>45956</v>
      </c>
      <c r="J296" s="20">
        <f>IFERROR(IF(TODAY()&gt;=E296,(TODAY()-E296)/I296,0),0)</f>
        <v>0</v>
      </c>
      <c r="K296" s="5">
        <v>267.54</v>
      </c>
      <c r="L296" s="5">
        <v>267.02182964323094</v>
      </c>
      <c r="M296" s="5">
        <f>K296-L296</f>
        <v>0.5181703567690761</v>
      </c>
      <c r="N296" s="21">
        <v>3778.14</v>
      </c>
      <c r="O296" s="21">
        <v>3839</v>
      </c>
      <c r="P296" s="21">
        <f>O296-N296</f>
        <v>60.86000000000013</v>
      </c>
      <c r="Q296" s="21">
        <f>K296*N296</f>
        <v>1010803.5756000001</v>
      </c>
      <c r="R296" s="21">
        <f>L296*O296</f>
        <v>1025096.8040003636</v>
      </c>
      <c r="S296" s="21">
        <f>R296-Q296</f>
        <v>14293.22840036347</v>
      </c>
      <c r="T296" t="str">
        <f>IF(R296&lt;= Q296,"No Monetizar","Monetizar")</f>
        <v>Monetizar</v>
      </c>
      <c r="V296" s="1">
        <v>45958</v>
      </c>
      <c r="W296" t="str">
        <v>Alfonso Fonseca A</v>
      </c>
      <c r="X296" t="str">
        <v>Alfonso Fonseca A</v>
      </c>
      <c r="Y296" t="str">
        <v>Se monetiza ya que el valor ofrecido por el banco en cada divisa es superior al valor facturado</v>
      </c>
      <c r="Z296" s="21">
        <f>K296*O296</f>
        <v>1027086.06</v>
      </c>
      <c r="AA296" s="21">
        <f>Z296-Q296</f>
        <v>16282.484399999958</v>
      </c>
    </row>
    <row r="297" outlineLevel="1">
      <c r="B297">
        <v>266</v>
      </c>
      <c r="C297" t="str">
        <v>Insider</v>
      </c>
      <c r="D297">
        <v>6399</v>
      </c>
      <c r="E297" s="1">
        <v>45961</v>
      </c>
      <c r="F297" s="1">
        <v>46021</v>
      </c>
      <c r="J297" s="20">
        <f>IFERROR(IF(TODAY()&gt;=E297,(TODAY()-E297)/I297,0),0)</f>
        <v>0</v>
      </c>
      <c r="K297" s="5">
        <v>5652.5</v>
      </c>
      <c r="L297" s="5">
        <v>5651.35151538724</v>
      </c>
      <c r="M297" s="5">
        <f>K297-L297</f>
        <v>1.148484612759603</v>
      </c>
      <c r="N297" s="21">
        <v>3777.97</v>
      </c>
      <c r="O297" s="21">
        <v>3851</v>
      </c>
      <c r="P297" s="21">
        <f>O297-N297</f>
        <v>73.0300000000002</v>
      </c>
      <c r="Q297" s="21">
        <f>K297*N297</f>
        <v>21354975.424999997</v>
      </c>
      <c r="R297" s="21">
        <f>L297*O297</f>
        <v>21763354.685756262</v>
      </c>
      <c r="S297" s="21">
        <f>R297-Q297</f>
        <v>408379.2607562654</v>
      </c>
      <c r="T297" t="str">
        <f>IF(R297&lt;= Q297,"No Monetizar","Monetizar")</f>
        <v>Monetizar</v>
      </c>
      <c r="V297" s="1">
        <v>45961</v>
      </c>
      <c r="W297" t="str">
        <v>Alfonso Fonseca A</v>
      </c>
      <c r="X297" t="str">
        <v>Alfonso Fonseca A</v>
      </c>
      <c r="Y297" t="str">
        <v>Se monetiza ya que el valor ofrecido por el banco en cada divisa es superior al valor facturado</v>
      </c>
      <c r="Z297" s="21">
        <f>K297*O297</f>
        <v>21767777.5</v>
      </c>
      <c r="AA297" s="21">
        <f>Z297-Q297</f>
        <v>412802.075000003</v>
      </c>
    </row>
    <row r="298" outlineLevel="1">
      <c r="B298">
        <v>267</v>
      </c>
      <c r="C298" t="str">
        <v>Insider</v>
      </c>
      <c r="D298" t="str">
        <v>FV-5-94</v>
      </c>
      <c r="E298" s="1">
        <v>45961</v>
      </c>
      <c r="F298" s="1">
        <v>46021</v>
      </c>
      <c r="J298" s="20">
        <f>IFERROR(IF(TODAY()&gt;=E298,(TODAY()-E298)/I298,0),0)</f>
        <v>0</v>
      </c>
      <c r="K298" s="5">
        <v>166607.1</v>
      </c>
      <c r="L298" s="5">
        <v>166573.24848461276</v>
      </c>
      <c r="M298" s="5">
        <f>K298-L298</f>
        <v>33.851515387243126</v>
      </c>
      <c r="N298" s="21">
        <v>3777.97</v>
      </c>
      <c r="O298" s="21">
        <v>3851</v>
      </c>
      <c r="P298" s="21">
        <f>O298-N298</f>
        <v>73.0300000000002</v>
      </c>
      <c r="Q298" s="21">
        <f>K298*N298</f>
        <v>629436625.587</v>
      </c>
      <c r="R298" s="21">
        <f>L298*O298</f>
        <v>641473579.9142437</v>
      </c>
      <c r="S298" s="21">
        <f>R298-Q298</f>
        <v>12036954.327243686</v>
      </c>
      <c r="T298" t="str">
        <f>IF(R298&lt;= Q298,"No Monetizar","Monetizar")</f>
        <v>Monetizar</v>
      </c>
      <c r="V298" s="1">
        <v>45961</v>
      </c>
      <c r="W298" t="str">
        <v>Alfonso Fonseca A</v>
      </c>
      <c r="X298" t="str">
        <v>Alfonso Fonseca A</v>
      </c>
      <c r="Y298" t="str">
        <v>Se monetiza ya que el valor ofrecido por el banco en cada divisa es superior al valor facturado</v>
      </c>
      <c r="Z298" s="21">
        <f>K298*O298</f>
        <v>641603942.1</v>
      </c>
      <c r="AA298" s="21">
        <f>Z298-Q298</f>
        <v>12167316.513000011</v>
      </c>
    </row>
    <row r="299" ht="15" customHeight="1" outlineLevel="1">
      <c r="B299">
        <v>268</v>
      </c>
      <c r="C299" t="str">
        <v>Remofirst</v>
      </c>
      <c r="D299" t="str">
        <v>FV-5-76</v>
      </c>
      <c r="E299" s="1">
        <v>45960</v>
      </c>
      <c r="F299" s="1">
        <v>46020</v>
      </c>
      <c r="J299" s="20">
        <f>IFERROR(IF(TODAY()&gt;=E299,(TODAY()-E299)/I299,0),0)</f>
        <v>0</v>
      </c>
      <c r="K299" s="5">
        <v>2981.05</v>
      </c>
      <c r="L299" s="5">
        <v>2981.05</v>
      </c>
      <c r="M299" s="5">
        <f>K299-L299</f>
        <v>0</v>
      </c>
      <c r="N299" s="21">
        <v>3751.51</v>
      </c>
      <c r="O299" s="21">
        <v>3850</v>
      </c>
      <c r="P299" s="21">
        <f>O299-N299</f>
        <v>98.48999999999978</v>
      </c>
      <c r="Q299" s="21">
        <f>K299*N299</f>
        <v>11183438.8855</v>
      </c>
      <c r="R299" s="21">
        <f>L299*O299</f>
        <v>11477042.5</v>
      </c>
      <c r="S299" s="21">
        <f>R299-Q299</f>
        <v>293603.6144999992</v>
      </c>
      <c r="T299" t="str">
        <f>IF(R299&lt;= Q299,"No Monetizar","Monetizar")</f>
        <v>Monetizar</v>
      </c>
      <c r="V299" s="1">
        <v>45961</v>
      </c>
      <c r="W299" t="str">
        <v>Alfonso Fonseca A</v>
      </c>
      <c r="X299" t="str">
        <v>Alfonso Fonseca A</v>
      </c>
      <c r="Y299" t="str">
        <v>Se monetiza ya que el valor ofrecido por el banco en cada divisa es superior al valor facturado</v>
      </c>
      <c r="Z299" s="21">
        <f>K299*O299</f>
        <v>11477042.5</v>
      </c>
      <c r="AA299" s="21">
        <f>Z299-Q299</f>
        <v>293603.6144999992</v>
      </c>
    </row>
    <row r="300" ht="15" customHeight="1" outlineLevel="1" xml:space="preserve">
      <c r="B300">
        <v>269</v>
      </c>
      <c r="C300" t="str">
        <v>Safeguard Payroll LTD</v>
      </c>
      <c r="D300" t="str">
        <v>5999-6003</v>
      </c>
      <c r="E300" s="1">
        <v>45902</v>
      </c>
      <c r="F300" s="1">
        <v>45962</v>
      </c>
      <c r="J300" s="20">
        <f>IFERROR(IF(TODAY()&gt;=E300,(TODAY()-E300)/I300,0),0)</f>
        <v>0</v>
      </c>
      <c r="K300" s="5">
        <v>10959.130000000001</v>
      </c>
      <c r="L300" s="5">
        <v>10959.130000000001</v>
      </c>
      <c r="M300" s="5">
        <f>K300-L300</f>
        <v>0</v>
      </c>
      <c r="N300" s="21">
        <v>4106.79</v>
      </c>
      <c r="O300" s="21">
        <v>3845</v>
      </c>
      <c r="P300" s="21">
        <f>O300-N300</f>
        <v>-261.78999999999996</v>
      </c>
      <c r="Q300" s="21">
        <f>K300*N300</f>
        <v>45006845.4927</v>
      </c>
      <c r="R300" s="21">
        <f>L300*O300</f>
        <v>42137854.85</v>
      </c>
      <c r="S300" s="21">
        <f>R300-Q300</f>
        <v>-2868990.6427000016</v>
      </c>
      <c r="T300" t="str">
        <f>IF(R300&lt;= Q300,"No Monetizar","Monetizar")</f>
        <v>No Monetizar</v>
      </c>
      <c r="V300" s="1">
        <v>45961</v>
      </c>
      <c r="W300" t="str">
        <v>Alfonso Fonseca A</v>
      </c>
      <c r="X300" t="str">
        <v>Alfonso Fonseca A</v>
      </c>
      <c r="Y300"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$ 90,110.599, y si lo ingresamos en este momento a una tasa de 3.845,40, entrarían $ 85.034.097, lo que representa una diferencia de $ 5.076.501,50, aproximadamente un 6%.  esta transacción fue aprobada por el director general  basado en estas condiciones planteadas_x000d_
</v>
      </c>
      <c r="Z300" s="21">
        <f>K300*O300</f>
        <v>42137854.85</v>
      </c>
      <c r="AA300" s="21">
        <f>Z300-Q300</f>
        <v>-2868990.6427000016</v>
      </c>
    </row>
    <row r="301" ht="15" customHeight="1" outlineLevel="1" xml:space="preserve">
      <c r="B301">
        <v>270</v>
      </c>
      <c r="C301" t="str">
        <v>Safeguard Payroll LTD</v>
      </c>
      <c r="D301" t="str">
        <v>6083-6089</v>
      </c>
      <c r="E301" s="1">
        <v>45902</v>
      </c>
      <c r="F301" s="1">
        <v>45962</v>
      </c>
      <c r="J301" s="20">
        <f>IFERROR(IF(TODAY()&gt;=E301,(TODAY()-E301)/I301,0),0)</f>
        <v>0</v>
      </c>
      <c r="K301" s="5">
        <v>11156.37</v>
      </c>
      <c r="L301" s="5">
        <v>11156.37</v>
      </c>
      <c r="M301" s="5">
        <f>K301-L301</f>
        <v>0</v>
      </c>
      <c r="N301" s="21">
        <v>4042.87</v>
      </c>
      <c r="O301" s="21">
        <v>3845</v>
      </c>
      <c r="P301" s="21">
        <f>O301-N301</f>
        <v>-197.8699999999999</v>
      </c>
      <c r="Q301" s="21">
        <f>K301*N301</f>
        <v>45103753.5819</v>
      </c>
      <c r="R301" s="21">
        <f>L301*O301</f>
        <v>42896242.650000006</v>
      </c>
      <c r="S301" s="21">
        <f>R301-Q301</f>
        <v>-2207510.9318999946</v>
      </c>
      <c r="T301" t="str">
        <f>IF(R301&lt;= Q301,"No Monetizar","Monetizar")</f>
        <v>No Monetizar</v>
      </c>
      <c r="V301" s="1">
        <v>45961</v>
      </c>
      <c r="W301" t="str">
        <v>Alfonso Fonseca A</v>
      </c>
      <c r="X301" t="str">
        <v>Alfonso Fonseca A</v>
      </c>
      <c r="Y301"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$ 90,110.599, y si lo ingresamos en este momento a una tasa de 3.845,40, entrarían $ 85.034.097, lo que representa una diferencia de $ 5.076.501,50, aproximadamente un 6%.  esta transacción fue aprobada por el director general  basado en estas condiciones planteadas_x000d_
</v>
      </c>
      <c r="Z301" s="21">
        <f>K301*O301</f>
        <v>42896242.650000006</v>
      </c>
      <c r="AA301" s="21">
        <f>Z301-Q301</f>
        <v>-2207510.9318999946</v>
      </c>
    </row>
    <row r="302" ht="15" customHeight="1" outlineLevel="1" xml:space="preserve">
      <c r="B302">
        <v>271</v>
      </c>
      <c r="C302" t="str">
        <v>Safeguard Payroll LLC</v>
      </c>
      <c r="D302" t="str">
        <v>5990-5998</v>
      </c>
      <c r="E302" s="1">
        <v>45902</v>
      </c>
      <c r="F302" s="1">
        <v>45962</v>
      </c>
      <c r="J302" s="20">
        <f>IFERROR(IF(TODAY()&gt;=E302,(TODAY()-E302)/I302,0),0)</f>
        <v>0</v>
      </c>
      <c r="K302" s="5">
        <v>10274.27</v>
      </c>
      <c r="L302" s="5">
        <v>10266.27</v>
      </c>
      <c r="M302" s="5">
        <f>K302-L302</f>
        <v>8</v>
      </c>
      <c r="N302" s="21">
        <v>4106.79</v>
      </c>
      <c r="O302" s="21">
        <v>3845</v>
      </c>
      <c r="P302" s="21">
        <f>O302-N302</f>
        <v>-261.78999999999996</v>
      </c>
      <c r="Q302" s="21">
        <f>K302*N302</f>
        <v>42194269.2933</v>
      </c>
      <c r="R302" s="21">
        <f>L302*O302</f>
        <v>39473808.15</v>
      </c>
      <c r="S302" s="21">
        <f>R302-Q302</f>
        <v>-2720461.1433000043</v>
      </c>
      <c r="T302" t="str">
        <f>IF(R302&lt;= Q302,"No Monetizar","Monetizar")</f>
        <v>No Monetizar</v>
      </c>
      <c r="V302" s="1">
        <v>45961</v>
      </c>
      <c r="W302" t="str">
        <v>Alfonso Fonseca A</v>
      </c>
      <c r="X302" t="str">
        <v>Alfonso Fonseca A</v>
      </c>
      <c r="Y302"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2" s="21">
        <f>K302*O302</f>
        <v>39504568.15</v>
      </c>
      <c r="AA302" s="21">
        <f>Z302-Q302</f>
        <v>-2689701.1433000043</v>
      </c>
    </row>
    <row r="303" ht="15" customHeight="1" outlineLevel="1" xml:space="preserve">
      <c r="B303">
        <v>272</v>
      </c>
      <c r="C303" t="str">
        <v>Safeguard Payroll LLC</v>
      </c>
      <c r="D303" t="str">
        <v>6075-6081 y 6088</v>
      </c>
      <c r="E303" s="1">
        <v>45902</v>
      </c>
      <c r="F303" s="1">
        <v>45962</v>
      </c>
      <c r="J303" s="20">
        <f>IFERROR(IF(TODAY()&gt;=E303,(TODAY()-E303)/I303,0),0)</f>
        <v>0</v>
      </c>
      <c r="K303" s="5">
        <v>10655.230000000001</v>
      </c>
      <c r="L303" s="5">
        <v>10648.23</v>
      </c>
      <c r="M303" s="5">
        <f>K303-L303</f>
        <v>7.000000000001819</v>
      </c>
      <c r="N303" s="21">
        <v>4042.87</v>
      </c>
      <c r="O303" s="21">
        <v>3845</v>
      </c>
      <c r="P303" s="21">
        <f>O303-N303</f>
        <v>-197.8699999999999</v>
      </c>
      <c r="Q303" s="21">
        <f>K303*N303</f>
        <v>43077709.7101</v>
      </c>
      <c r="R303" s="21">
        <f>L303*O303</f>
        <v>40942444.35</v>
      </c>
      <c r="S303" s="21">
        <f>R303-Q303</f>
        <v>-2135265.360100001</v>
      </c>
      <c r="T303" t="str">
        <f>IF(R303&lt;= Q303,"No Monetizar","Monetizar")</f>
        <v>No Monetizar</v>
      </c>
      <c r="V303" s="1">
        <v>45961</v>
      </c>
      <c r="W303" t="str">
        <v>Alfonso Fonseca A</v>
      </c>
      <c r="X303" t="str">
        <v>Alfonso Fonseca A</v>
      </c>
      <c r="Y303"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3" s="21">
        <f>K303*O303</f>
        <v>40969359.35000001</v>
      </c>
      <c r="AA303" s="21">
        <f>Z303-Q303</f>
        <v>-2108350.3600999936</v>
      </c>
    </row>
    <row r="304" ht="15" customHeight="1" outlineLevel="1" xml:space="preserve">
      <c r="B304">
        <v>273</v>
      </c>
      <c r="C304" t="str">
        <v>Endrington</v>
      </c>
      <c r="D304">
        <v>6363</v>
      </c>
      <c r="E304" s="1">
        <v>45960</v>
      </c>
      <c r="F304" s="1">
        <v>46020</v>
      </c>
      <c r="J304" s="20">
        <f>IFERROR(IF(TODAY()&gt;=E304,(TODAY()-E304)/I304,0),0)</f>
        <v>0</v>
      </c>
      <c r="K304" s="5">
        <f>597.71-16.62</f>
        <v>581.09</v>
      </c>
      <c r="L304" s="5">
        <f>597.71-16.62</f>
        <v>581.09</v>
      </c>
      <c r="M304" s="5">
        <f>K304-L304</f>
        <v>0</v>
      </c>
      <c r="N304" s="21">
        <v>3834.98</v>
      </c>
      <c r="O304" s="21">
        <v>3785.58</v>
      </c>
      <c r="P304" s="21">
        <f>O304-N304</f>
        <v>-49.40000000000009</v>
      </c>
      <c r="Q304" s="21">
        <f>K304*N304</f>
        <v>2228468.5282</v>
      </c>
      <c r="R304" s="21">
        <f>L304*O304</f>
        <v>2199762.6822</v>
      </c>
      <c r="S304" s="21">
        <f>R304-Q304</f>
        <v>-28705.845999999903</v>
      </c>
      <c r="T304" t="str">
        <f>IF(R304&lt;= Q304,"No Monetizar","Monetizar")</f>
        <v>No Monetizar</v>
      </c>
      <c r="V304" s="1">
        <v>45961</v>
      </c>
      <c r="W304" t="str">
        <v>Alfonso Fonseca A</v>
      </c>
      <c r="X304" t="str">
        <v>Alfonso Fonseca A</v>
      </c>
      <c r="Y304"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4" s="21">
        <f>K304*O304</f>
        <v>2199762.6822</v>
      </c>
      <c r="AA304" s="21">
        <f>Z304-Q304</f>
        <v>-28705.845999999903</v>
      </c>
    </row>
    <row r="305" ht="15" customHeight="1" outlineLevel="1" xml:space="preserve">
      <c r="B305">
        <v>274</v>
      </c>
      <c r="C305" t="str">
        <v>Endrington</v>
      </c>
      <c r="D305" t="str">
        <v>FV-5-84</v>
      </c>
      <c r="E305" s="1">
        <v>45960</v>
      </c>
      <c r="F305" s="1">
        <v>46020</v>
      </c>
      <c r="J305" s="20">
        <f>IFERROR(IF(TODAY()&gt;=E305,(TODAY()-E305)/I305,0),0)</f>
        <v>0</v>
      </c>
      <c r="K305" s="5">
        <v>10565.04</v>
      </c>
      <c r="L305" s="5">
        <v>10565.04</v>
      </c>
      <c r="M305" s="5">
        <f>K305-L305</f>
        <v>0</v>
      </c>
      <c r="N305" s="21">
        <v>3834.98</v>
      </c>
      <c r="O305" s="21">
        <v>3785.58</v>
      </c>
      <c r="P305" s="21">
        <f>O305-N305</f>
        <v>-49.40000000000009</v>
      </c>
      <c r="Q305" s="21">
        <f>K305*N305</f>
        <v>40516717.0992</v>
      </c>
      <c r="R305" s="21">
        <f>L305*O305</f>
        <v>39994804.1232</v>
      </c>
      <c r="S305" s="21">
        <f>R305-Q305</f>
        <v>-521912.9760000035</v>
      </c>
      <c r="T305" t="str">
        <f>IF(R305&lt;= Q305,"No Monetizar","Monetizar")</f>
        <v>No Monetizar</v>
      </c>
      <c r="V305" s="1">
        <v>45961</v>
      </c>
      <c r="W305" t="str">
        <v>Alfonso Fonseca A</v>
      </c>
      <c r="X305" t="str">
        <v>Alfonso Fonseca A</v>
      </c>
      <c r="Y305" t="str" xml:space="preserve">
        <v xml:space="preserve">Se monetiza el dinero por un menor valor conforme al siguiente análisis : se nos va a vence por tiempo el sabado 01 de noviembre , la facturación en su momento fue de USD 4.072,10 (promedio, son varias facturas a diferentes tasas).Durante estas dos semanas, el banco ha estado pagando en promedio una tasa entre 3.800 y 3.845, y aunque hoy está un poco más alta, con lo que hemos visto no vamos a llegar a los 3.900 que nos habíamos puesto como meta en la reunión de inicio de mes octubre. El valor esperado según la facturación es de 85.271.979, y si lo ingresamos en este momento a una tasa de 3.845, entrarían $ 80.416.252, lo que representa una diferencia de $ 4855726, aproximadamente un 6%.  esta transacción fue aprobada por el director general  basado en estas condiciones planteadas_x000d_
</v>
      </c>
      <c r="Z305" s="21">
        <f>K305*O305</f>
        <v>39994804.1232</v>
      </c>
      <c r="AA305" s="21">
        <f>Z305-Q305</f>
        <v>-521912.9760000035</v>
      </c>
    </row>
    <row r="306" outlineLevel="1">
      <c r="B306">
        <v>275</v>
      </c>
      <c r="C306" t="str">
        <v>Flexco</v>
      </c>
      <c r="D306">
        <v>6445</v>
      </c>
      <c r="E306" s="1">
        <v>45979</v>
      </c>
      <c r="F306" s="1">
        <v>46039</v>
      </c>
      <c r="J306" s="20">
        <f>IFERROR(IF(TODAY()&gt;=E306,(TODAY()-E306)/I306,0),0)</f>
        <v>0</v>
      </c>
      <c r="K306" s="5">
        <v>344.87</v>
      </c>
      <c r="L306" s="5">
        <v>344.0443180768006</v>
      </c>
      <c r="M306" s="5">
        <f>K306-L306</f>
        <v>0.8256819231993973</v>
      </c>
      <c r="N306" s="21">
        <v>3682.4</v>
      </c>
      <c r="O306" s="21">
        <v>3723.91</v>
      </c>
      <c r="P306" s="21">
        <f>O306-N306</f>
        <v>41.50999999999976</v>
      </c>
      <c r="Q306" s="21">
        <f>K306*N306</f>
        <v>1269949.288</v>
      </c>
      <c r="R306" s="21">
        <f>L306*O306</f>
        <v>1281190.0765293785</v>
      </c>
      <c r="S306" s="21">
        <f>R306-Q306</f>
        <v>11240.788529378595</v>
      </c>
      <c r="T306" t="str">
        <f>IF(R306&lt;= Q306,"No Monetizar","Monetizar")</f>
        <v>Monetizar</v>
      </c>
      <c r="V306" s="1">
        <v>45981</v>
      </c>
      <c r="W306" t="str">
        <v>Alfonso Fonseca A</v>
      </c>
      <c r="X306" t="str">
        <v>Alfonso Fonseca A</v>
      </c>
      <c r="Y306" t="str">
        <v>Se monetiza ya que el valor ofrecido por el banco en cada divisa es superior al valor facturado</v>
      </c>
      <c r="Z306" s="21">
        <f>K306*O306</f>
        <v>1284264.8417</v>
      </c>
      <c r="AA306" s="21">
        <f>Z306-Q306</f>
        <v>14315.553700000048</v>
      </c>
    </row>
    <row r="307" outlineLevel="1">
      <c r="B307">
        <v>276</v>
      </c>
      <c r="C307" t="str">
        <v>Flexco</v>
      </c>
      <c r="D307" t="str">
        <v>FV-5-102</v>
      </c>
      <c r="E307" s="1">
        <v>45979</v>
      </c>
      <c r="F307" s="1">
        <v>46039</v>
      </c>
      <c r="J307" s="20">
        <f>IFERROR(IF(TODAY()&gt;=E307,(TODAY()-E307)/I307,0),0)</f>
        <v>0</v>
      </c>
      <c r="K307" s="5">
        <v>3831.92</v>
      </c>
      <c r="L307" s="5">
        <v>3822.7456819231993</v>
      </c>
      <c r="M307" s="5">
        <f>K307-L307</f>
        <v>9.174318076800773</v>
      </c>
      <c r="N307" s="21">
        <v>3682.4</v>
      </c>
      <c r="O307" s="21">
        <v>3723.91</v>
      </c>
      <c r="P307" s="21">
        <f>O307-N307</f>
        <v>41.50999999999976</v>
      </c>
      <c r="Q307" s="21">
        <f>K307*N307</f>
        <v>14110662.208</v>
      </c>
      <c r="R307" s="21">
        <f>L307*O307</f>
        <v>14235560.872370621</v>
      </c>
      <c r="S307" s="21">
        <f>R307-Q307</f>
        <v>124898.66437062062</v>
      </c>
      <c r="T307" t="str">
        <f>IF(R307&lt;= Q307,"No Monetizar","Monetizar")</f>
        <v>Monetizar</v>
      </c>
      <c r="V307" s="1">
        <v>45981</v>
      </c>
      <c r="W307" t="str">
        <v>Alfonso Fonseca A</v>
      </c>
      <c r="X307" t="str">
        <v>Alfonso Fonseca A</v>
      </c>
      <c r="Y307" t="str">
        <v>Se monetiza ya que el valor ofrecido por el banco en cada divisa es superior al valor facturado</v>
      </c>
      <c r="Z307" s="21">
        <f>K307*O307</f>
        <v>14269725.2072</v>
      </c>
      <c r="AA307" s="21">
        <f>Z307-Q307</f>
        <v>159062.9991999995</v>
      </c>
    </row>
    <row r="308" outlineLevel="1">
      <c r="B308">
        <v>277</v>
      </c>
      <c r="C308" t="str">
        <v>Equus Global Expansion, LLC</v>
      </c>
      <c r="D308">
        <v>6452</v>
      </c>
      <c r="E308" s="1">
        <v>45980</v>
      </c>
      <c r="F308" s="1">
        <v>46040</v>
      </c>
      <c r="J308" s="20">
        <f>IFERROR(IF(TODAY()&gt;=E308,(TODAY()-E308)/I308,0),0)</f>
        <v>0</v>
      </c>
      <c r="K308" s="5">
        <v>178.5</v>
      </c>
      <c r="L308" s="5">
        <v>178.5</v>
      </c>
      <c r="M308" s="5">
        <f>K308-L308</f>
        <v>0</v>
      </c>
      <c r="N308" s="21">
        <v>3663.81</v>
      </c>
      <c r="O308" s="21">
        <v>3723.91</v>
      </c>
      <c r="P308" s="21">
        <f>O308-N308</f>
        <v>60.09999999999991</v>
      </c>
      <c r="Q308" s="21">
        <f>K308*N308</f>
        <v>653990.085</v>
      </c>
      <c r="R308" s="21">
        <f>L308*O308</f>
        <v>664717.9349999999</v>
      </c>
      <c r="S308" s="21">
        <f>R308-Q308</f>
        <v>10727.849999999977</v>
      </c>
      <c r="T308" t="str">
        <f>IF(R308&lt;= Q308,"No Monetizar","Monetizar")</f>
        <v>Monetizar</v>
      </c>
      <c r="V308" s="1">
        <v>45981</v>
      </c>
      <c r="W308" t="str">
        <v>Alfonso Fonseca A</v>
      </c>
      <c r="X308" t="str">
        <v>Alfonso Fonseca A</v>
      </c>
      <c r="Y308" t="str">
        <v>Se monetiza ya que el valor ofrecido por el banco en cada divisa es superior al valor facturado</v>
      </c>
      <c r="Z308" s="21">
        <f>K308*O308</f>
        <v>664717.9349999999</v>
      </c>
      <c r="AA308" s="21">
        <f>Z308-Q308</f>
        <v>10727.849999999977</v>
      </c>
    </row>
    <row r="309" outlineLevel="1">
      <c r="B309">
        <v>278</v>
      </c>
      <c r="C309" t="str">
        <v>Equus Global Expansion, LLC</v>
      </c>
      <c r="D309" t="str">
        <v>FV-5-109</v>
      </c>
      <c r="E309" s="1">
        <v>45980</v>
      </c>
      <c r="F309" s="1">
        <v>46040</v>
      </c>
      <c r="J309" s="20">
        <f>IFERROR(IF(TODAY()&gt;=E309,(TODAY()-E309)/I309,0),0)</f>
        <v>0</v>
      </c>
      <c r="K309" s="5">
        <v>1408.82</v>
      </c>
      <c r="L309" s="5">
        <v>1408.82</v>
      </c>
      <c r="M309" s="5">
        <f>K309-L309</f>
        <v>0</v>
      </c>
      <c r="N309" s="21">
        <v>3663.81</v>
      </c>
      <c r="O309" s="21">
        <v>3723.91</v>
      </c>
      <c r="P309" s="21">
        <f>O309-N309</f>
        <v>60.09999999999991</v>
      </c>
      <c r="Q309" s="21">
        <f>K309*N309</f>
        <v>5161648.8042</v>
      </c>
      <c r="R309" s="21">
        <f>L309*O309</f>
        <v>5246318.8862</v>
      </c>
      <c r="S309" s="21">
        <f>R309-Q309</f>
        <v>84670.08199999947</v>
      </c>
      <c r="T309" t="str">
        <f>IF(R309&lt;= Q309,"No Monetizar","Monetizar")</f>
        <v>Monetizar</v>
      </c>
      <c r="V309" s="1">
        <v>45981</v>
      </c>
      <c r="W309" t="str">
        <v>Alfonso Fonseca A</v>
      </c>
      <c r="X309" t="str">
        <v>Alfonso Fonseca A</v>
      </c>
      <c r="Y309" t="str">
        <v>Se monetiza ya que el valor ofrecido por el banco en cada divisa es superior al valor facturado</v>
      </c>
      <c r="Z309" s="21">
        <f>K309*O309</f>
        <v>5246318.8862</v>
      </c>
      <c r="AA309" s="21">
        <f>Z309-Q309</f>
        <v>84670.08199999947</v>
      </c>
    </row>
    <row r="310" outlineLevel="1">
      <c r="B310">
        <v>279</v>
      </c>
      <c r="C310" t="str">
        <v>Nazdar ink technologies</v>
      </c>
      <c r="D310">
        <v>6446</v>
      </c>
      <c r="E310" s="1">
        <v>45981</v>
      </c>
      <c r="F310" s="1">
        <v>46041</v>
      </c>
      <c r="J310" s="20">
        <f>IFERROR(IF(TODAY()&gt;=E310,(TODAY()-E310)/I310,0),0)</f>
        <v>0</v>
      </c>
      <c r="K310" s="5">
        <v>972.34</v>
      </c>
      <c r="L310" s="5">
        <v>971.4909445495205</v>
      </c>
      <c r="M310" s="5">
        <f>K310-L310</f>
        <v>0.8490554504795682</v>
      </c>
      <c r="N310" s="21">
        <v>3682.4</v>
      </c>
      <c r="O310" s="21">
        <v>3723.91</v>
      </c>
      <c r="P310" s="21">
        <f>O310-N310</f>
        <v>41.50999999999976</v>
      </c>
      <c r="Q310" s="21">
        <f>K310*N310</f>
        <v>3580544.816</v>
      </c>
      <c r="R310" s="21">
        <f>L310*O310</f>
        <v>3617744.8433174044</v>
      </c>
      <c r="S310" s="21">
        <f>R310-Q310</f>
        <v>37200.02731740428</v>
      </c>
      <c r="T310" t="str">
        <f>IF(R310&lt;= Q310,"No Monetizar","Monetizar")</f>
        <v>Monetizar</v>
      </c>
      <c r="V310" s="1">
        <v>45981</v>
      </c>
      <c r="W310" t="str">
        <v>Alfonso Fonseca A</v>
      </c>
      <c r="X310" t="str">
        <v>Alfonso Fonseca A</v>
      </c>
      <c r="Y310" t="str">
        <v>Se monetiza ya que el valor ofrecido por el banco en cada divisa es superior al valor facturado</v>
      </c>
      <c r="Z310" s="21">
        <f>K310*O310</f>
        <v>3620906.6494</v>
      </c>
      <c r="AA310" s="21">
        <f>Z310-Q310</f>
        <v>40361.83339999989</v>
      </c>
    </row>
    <row r="311" outlineLevel="1">
      <c r="B311">
        <v>280</v>
      </c>
      <c r="C311" t="str">
        <v>Nazdar ink technologies</v>
      </c>
      <c r="D311" t="str">
        <v>FV-5-103</v>
      </c>
      <c r="E311" s="1">
        <v>45981</v>
      </c>
      <c r="F311" s="1">
        <v>46041</v>
      </c>
      <c r="J311" s="20">
        <f>IFERROR(IF(TODAY()&gt;=E311,(TODAY()-E311)/I311,0),0)</f>
        <v>0</v>
      </c>
      <c r="K311" s="5">
        <v>16205.69</v>
      </c>
      <c r="L311" s="5">
        <v>16191.53905545048</v>
      </c>
      <c r="M311" s="5">
        <f>K311-L311</f>
        <v>14.150944549521228</v>
      </c>
      <c r="N311" s="21">
        <v>3682.4</v>
      </c>
      <c r="O311" s="21">
        <v>3723.91</v>
      </c>
      <c r="P311" s="21">
        <f>O311-N311</f>
        <v>41.50999999999976</v>
      </c>
      <c r="Q311" s="21">
        <f>K311*N311</f>
        <v>59675832.856000006</v>
      </c>
      <c r="R311" s="21">
        <f>L311*O311</f>
        <v>60295834.20398259</v>
      </c>
      <c r="S311" s="21">
        <f>R311-Q311</f>
        <v>620001.3479825854</v>
      </c>
      <c r="T311" t="str">
        <f>IF(R311&lt;= Q311,"No Monetizar","Monetizar")</f>
        <v>Monetizar</v>
      </c>
      <c r="V311" s="1">
        <v>45981</v>
      </c>
      <c r="W311" t="str">
        <v>Alfonso Fonseca A</v>
      </c>
      <c r="X311" t="str">
        <v>Alfonso Fonseca A</v>
      </c>
      <c r="Y311" t="str">
        <v>Se monetiza ya que el valor ofrecido por el banco en cada divisa es superior al valor facturado</v>
      </c>
      <c r="Z311" s="21">
        <f>K311*O311</f>
        <v>60348531.0479</v>
      </c>
      <c r="AA311" s="21">
        <f>Z311-Q311</f>
        <v>672698.1918999925</v>
      </c>
    </row>
    <row r="312" outlineLevel="1">
      <c r="B312">
        <v>281</v>
      </c>
      <c r="C312" t="str">
        <v>Hemmebarsch GMBH &amp; Co KG</v>
      </c>
      <c r="D312">
        <v>6349</v>
      </c>
      <c r="E312" s="1">
        <v>45973</v>
      </c>
      <c r="F312" s="1">
        <v>46033</v>
      </c>
      <c r="J312" s="20">
        <f>IFERROR(IF(TODAY()&gt;=E312,(TODAY()-E312)/I312,0),0)</f>
        <v>0</v>
      </c>
      <c r="K312" s="5">
        <v>113.59</v>
      </c>
      <c r="L312" s="5">
        <v>113.59</v>
      </c>
      <c r="M312" s="5">
        <f>K312-L312</f>
        <v>0</v>
      </c>
      <c r="N312" s="21">
        <v>3763.41</v>
      </c>
      <c r="O312" s="21">
        <v>3723.91</v>
      </c>
      <c r="P312" s="21">
        <f>O312-N312</f>
        <v>-39.5</v>
      </c>
      <c r="Q312" s="21">
        <f>K312*N312</f>
        <v>427485.7419</v>
      </c>
      <c r="R312" s="21">
        <f>L312*O312</f>
        <v>422998.9369</v>
      </c>
      <c r="S312" s="21">
        <f>R312-Q312</f>
        <v>-4486.805000000051</v>
      </c>
      <c r="T312" t="str">
        <f>IF(R312&lt;= Q312,"No Monetizar","Monetizar")</f>
        <v>No Monetizar</v>
      </c>
      <c r="V312" s="1">
        <v>45982</v>
      </c>
      <c r="W312" t="str">
        <v>Alfonso Fonseca A</v>
      </c>
      <c r="X312" t="str">
        <v>Alfonso Fonseca A</v>
      </c>
      <c r="Y312" t="str">
        <v>Se monetiza ya que el valor ofrecido por el banco en cada divisa es superior al valor facturado</v>
      </c>
      <c r="Z312" s="21">
        <f>K312*O312</f>
        <v>422998.9369</v>
      </c>
      <c r="AA312" s="21">
        <f>Z312-Q312</f>
        <v>-4486.805000000051</v>
      </c>
    </row>
    <row r="313" outlineLevel="1">
      <c r="B313">
        <v>282</v>
      </c>
      <c r="C313" t="str">
        <v>Hemmebarsch GMBH &amp; Co KG</v>
      </c>
      <c r="D313" t="str">
        <v>FV-5-72</v>
      </c>
      <c r="E313" s="1">
        <v>45973</v>
      </c>
      <c r="F313" s="1">
        <v>46033</v>
      </c>
      <c r="J313" s="20">
        <f>IFERROR(IF(TODAY()&gt;=E313,(TODAY()-E313)/I313,0),0)</f>
        <v>0</v>
      </c>
      <c r="K313" s="5">
        <v>1135.86</v>
      </c>
      <c r="L313" s="5">
        <v>1135.86</v>
      </c>
      <c r="M313" s="5">
        <f>K313-L313</f>
        <v>0</v>
      </c>
      <c r="N313" s="21">
        <v>3763.41</v>
      </c>
      <c r="O313" s="21">
        <v>3723.91</v>
      </c>
      <c r="P313" s="21">
        <f>O313-N313</f>
        <v>-39.5</v>
      </c>
      <c r="Q313" s="21">
        <f>K313*N313</f>
        <v>4274706.882599999</v>
      </c>
      <c r="R313" s="21">
        <f>L313*O313</f>
        <v>4229840.412599999</v>
      </c>
      <c r="S313" s="21">
        <f>R313-Q313</f>
        <v>-44866.46999999974</v>
      </c>
      <c r="T313" t="str">
        <f>IF(R313&lt;= Q313,"No Monetizar","Monetizar")</f>
        <v>No Monetizar</v>
      </c>
      <c r="V313" s="1">
        <v>45982</v>
      </c>
      <c r="W313" t="str">
        <v>Alfonso Fonseca A</v>
      </c>
      <c r="X313" t="str">
        <v>Alfonso Fonseca A</v>
      </c>
      <c r="Y313" t="str">
        <v>Se monetiza ya que el valor ofrecido por el banco en cada divisa es superior al valor facturado</v>
      </c>
      <c r="Z313" s="21">
        <f>K313*O313</f>
        <v>4229840.412599999</v>
      </c>
      <c r="AA313" s="21">
        <f>Z313-Q313</f>
        <v>-44866.46999999974</v>
      </c>
    </row>
    <row r="314" outlineLevel="1">
      <c r="B314">
        <v>283</v>
      </c>
      <c r="C314" t="str">
        <v>Endrington</v>
      </c>
      <c r="D314">
        <v>6450</v>
      </c>
      <c r="E314" s="1">
        <v>45985</v>
      </c>
      <c r="F314" s="1">
        <v>46045</v>
      </c>
      <c r="J314" s="20">
        <f>IFERROR(IF(TODAY()&gt;=E314,(TODAY()-E314)/I314,0),0)</f>
        <v>0</v>
      </c>
      <c r="K314" s="5">
        <v>622.19</v>
      </c>
      <c r="L314" s="5">
        <v>622.19</v>
      </c>
      <c r="M314" s="5">
        <f>K314-L314</f>
        <v>0</v>
      </c>
      <c r="N314" s="21">
        <v>3763.41</v>
      </c>
      <c r="O314" s="21">
        <v>3785.7</v>
      </c>
      <c r="P314" s="21">
        <f>O314-N314</f>
        <v>22.289999999999964</v>
      </c>
      <c r="Q314" s="21">
        <f>K314*N314</f>
        <v>2341556.0679</v>
      </c>
      <c r="R314" s="21">
        <f>L314*O314</f>
        <v>2355424.683</v>
      </c>
      <c r="S314" s="21">
        <f>R314-Q314</f>
        <v>13868.615100000054</v>
      </c>
      <c r="T314" t="str">
        <f>IF(R314&lt;= Q314,"No Monetizar","Monetizar")</f>
        <v>Monetizar</v>
      </c>
      <c r="V314" s="1">
        <v>45985</v>
      </c>
      <c r="W314" t="str">
        <v>Alfonso Fonseca A</v>
      </c>
      <c r="X314" t="str">
        <v>Alfonso Fonseca A</v>
      </c>
      <c r="Y314" t="str">
        <v>Se monetiza ya que el valor ofrecido por el banco en cada divisa es superior al valor facturado</v>
      </c>
      <c r="Z314" s="21">
        <f>K314*O314</f>
        <v>2355424.683</v>
      </c>
      <c r="AA314" s="21">
        <f>Z314-Q314</f>
        <v>13868.615100000054</v>
      </c>
    </row>
    <row r="315" outlineLevel="1">
      <c r="B315">
        <v>284</v>
      </c>
      <c r="C315" t="str">
        <v>Endrington</v>
      </c>
      <c r="D315" t="str">
        <v>FV-5-107</v>
      </c>
      <c r="E315" s="1">
        <v>45985</v>
      </c>
      <c r="F315" s="1">
        <v>46045</v>
      </c>
      <c r="J315" s="20">
        <f>IFERROR(IF(TODAY()&gt;=E315,(TODAY()-E315)/I315,0),0)</f>
        <v>0</v>
      </c>
      <c r="K315" s="5">
        <v>11312.5</v>
      </c>
      <c r="L315" s="5">
        <v>11312.5</v>
      </c>
      <c r="M315" s="5">
        <f>K315-L315</f>
        <v>0</v>
      </c>
      <c r="N315" s="21">
        <v>3763.41</v>
      </c>
      <c r="O315" s="21">
        <v>3785.7</v>
      </c>
      <c r="P315" s="21">
        <f>O315-N315</f>
        <v>22.289999999999964</v>
      </c>
      <c r="Q315" s="21">
        <f>K315*N315</f>
        <v>42573575.625</v>
      </c>
      <c r="R315" s="21">
        <f>L315*O315</f>
        <v>42825731.25</v>
      </c>
      <c r="S315" s="21">
        <f>R315-Q315</f>
        <v>252155.625</v>
      </c>
      <c r="T315" t="str">
        <f>IF(R315&lt;= Q315,"No Monetizar","Monetizar")</f>
        <v>Monetizar</v>
      </c>
      <c r="V315" s="1">
        <v>45985</v>
      </c>
      <c r="W315" t="str">
        <v>Alfonso Fonseca A</v>
      </c>
      <c r="X315" t="str">
        <v>Alfonso Fonseca A</v>
      </c>
      <c r="Y315" t="str">
        <v>Se monetiza ya que el valor ofrecido por el banco en cada divisa es superior al valor facturado</v>
      </c>
      <c r="Z315" s="21">
        <f>K315*O315</f>
        <v>42825731.25</v>
      </c>
      <c r="AA315" s="21">
        <f>Z315-Q315</f>
        <v>252155.625</v>
      </c>
    </row>
    <row r="316" outlineLevel="1">
      <c r="B316">
        <v>285</v>
      </c>
      <c r="C316" t="str">
        <v>Marketing Doctors</v>
      </c>
      <c r="D316">
        <v>6457</v>
      </c>
      <c r="E316" s="1">
        <v>45985</v>
      </c>
      <c r="F316" s="1">
        <v>46045</v>
      </c>
      <c r="J316" s="20">
        <f>IFERROR(IF(TODAY()&gt;=E316,(TODAY()-E316)/I316,0),0)</f>
        <v>0</v>
      </c>
      <c r="K316" s="5">
        <v>173.07</v>
      </c>
      <c r="L316" s="5">
        <v>173.07</v>
      </c>
      <c r="M316" s="5">
        <f>K316-L316</f>
        <v>0</v>
      </c>
      <c r="N316" s="21">
        <v>3700.17</v>
      </c>
      <c r="O316" s="21">
        <v>3789.1</v>
      </c>
      <c r="P316" s="21">
        <f>O316-N316</f>
        <v>88.92999999999984</v>
      </c>
      <c r="Q316" s="21">
        <f>K316*N316</f>
        <v>640388.4219</v>
      </c>
      <c r="R316" s="21">
        <f>L316*O316</f>
        <v>655779.537</v>
      </c>
      <c r="S316" s="21">
        <f>R316-Q316</f>
        <v>15391.115100000054</v>
      </c>
      <c r="T316" t="str">
        <f>IF(R316&lt;= Q316,"No Monetizar","Monetizar")</f>
        <v>Monetizar</v>
      </c>
      <c r="V316" s="1">
        <v>45985</v>
      </c>
      <c r="W316" t="str">
        <v>Alfonso Fonseca A</v>
      </c>
      <c r="X316" t="str">
        <v>Alfonso Fonseca A</v>
      </c>
      <c r="Y316" t="str">
        <v>Se monetiza ya que el valor ofrecido por el banco en cada divisa es superior al valor facturado</v>
      </c>
      <c r="Z316" s="21">
        <f>K316*O316</f>
        <v>655779.537</v>
      </c>
      <c r="AA316" s="21">
        <f>Z316-Q316</f>
        <v>15391.115100000054</v>
      </c>
    </row>
    <row r="317" outlineLevel="1">
      <c r="B317">
        <v>286</v>
      </c>
      <c r="C317" t="str">
        <v>Marketing Doctors</v>
      </c>
      <c r="D317" t="str">
        <v>FV-5-114</v>
      </c>
      <c r="E317" s="1">
        <v>45985</v>
      </c>
      <c r="F317" s="1">
        <v>46045</v>
      </c>
      <c r="J317" s="20">
        <f>IFERROR(IF(TODAY()&gt;=E317,(TODAY()-E317)/I317,0),0)</f>
        <v>0</v>
      </c>
      <c r="K317" s="5">
        <v>1573.37</v>
      </c>
      <c r="L317" s="5">
        <v>1573.37</v>
      </c>
      <c r="M317" s="5">
        <f>K317-L317</f>
        <v>0</v>
      </c>
      <c r="N317" s="21">
        <v>3700.17</v>
      </c>
      <c r="O317" s="21">
        <v>3789.1</v>
      </c>
      <c r="P317" s="21">
        <f>O317-N317</f>
        <v>88.92999999999984</v>
      </c>
      <c r="Q317" s="21">
        <f>K317*N317</f>
        <v>5821736.4728999995</v>
      </c>
      <c r="R317" s="21">
        <f>L317*O317</f>
        <v>5961656.266999999</v>
      </c>
      <c r="S317" s="21">
        <f>R317-Q317</f>
        <v>139919.7940999996</v>
      </c>
      <c r="T317" t="str">
        <f>IF(R317&lt;= Q317,"No Monetizar","Monetizar")</f>
        <v>Monetizar</v>
      </c>
      <c r="V317" s="1">
        <v>45985</v>
      </c>
      <c r="W317" t="str">
        <v>Alfonso Fonseca A</v>
      </c>
      <c r="X317" t="str">
        <v>Alfonso Fonseca A</v>
      </c>
      <c r="Y317" t="str">
        <v>Se monetiza ya que el valor ofrecido por el banco en cada divisa es superior al valor facturado</v>
      </c>
      <c r="Z317" s="21">
        <f>K317*O317</f>
        <v>5961656.266999999</v>
      </c>
      <c r="AA317" s="21">
        <f>Z317-Q317</f>
        <v>139919.7940999996</v>
      </c>
    </row>
    <row r="318" outlineLevel="1">
      <c r="B318">
        <v>287</v>
      </c>
      <c r="C318" t="str">
        <v xml:space="preserve">Action </v>
      </c>
      <c r="D318">
        <v>6457</v>
      </c>
      <c r="E318" s="1">
        <v>45986</v>
      </c>
      <c r="F318" s="1">
        <v>46046</v>
      </c>
      <c r="J318" s="20">
        <f>IFERROR(IF(TODAY()&gt;=E318,(TODAY()-E318)/I318,0),0)</f>
        <v>0</v>
      </c>
      <c r="K318" s="5">
        <v>360.17</v>
      </c>
      <c r="L318" s="5">
        <v>360.17</v>
      </c>
      <c r="M318" s="5">
        <f>K318-L318</f>
        <v>0</v>
      </c>
      <c r="N318" s="21">
        <v>3700.17</v>
      </c>
      <c r="O318" s="21">
        <v>3789.1</v>
      </c>
      <c r="P318" s="21">
        <f>O318-N318</f>
        <v>88.92999999999984</v>
      </c>
      <c r="Q318" s="21">
        <f>K318*N318</f>
        <v>1332690.2289</v>
      </c>
      <c r="R318" s="21">
        <f>L318*O318</f>
        <v>1364720.147</v>
      </c>
      <c r="S318" s="21">
        <f>R318-Q318</f>
        <v>32029.918100000126</v>
      </c>
      <c r="T318" t="str">
        <f>IF(R318&lt;= Q318,"No Monetizar","Monetizar")</f>
        <v>Monetizar</v>
      </c>
      <c r="V318" s="1">
        <v>45986</v>
      </c>
      <c r="W318" t="str">
        <v>Alfonso Fonseca A</v>
      </c>
      <c r="X318" t="str">
        <v>Alfonso Fonseca A</v>
      </c>
      <c r="Y318" t="str">
        <v>Se monetiza ya que el valor ofrecido por el banco en cada divisa es superior al valor facturado</v>
      </c>
      <c r="Z318" s="21">
        <f>K318*O318</f>
        <v>1364720.147</v>
      </c>
      <c r="AA318" s="21">
        <f>Z318-Q318</f>
        <v>32029.918100000126</v>
      </c>
    </row>
    <row r="319" outlineLevel="1">
      <c r="B319">
        <v>288</v>
      </c>
      <c r="C319" t="str">
        <v>Action</v>
      </c>
      <c r="D319" t="str">
        <v>FV-5-114</v>
      </c>
      <c r="E319" s="1">
        <v>45986</v>
      </c>
      <c r="F319" s="1">
        <v>46046</v>
      </c>
      <c r="J319" s="20">
        <f>IFERROR(IF(TODAY()&gt;=E319,(TODAY()-E319)/I319,0),0)</f>
        <v>0</v>
      </c>
      <c r="K319" s="5">
        <v>3274.24</v>
      </c>
      <c r="L319" s="5">
        <v>3274.24</v>
      </c>
      <c r="M319" s="5">
        <f>K319-L319</f>
        <v>0</v>
      </c>
      <c r="N319" s="21">
        <v>3700.17</v>
      </c>
      <c r="O319" s="21">
        <v>3789.1</v>
      </c>
      <c r="P319" s="21">
        <f>O319-N319</f>
        <v>88.92999999999984</v>
      </c>
      <c r="Q319" s="21">
        <f>K319*N319</f>
        <v>12115244.6208</v>
      </c>
      <c r="R319" s="21">
        <f>L319*O319</f>
        <v>12406422.783999998</v>
      </c>
      <c r="S319" s="21">
        <f>R319-Q319</f>
        <v>291178.16319999844</v>
      </c>
      <c r="T319" t="str">
        <f>IF(R319&lt;= Q319,"No Monetizar","Monetizar")</f>
        <v>Monetizar</v>
      </c>
      <c r="V319" s="1">
        <v>45986</v>
      </c>
      <c r="W319" t="str">
        <v>Alfonso Fonseca A</v>
      </c>
      <c r="X319" t="str">
        <v>Alfonso Fonseca A</v>
      </c>
      <c r="Y319" t="str">
        <v>Se monetiza ya que el valor ofrecido por el banco en cada divisa es superior al valor facturado</v>
      </c>
      <c r="Z319" s="21">
        <f>K319*O319</f>
        <v>12406422.783999998</v>
      </c>
      <c r="AA319" s="21">
        <f>Z319-Q319</f>
        <v>291178.16319999844</v>
      </c>
    </row>
    <row r="320" outlineLevel="1">
      <c r="B320">
        <v>289</v>
      </c>
      <c r="C320" t="str">
        <v>Oncehub</v>
      </c>
      <c r="D320">
        <v>6457</v>
      </c>
      <c r="E320" s="1">
        <v>45986</v>
      </c>
      <c r="F320" s="1">
        <v>46046</v>
      </c>
      <c r="J320" s="20">
        <f>IFERROR(IF(TODAY()&gt;=E320,(TODAY()-E320)/I320,0),0)</f>
        <v>0</v>
      </c>
      <c r="K320" s="5">
        <v>285.6</v>
      </c>
      <c r="L320" s="5">
        <v>283.96166197231577</v>
      </c>
      <c r="M320" s="5">
        <v>1.6383380276842558</v>
      </c>
      <c r="N320" s="21">
        <v>3667.91</v>
      </c>
      <c r="O320" s="21">
        <v>3789.1</v>
      </c>
      <c r="P320" s="21">
        <f>O320-N320</f>
        <v>121.19000000000005</v>
      </c>
      <c r="Q320" s="21">
        <f>K320*N320</f>
        <v>1047555.096</v>
      </c>
      <c r="R320" s="21">
        <f>L320*O320</f>
        <v>1075959.1333793018</v>
      </c>
      <c r="S320" s="21">
        <f>R320-Q320</f>
        <v>28404.037379301735</v>
      </c>
      <c r="T320" t="str">
        <f>IF(R320&lt;= Q320,"No Monetizar","Monetizar")</f>
        <v>Monetizar</v>
      </c>
      <c r="V320" s="1">
        <v>45986</v>
      </c>
      <c r="W320" t="str">
        <v>Alfonso Fonseca A</v>
      </c>
      <c r="X320" t="str">
        <v>Alfonso Fonseca A</v>
      </c>
      <c r="Y320" t="str">
        <v>Se monetiza ya que el valor ofrecido por el banco en cada divisa es superior al valor facturado</v>
      </c>
      <c r="Z320" s="21">
        <f>K320*O320</f>
        <v>1082166.96</v>
      </c>
      <c r="AA320" s="21">
        <f>Z320-Q320</f>
        <v>34611.86399999994</v>
      </c>
    </row>
    <row r="321" outlineLevel="1">
      <c r="B321">
        <v>290</v>
      </c>
      <c r="C321" t="str">
        <v>Oncehub</v>
      </c>
      <c r="D321" t="str">
        <v>FV-5-114</v>
      </c>
      <c r="E321" s="1">
        <v>45986</v>
      </c>
      <c r="F321" s="1">
        <v>46046</v>
      </c>
      <c r="J321" s="20">
        <f>IFERROR(IF(TODAY()&gt;=E321,(TODAY()-E321)/I321,0),0)</f>
        <v>0</v>
      </c>
      <c r="K321" s="5">
        <v>3200.86</v>
      </c>
      <c r="L321" s="5">
        <v>3182.4983380276844</v>
      </c>
      <c r="M321" s="5">
        <v>18.361661972315687</v>
      </c>
      <c r="N321" s="21">
        <v>3667.91</v>
      </c>
      <c r="O321" s="21">
        <v>3789.1</v>
      </c>
      <c r="P321" s="21">
        <f>O321-N321</f>
        <v>121.19000000000005</v>
      </c>
      <c r="Q321" s="21">
        <f>K321*N321</f>
        <v>11740466.4026</v>
      </c>
      <c r="R321" s="21">
        <f>L321*O321</f>
        <v>12058804.452620698</v>
      </c>
      <c r="S321" s="21">
        <f>R321-Q321</f>
        <v>318338.05002069846</v>
      </c>
      <c r="T321" t="str">
        <f>IF(R321&lt;= Q321,"No Monetizar","Monetizar")</f>
        <v>Monetizar</v>
      </c>
      <c r="V321" s="1">
        <v>45986</v>
      </c>
      <c r="W321" t="str">
        <v>Alfonso Fonseca A</v>
      </c>
      <c r="X321" t="str">
        <v>Alfonso Fonseca A</v>
      </c>
      <c r="Y321" t="str">
        <v>Se monetiza ya que el valor ofrecido por el banco en cada divisa es superior al valor facturado</v>
      </c>
      <c r="Z321" s="21">
        <f>K321*O321</f>
        <v>12128378.626</v>
      </c>
      <c r="AA321" s="21">
        <f>Z321-Q321</f>
        <v>387912.2234000005</v>
      </c>
    </row>
    <row r="322" outlineLevel="1">
      <c r="B322">
        <v>291</v>
      </c>
      <c r="C322" t="str">
        <v>Remofirst</v>
      </c>
      <c r="D322">
        <v>6442</v>
      </c>
      <c r="E322" s="1">
        <v>45986</v>
      </c>
      <c r="F322" s="1">
        <v>46046</v>
      </c>
      <c r="J322" s="20">
        <f>IFERROR(IF(TODAY()&gt;=E322,(TODAY()-E322)/I322,0),0)</f>
        <v>0</v>
      </c>
      <c r="K322" s="5">
        <v>11852.4</v>
      </c>
      <c r="L322" s="5">
        <v>11852.4</v>
      </c>
      <c r="M322" s="5">
        <f>K322-L322</f>
        <v>0</v>
      </c>
      <c r="N322" s="21">
        <v>3698.32</v>
      </c>
      <c r="O322" s="21">
        <v>3801.3</v>
      </c>
      <c r="P322" s="21">
        <f>O322-N322</f>
        <v>102.98000000000002</v>
      </c>
      <c r="Q322" s="21">
        <f>K322*N322</f>
        <v>43833967.968</v>
      </c>
      <c r="R322" s="21">
        <f>L322*O322</f>
        <v>45054528.12</v>
      </c>
      <c r="S322" s="21">
        <f>R322-Q322</f>
        <v>1220560.151999995</v>
      </c>
      <c r="T322" t="str">
        <f>IF(R322&lt;= Q322,"No Monetizar","Monetizar")</f>
        <v>Monetizar</v>
      </c>
      <c r="V322" s="1">
        <v>45986</v>
      </c>
      <c r="W322" t="str">
        <v>Alfonso Fonseca A</v>
      </c>
      <c r="X322" t="str">
        <v>Alfonso Fonseca A</v>
      </c>
      <c r="Y322" t="str">
        <v>Se monetiza ya que el valor ofrecido por el banco en cada divisa es superior al valor facturado</v>
      </c>
      <c r="Z322" s="21">
        <f>K322*O322</f>
        <v>45054528.12</v>
      </c>
      <c r="AA322" s="21">
        <f>Z322-Q322</f>
        <v>1220560.151999995</v>
      </c>
    </row>
    <row r="323" outlineLevel="1">
      <c r="B323">
        <v>292</v>
      </c>
      <c r="C323" t="str">
        <v>Remofirst</v>
      </c>
      <c r="D323" t="str">
        <v>FV-5-100</v>
      </c>
      <c r="E323" s="1">
        <v>45986</v>
      </c>
      <c r="F323" s="1">
        <v>46046</v>
      </c>
      <c r="J323" s="20">
        <f>IFERROR(IF(TODAY()&gt;=E323,(TODAY()-E323)/I323,0),0)</f>
        <v>0</v>
      </c>
      <c r="K323" s="5">
        <v>295914.48</v>
      </c>
      <c r="L323" s="5">
        <v>295914.48</v>
      </c>
      <c r="M323" s="5">
        <f>K323-L323</f>
        <v>0</v>
      </c>
      <c r="N323" s="21">
        <v>3698.32</v>
      </c>
      <c r="O323" s="21">
        <v>3801.3</v>
      </c>
      <c r="P323" s="21">
        <f>O323-N323</f>
        <v>102.98000000000002</v>
      </c>
      <c r="Q323" s="21">
        <f>K323*N323</f>
        <v>1094386439.6736</v>
      </c>
      <c r="R323" s="21">
        <f>L323*O323</f>
        <v>1124859712.824</v>
      </c>
      <c r="S323" s="21">
        <f>R323-Q323</f>
        <v>30473273.150399923</v>
      </c>
      <c r="T323" t="str">
        <f>IF(R323&lt;= Q323,"No Monetizar","Monetizar")</f>
        <v>Monetizar</v>
      </c>
      <c r="V323" s="1">
        <v>45986</v>
      </c>
      <c r="W323" t="str">
        <v>Alfonso Fonseca A</v>
      </c>
      <c r="X323" t="str">
        <v>Alfonso Fonseca A</v>
      </c>
      <c r="Y323" t="str">
        <v>Se monetiza ya que el valor ofrecido por el banco en cada divisa es superior al valor facturado</v>
      </c>
      <c r="Z323" s="21">
        <f>K323*O323</f>
        <v>1124859712.824</v>
      </c>
      <c r="AA323" s="21">
        <f>Z323-Q323</f>
        <v>30473273.150399923</v>
      </c>
    </row>
    <row r="324" outlineLevel="1">
      <c r="B324">
        <v>293</v>
      </c>
      <c r="C324" t="str">
        <v xml:space="preserve">Neo </v>
      </c>
      <c r="D324">
        <v>6457</v>
      </c>
      <c r="E324" s="1">
        <v>45987</v>
      </c>
      <c r="F324" s="1">
        <v>46047</v>
      </c>
      <c r="J324" s="20">
        <f>IFERROR(IF(TODAY()&gt;=E324,(TODAY()-E324)/I324,0),0)</f>
        <v>0</v>
      </c>
      <c r="K324" s="5">
        <v>1486.17</v>
      </c>
      <c r="L324" s="5">
        <v>1481.651487111804</v>
      </c>
      <c r="M324" s="5">
        <f>K324-L324</f>
        <v>4.518512888196028</v>
      </c>
      <c r="N324" s="21">
        <v>3727.02</v>
      </c>
      <c r="O324" s="21">
        <v>3788</v>
      </c>
      <c r="P324" s="21">
        <f>O324-N324</f>
        <v>60.98000000000002</v>
      </c>
      <c r="Q324" s="21">
        <f>K324*N324</f>
        <v>5538985.3134</v>
      </c>
      <c r="R324" s="21">
        <f>L324*O324</f>
        <v>5612495.833179514</v>
      </c>
      <c r="S324" s="21">
        <f>R324-Q324</f>
        <v>73510.51977951359</v>
      </c>
      <c r="T324" t="str">
        <f>IF(R324&lt;= Q324,"No Monetizar","Monetizar")</f>
        <v>Monetizar</v>
      </c>
      <c r="V324" s="1">
        <v>45987</v>
      </c>
      <c r="W324" t="str">
        <v>Alfonso Fonseca A</v>
      </c>
      <c r="X324" t="str">
        <v>Alfonso Fonseca A</v>
      </c>
      <c r="Y324" t="str">
        <v>Se monetiza ya que el valor ofrecido por el banco en cada divisa es superior al valor facturado</v>
      </c>
      <c r="Z324" s="21">
        <f>K324*O324</f>
        <v>5629611.96</v>
      </c>
      <c r="AA324" s="21">
        <f>Z324-Q324</f>
        <v>90626.64659999963</v>
      </c>
    </row>
    <row r="325" outlineLevel="1">
      <c r="B325">
        <v>294</v>
      </c>
      <c r="C325" t="str">
        <v xml:space="preserve">Neo </v>
      </c>
      <c r="D325" t="str">
        <v>FV-5-114</v>
      </c>
      <c r="E325" s="1">
        <v>45987</v>
      </c>
      <c r="F325" s="1">
        <v>46047</v>
      </c>
      <c r="J325" s="20">
        <f>IFERROR(IF(TODAY()&gt;=E325,(TODAY()-E325)/I325,0),0)</f>
        <v>0</v>
      </c>
      <c r="K325" s="5">
        <v>18577.15</v>
      </c>
      <c r="L325" s="5">
        <v>18520.668512888198</v>
      </c>
      <c r="M325" s="5">
        <f>K325-L325</f>
        <v>56.48148711180329</v>
      </c>
      <c r="N325" s="21">
        <v>3727.02</v>
      </c>
      <c r="O325" s="21">
        <v>3788</v>
      </c>
      <c r="P325" s="21">
        <f>O325-N325</f>
        <v>60.98000000000002</v>
      </c>
      <c r="Q325" s="21">
        <f>K325*N325</f>
        <v>69237409.59300001</v>
      </c>
      <c r="R325" s="21">
        <f>L325*O325</f>
        <v>70156292.3268205</v>
      </c>
      <c r="S325" s="21">
        <f>R325-Q325</f>
        <v>918882.7338204831</v>
      </c>
      <c r="T325" t="str">
        <f>IF(R325&lt;= Q325,"No Monetizar","Monetizar")</f>
        <v>Monetizar</v>
      </c>
      <c r="V325" s="1">
        <v>45987</v>
      </c>
      <c r="W325" t="str">
        <v>Alfonso Fonseca A</v>
      </c>
      <c r="X325" t="str">
        <v>Alfonso Fonseca A</v>
      </c>
      <c r="Y325" t="str">
        <v>Se monetiza ya que el valor ofrecido por el banco en cada divisa es superior al valor facturado</v>
      </c>
      <c r="Z325" s="21">
        <f>K325*O325</f>
        <v>70370244.2</v>
      </c>
      <c r="AA325" s="21">
        <f>Z325-Q325</f>
        <v>1132834.6069999933</v>
      </c>
    </row>
    <row r="326" outlineLevel="1">
      <c r="B326">
        <v>295</v>
      </c>
      <c r="C326" t="str">
        <v>Insider</v>
      </c>
      <c r="D326">
        <v>6485</v>
      </c>
      <c r="E326" s="1">
        <v>45685</v>
      </c>
      <c r="F326" s="1">
        <v>46047</v>
      </c>
      <c r="J326" s="20">
        <f>IFERROR(IF(TODAY()&gt;=E326,(TODAY()-E326)/I326,0),0)</f>
        <v>0</v>
      </c>
      <c r="K326" s="5">
        <v>5878.6</v>
      </c>
      <c r="L326" s="5">
        <f>K326-5</f>
        <v>5873.6</v>
      </c>
      <c r="M326" s="5">
        <f>K326-L326</f>
        <v>5</v>
      </c>
      <c r="N326" s="21">
        <v>3735.86</v>
      </c>
      <c r="O326" s="21">
        <v>3743</v>
      </c>
      <c r="P326" s="21">
        <f>O326-N326</f>
        <v>7.139999999999873</v>
      </c>
      <c r="Q326" s="21">
        <f>K326*N326</f>
        <v>21961626.596</v>
      </c>
      <c r="R326" s="21">
        <f>L326*O326</f>
        <v>21984884.8</v>
      </c>
      <c r="S326" s="21">
        <f>R326-Q326</f>
        <v>23258.20399999991</v>
      </c>
      <c r="T326" t="str">
        <f>IF(R326&lt;= Q326,"No Monetizar","Monetizar")</f>
        <v>Monetizar</v>
      </c>
      <c r="V326" s="1">
        <v>45989</v>
      </c>
      <c r="W326" t="str">
        <v>Alfonso Fonseca A</v>
      </c>
      <c r="X326" t="str">
        <v>Alfonso Fonseca A</v>
      </c>
      <c r="Y326" t="str">
        <v>Se monetiza ya que el valor ofrecido por el banco en cada divisa es superior al valor facturado</v>
      </c>
      <c r="Z326" s="21">
        <f>K326*O326</f>
        <v>22003599.8</v>
      </c>
      <c r="AA326" s="21">
        <f>Z326-Q326</f>
        <v>41973.20399999991</v>
      </c>
    </row>
    <row r="327" outlineLevel="1">
      <c r="B327">
        <v>296</v>
      </c>
      <c r="C327" t="str">
        <v>Insider</v>
      </c>
      <c r="D327" t="str">
        <v>FV-5-125</v>
      </c>
      <c r="E327" s="1">
        <v>45685</v>
      </c>
      <c r="F327" s="1">
        <v>46047</v>
      </c>
      <c r="J327" s="20">
        <f>IFERROR(IF(TODAY()&gt;=E327,(TODAY()-E327)/I327,0),0)</f>
        <v>0</v>
      </c>
      <c r="K327" s="5">
        <v>137983.74</v>
      </c>
      <c r="L327" s="5">
        <f>K327-10</f>
        <v>137973.74</v>
      </c>
      <c r="M327" s="5">
        <f>K327-L327</f>
        <v>10</v>
      </c>
      <c r="N327" s="21">
        <v>3735.86</v>
      </c>
      <c r="O327" s="21">
        <v>3743</v>
      </c>
      <c r="P327" s="21">
        <f>O327-N327</f>
        <v>7.139999999999873</v>
      </c>
      <c r="Q327" s="21">
        <f>K327*N327</f>
        <v>515487934.91639996</v>
      </c>
      <c r="R327" s="21">
        <f>L327*O327</f>
        <v>516435708.82</v>
      </c>
      <c r="S327" s="21">
        <f>R327-Q327</f>
        <v>947773.9036000371</v>
      </c>
      <c r="T327" t="str">
        <f>IF(R327&lt;= Q327,"No Monetizar","Monetizar")</f>
        <v>Monetizar</v>
      </c>
      <c r="V327" s="1">
        <v>45989</v>
      </c>
      <c r="W327" t="str">
        <v>Alfonso Fonseca A</v>
      </c>
      <c r="X327" t="str">
        <v>Alfonso Fonseca A</v>
      </c>
      <c r="Y327" t="str">
        <v>Se monetiza ya que el valor ofrecido por el banco en cada divisa es superior al valor facturado</v>
      </c>
      <c r="Z327" s="21">
        <f>K327*O327</f>
        <v>516473138.82</v>
      </c>
      <c r="AA327" s="21">
        <f>Z327-Q327</f>
        <v>985203.9036000371</v>
      </c>
    </row>
    <row r="328" outlineLevel="1">
      <c r="B328">
        <v>297</v>
      </c>
      <c r="C328" t="str">
        <v>Europortage</v>
      </c>
      <c r="D328">
        <v>6453</v>
      </c>
      <c r="E328" s="1">
        <v>45987</v>
      </c>
      <c r="F328" s="1">
        <v>46047</v>
      </c>
      <c r="J328" s="20">
        <f>IFERROR(IF(TODAY()&gt;=E328,(TODAY()-E328)/I328,0),0)</f>
        <v>0</v>
      </c>
      <c r="K328" s="5">
        <v>283.41</v>
      </c>
      <c r="L328" s="5">
        <v>282.8982781908996</v>
      </c>
      <c r="M328" s="5">
        <f>K328-L328</f>
        <v>0.5117218091004361</v>
      </c>
      <c r="N328" s="21">
        <v>3663.81</v>
      </c>
      <c r="O328" s="21">
        <v>3797</v>
      </c>
      <c r="P328" s="21">
        <f>O328-N328</f>
        <v>133.19000000000005</v>
      </c>
      <c r="Q328" s="21">
        <f>K328*N328</f>
        <v>1038360.3921</v>
      </c>
      <c r="R328" s="21">
        <f>L328*O328</f>
        <v>1074164.7622908456</v>
      </c>
      <c r="S328" s="21">
        <f>R328-Q328</f>
        <v>35804.37019084557</v>
      </c>
      <c r="T328" t="str">
        <f>IF(R328&lt;= Q328,"No Monetizar","Monetizar")</f>
        <v>Monetizar</v>
      </c>
      <c r="V328" s="1">
        <v>45993</v>
      </c>
      <c r="W328" t="str">
        <v>Alfonso Fonseca A</v>
      </c>
      <c r="X328" t="str">
        <v>Alfonso Fonseca A</v>
      </c>
      <c r="Y328" t="str">
        <v>Se monetiza ya que el valor ofrecido por el banco en cada divisa es superior al valor facturado</v>
      </c>
      <c r="Z328" s="21">
        <f>K328*O328</f>
        <v>1076107.77</v>
      </c>
      <c r="AA328" s="21">
        <f>Z328-Q328</f>
        <v>37747.37789999996</v>
      </c>
    </row>
    <row r="329" outlineLevel="1">
      <c r="B329">
        <v>298</v>
      </c>
      <c r="C329" t="str">
        <v>Europortage</v>
      </c>
      <c r="D329" t="str">
        <v>FV-5-110</v>
      </c>
      <c r="E329" s="1">
        <v>45987</v>
      </c>
      <c r="F329" s="1">
        <v>46047</v>
      </c>
      <c r="J329" s="20">
        <f>IFERROR(IF(TODAY()&gt;=E329,(TODAY()-E329)/I329,0),0)</f>
        <v>0</v>
      </c>
      <c r="K329" s="5">
        <v>5766.14</v>
      </c>
      <c r="L329" s="5">
        <v>5755.728724489869</v>
      </c>
      <c r="M329" s="5">
        <f>K329-L329</f>
        <v>10.411275510131418</v>
      </c>
      <c r="N329" s="21">
        <v>3663.81</v>
      </c>
      <c r="O329" s="21">
        <v>3797</v>
      </c>
      <c r="P329" s="21">
        <f>O329-N329</f>
        <v>133.19000000000005</v>
      </c>
      <c r="Q329" s="21">
        <f>K329*N329</f>
        <v>21126041.393400002</v>
      </c>
      <c r="R329" s="21">
        <f>L329*O329</f>
        <v>21854501.966888033</v>
      </c>
      <c r="S329" s="21">
        <f>R329-Q329</f>
        <v>728460.5734880306</v>
      </c>
      <c r="T329" t="str">
        <f>IF(R329&lt;= Q329,"No Monetizar","Monetizar")</f>
        <v>Monetizar</v>
      </c>
      <c r="V329" s="1">
        <v>45993</v>
      </c>
      <c r="W329" t="str">
        <v>Alfonso Fonseca A</v>
      </c>
      <c r="X329" t="str">
        <v>Alfonso Fonseca A</v>
      </c>
      <c r="Y329" t="str">
        <v>Se monetiza ya que el valor ofrecido por el banco en cada divisa es superior al valor facturado</v>
      </c>
      <c r="Z329" s="21">
        <f>K329*O329</f>
        <v>21894033.580000002</v>
      </c>
      <c r="AA329" s="21">
        <f>Z329-Q329</f>
        <v>767992.1865999997</v>
      </c>
    </row>
    <row r="330" outlineLevel="1">
      <c r="B330">
        <v>299</v>
      </c>
      <c r="C330" t="str">
        <v>Europortage</v>
      </c>
      <c r="D330">
        <v>6463</v>
      </c>
      <c r="E330" s="1">
        <v>45987</v>
      </c>
      <c r="F330" s="1">
        <v>46047</v>
      </c>
      <c r="J330" s="20">
        <f>IFERROR(IF(TODAY()&gt;=E330,(TODAY()-E330)/I330,0),0)</f>
        <v>0</v>
      </c>
      <c r="K330" s="5">
        <v>714</v>
      </c>
      <c r="L330" s="5">
        <v>712.7108098807462</v>
      </c>
      <c r="M330" s="5">
        <f>K330-L330</f>
        <v>1.289190119253817</v>
      </c>
      <c r="N330" s="21">
        <v>3663.81</v>
      </c>
      <c r="O330" s="21">
        <v>3797</v>
      </c>
      <c r="P330" s="21">
        <f>O330-N330</f>
        <v>133.19000000000005</v>
      </c>
      <c r="Q330" s="21">
        <f>K330*N330</f>
        <v>2615960.34</v>
      </c>
      <c r="R330" s="21">
        <f>L330*O330</f>
        <v>2706162.9451171933</v>
      </c>
      <c r="S330" s="21">
        <f>R330-Q330</f>
        <v>90202.60511719342</v>
      </c>
      <c r="T330" t="str">
        <f>IF(R330&lt;= Q330,"No Monetizar","Monetizar")</f>
        <v>Monetizar</v>
      </c>
      <c r="V330" s="1">
        <v>45993</v>
      </c>
      <c r="W330" t="str">
        <v>Alfonso Fonseca A</v>
      </c>
      <c r="X330" t="str">
        <v>Alfonso Fonseca A</v>
      </c>
      <c r="Y330" t="str">
        <v>Se monetiza ya que el valor ofrecido por el banco en cada divisa es superior al valor facturado</v>
      </c>
      <c r="Z330" s="21">
        <f>K330*O330</f>
        <v>2711058</v>
      </c>
      <c r="AA330" s="21">
        <f>Z330-Q330</f>
        <v>95097.66000000015</v>
      </c>
    </row>
    <row r="331" outlineLevel="1">
      <c r="B331">
        <v>300</v>
      </c>
      <c r="C331" t="str">
        <v>Europortage</v>
      </c>
      <c r="D331" t="str">
        <v>FV-5-120</v>
      </c>
      <c r="E331" s="1">
        <v>45987</v>
      </c>
      <c r="F331" s="1">
        <v>46047</v>
      </c>
      <c r="J331" s="20">
        <f>IFERROR(IF(TODAY()&gt;=E331,(TODAY()-E331)/I331,0),0)</f>
        <v>0</v>
      </c>
      <c r="K331" s="5">
        <v>7359.27</v>
      </c>
      <c r="L331" s="5">
        <v>7345.982187438487</v>
      </c>
      <c r="M331" s="5">
        <f>K331-L331</f>
        <v>13.28781256151342</v>
      </c>
      <c r="N331" s="21">
        <v>3663.81</v>
      </c>
      <c r="O331" s="21">
        <v>3797</v>
      </c>
      <c r="P331" s="21">
        <f>O331-N331</f>
        <v>133.19000000000005</v>
      </c>
      <c r="Q331" s="21">
        <f>K331*N331</f>
        <v>26962967.0187</v>
      </c>
      <c r="R331" s="21">
        <f>L331*O331</f>
        <v>27892694.365703937</v>
      </c>
      <c r="S331" s="21">
        <f>R331-Q331</f>
        <v>929727.3470039368</v>
      </c>
      <c r="T331" t="str">
        <f>IF(R331&lt;= Q331,"No Monetizar","Monetizar")</f>
        <v>Monetizar</v>
      </c>
      <c r="V331" s="1">
        <v>45993</v>
      </c>
      <c r="W331" t="str">
        <v>Alfonso Fonseca A</v>
      </c>
      <c r="X331" t="str">
        <v>Alfonso Fonseca A</v>
      </c>
      <c r="Y331" t="str">
        <v>Se monetiza ya que el valor ofrecido por el banco en cada divisa es superior al valor facturado</v>
      </c>
      <c r="Z331" s="21">
        <f>K331*O331</f>
        <v>27943148.19</v>
      </c>
      <c r="AA331" s="21">
        <f>Z331-Q331</f>
        <v>980181.1713000014</v>
      </c>
    </row>
    <row r="332" outlineLevel="1">
      <c r="B332">
        <v>301</v>
      </c>
      <c r="C332" t="str">
        <v>Hemmebarsch GMBH &amp; Co KG</v>
      </c>
      <c r="D332">
        <v>6348</v>
      </c>
      <c r="E332" s="1">
        <v>45987</v>
      </c>
      <c r="F332" s="1">
        <v>46047</v>
      </c>
      <c r="J332" s="20">
        <f>IFERROR(IF(TODAY()&gt;=E332,(TODAY()-E332)/I332,0),0)</f>
        <v>0</v>
      </c>
      <c r="K332" s="5">
        <v>212.82</v>
      </c>
      <c r="L332" s="5">
        <v>212.82</v>
      </c>
      <c r="M332" s="5">
        <f>K332-L332</f>
        <v>0</v>
      </c>
      <c r="N332" s="21">
        <v>3763.41</v>
      </c>
      <c r="O332" s="21">
        <v>3797</v>
      </c>
      <c r="P332" s="21">
        <f>O332-N332</f>
        <v>33.590000000000146</v>
      </c>
      <c r="Q332" s="21">
        <f>K332*N332</f>
        <v>800928.9162</v>
      </c>
      <c r="R332" s="21">
        <f>L332*O332</f>
        <v>808077.5399999999</v>
      </c>
      <c r="S332" s="21">
        <f>R332-Q332</f>
        <v>7148.623799999943</v>
      </c>
      <c r="T332" t="str">
        <f>IF(R332&lt;= Q332,"No Monetizar","Monetizar")</f>
        <v>Monetizar</v>
      </c>
      <c r="V332" s="1">
        <v>45993</v>
      </c>
      <c r="W332" t="str">
        <v>Alfonso Fonseca A</v>
      </c>
      <c r="X332" t="str">
        <v>Alfonso Fonseca A</v>
      </c>
      <c r="Y332" t="str">
        <v>Se monetiza ya que el valor ofrecido por el banco en cada divisa es superior al valor facturado</v>
      </c>
      <c r="Z332" s="21">
        <f>K332*O332</f>
        <v>808077.5399999999</v>
      </c>
      <c r="AA332" s="21">
        <f>Z332-Q332</f>
        <v>7148.623799999943</v>
      </c>
    </row>
    <row r="333" outlineLevel="1">
      <c r="B333">
        <v>302</v>
      </c>
      <c r="C333" t="str">
        <v>Hemmebarsch GMBH &amp; Co KG</v>
      </c>
      <c r="D333" t="str">
        <v>FV-5-71</v>
      </c>
      <c r="E333" s="1">
        <v>45987</v>
      </c>
      <c r="F333" s="1">
        <v>46047</v>
      </c>
      <c r="J333" s="20">
        <f>IFERROR(IF(TODAY()&gt;=E333,(TODAY()-E333)/I333,0),0)</f>
        <v>0</v>
      </c>
      <c r="K333" s="5">
        <v>2128.2</v>
      </c>
      <c r="L333" s="5">
        <v>2128.2</v>
      </c>
      <c r="M333" s="5">
        <f>K333-L333</f>
        <v>0</v>
      </c>
      <c r="N333" s="21">
        <v>3763.41</v>
      </c>
      <c r="O333" s="21">
        <v>3797</v>
      </c>
      <c r="P333" s="21">
        <f>O333-N333</f>
        <v>33.590000000000146</v>
      </c>
      <c r="Q333" s="21">
        <f>K333*N333</f>
        <v>8009289.161999999</v>
      </c>
      <c r="R333" s="21">
        <f>L333*O333</f>
        <v>8080775.399999999</v>
      </c>
      <c r="S333" s="21">
        <f>R333-Q333</f>
        <v>71486.23800000083</v>
      </c>
      <c r="T333" t="str">
        <f>IF(R333&lt;= Q333,"No Monetizar","Monetizar")</f>
        <v>Monetizar</v>
      </c>
      <c r="V333" s="1">
        <v>45993</v>
      </c>
      <c r="W333" t="str">
        <v>Alfonso Fonseca A</v>
      </c>
      <c r="X333" t="str">
        <v>Alfonso Fonseca A</v>
      </c>
      <c r="Y333" t="str">
        <v>Se monetiza ya que el valor ofrecido por el banco en cada divisa es superior al valor facturado</v>
      </c>
      <c r="Z333" s="21">
        <f>K333*O333</f>
        <v>8080775.399999999</v>
      </c>
      <c r="AA333" s="21">
        <f>Z333-Q333</f>
        <v>71486.23800000083</v>
      </c>
    </row>
    <row r="334" ht="30" customHeight="1" outlineLevel="1">
      <c r="B334">
        <v>303</v>
      </c>
      <c r="C334" t="str">
        <v>Hong kong yonyou xinfushe cloud technology co</v>
      </c>
      <c r="D334">
        <v>6449</v>
      </c>
      <c r="E334" s="1">
        <v>45989</v>
      </c>
      <c r="F334" s="1">
        <v>46047</v>
      </c>
      <c r="J334" s="20">
        <f>IFERROR(IF(TODAY()&gt;=E334,(TODAY()-E334)/I334,0),0)</f>
        <v>0</v>
      </c>
      <c r="K334" s="5">
        <v>749.7</v>
      </c>
      <c r="L334" s="5">
        <v>749.8</v>
      </c>
      <c r="M334" s="5">
        <f>K334-L334</f>
        <v>-0.09999999999990905</v>
      </c>
      <c r="N334" s="21">
        <v>3682.4</v>
      </c>
      <c r="O334" s="21">
        <v>3797</v>
      </c>
      <c r="P334" s="21">
        <f>O334-N334</f>
        <v>114.59999999999991</v>
      </c>
      <c r="Q334" s="21">
        <f>K334*N334</f>
        <v>2760695.2800000003</v>
      </c>
      <c r="R334" s="21">
        <f>L334*O334</f>
        <v>2846990.5999999996</v>
      </c>
      <c r="S334" s="21">
        <f>R334-Q334</f>
        <v>86295.31999999937</v>
      </c>
      <c r="T334" t="str">
        <f>IF(R334&lt;= Q334,"No Monetizar","Monetizar")</f>
        <v>Monetizar</v>
      </c>
      <c r="V334" s="1">
        <v>45993</v>
      </c>
      <c r="W334" t="str">
        <v>Alfonso Fonseca A</v>
      </c>
      <c r="X334" t="str">
        <v>Alfonso Fonseca A</v>
      </c>
      <c r="Y334" t="str">
        <v>Se monetiza ya que el valor ofrecido por el banco en cada divisa es superior al valor facturado</v>
      </c>
      <c r="Z334" s="21">
        <f>K334*O334</f>
        <v>2846610.9000000004</v>
      </c>
      <c r="AA334" s="21">
        <f>Z334-Q334</f>
        <v>85915.62000000011</v>
      </c>
    </row>
    <row r="335" ht="30" customHeight="1" outlineLevel="1">
      <c r="B335">
        <v>304</v>
      </c>
      <c r="C335" t="str">
        <v>Hong kong yonyou xinfushe cloud technology co</v>
      </c>
      <c r="D335" t="str">
        <v>FV-5-106</v>
      </c>
      <c r="E335" s="1">
        <v>45989</v>
      </c>
      <c r="F335" s="1">
        <v>46047</v>
      </c>
      <c r="J335" s="20">
        <f>IFERROR(IF(TODAY()&gt;=E335,(TODAY()-E335)/I335,0),0)</f>
        <v>0</v>
      </c>
      <c r="K335" s="5">
        <v>16075.42</v>
      </c>
      <c r="L335" s="5">
        <v>16075.42</v>
      </c>
      <c r="M335" s="5">
        <f>K335-L335</f>
        <v>0</v>
      </c>
      <c r="N335" s="21">
        <v>3682.4</v>
      </c>
      <c r="O335" s="21">
        <v>3797</v>
      </c>
      <c r="P335" s="21">
        <f>O335-N335</f>
        <v>114.59999999999991</v>
      </c>
      <c r="Q335" s="21">
        <f>K335*N335</f>
        <v>59196126.608</v>
      </c>
      <c r="R335" s="21">
        <f>L335*O335</f>
        <v>61038369.74</v>
      </c>
      <c r="S335" s="21">
        <f>R335-Q335</f>
        <v>1842243.1319999993</v>
      </c>
      <c r="T335" t="str">
        <f>IF(R335&lt;= Q335,"No Monetizar","Monetizar")</f>
        <v>Monetizar</v>
      </c>
      <c r="V335" s="1">
        <v>45993</v>
      </c>
      <c r="W335" t="str">
        <v>Alfonso Fonseca A</v>
      </c>
      <c r="X335" t="str">
        <v>Alfonso Fonseca A</v>
      </c>
      <c r="Y335" t="str">
        <v>Se monetiza ya que el valor ofrecido por el banco en cada divisa es superior al valor facturado</v>
      </c>
      <c r="Z335" s="21">
        <f>K335*O335</f>
        <v>61038369.74</v>
      </c>
      <c r="AA335" s="21">
        <f>Z335-Q335</f>
        <v>1842243.1319999993</v>
      </c>
    </row>
    <row r="336" outlineLevel="1">
      <c r="B336">
        <v>305</v>
      </c>
      <c r="C336" t="str">
        <v>Bubble BPM</v>
      </c>
      <c r="D336">
        <v>6451</v>
      </c>
      <c r="E336" s="1">
        <v>45989</v>
      </c>
      <c r="F336" s="1">
        <v>46049</v>
      </c>
      <c r="J336" s="20">
        <f>IFERROR(IF(TODAY()&gt;=E336,(TODAY()-E336)/I336,0),0)</f>
        <v>0</v>
      </c>
      <c r="K336" s="5">
        <v>120.34</v>
      </c>
      <c r="L336" s="5">
        <v>117.36692909495183</v>
      </c>
      <c r="M336" s="5">
        <f>K336-L336</f>
        <v>2.973070905048175</v>
      </c>
      <c r="N336" s="21">
        <v>3663.81</v>
      </c>
      <c r="O336" s="21">
        <v>3797</v>
      </c>
      <c r="P336" s="21">
        <f>O336-N336</f>
        <v>133.19000000000005</v>
      </c>
      <c r="Q336" s="21">
        <f>K336*N336</f>
        <v>440902.8954</v>
      </c>
      <c r="R336" s="21">
        <f>L336*O336</f>
        <v>445642.2297735321</v>
      </c>
      <c r="S336" s="21">
        <f>R336-Q336</f>
        <v>4739.334373532096</v>
      </c>
      <c r="T336" t="str">
        <f>IF(R336&lt;= Q336,"No Monetizar","Monetizar")</f>
        <v>Monetizar</v>
      </c>
      <c r="V336" s="1">
        <v>45993</v>
      </c>
      <c r="W336" t="str">
        <v>Alfonso Fonseca A</v>
      </c>
      <c r="X336" t="str">
        <v>Alfonso Fonseca A</v>
      </c>
      <c r="Y336" t="str">
        <v>Se monetiza ya que el valor ofrecido por el banco en cada divisa es superior al valor facturado</v>
      </c>
      <c r="Z336" s="21">
        <f>K336*O336</f>
        <v>456930.98000000004</v>
      </c>
      <c r="AA336" s="21">
        <f>Z336-Q336</f>
        <v>16028.08460000006</v>
      </c>
    </row>
    <row r="337" outlineLevel="1">
      <c r="B337">
        <v>306</v>
      </c>
      <c r="C337" t="str">
        <v>Bubble BPM</v>
      </c>
      <c r="D337" t="str">
        <v>FV-5-106</v>
      </c>
      <c r="E337" s="1">
        <v>45989</v>
      </c>
      <c r="F337" s="1">
        <v>46049</v>
      </c>
      <c r="J337" s="20">
        <f>IFERROR(IF(TODAY()&gt;=E337,(TODAY()-E337)/I337,0),0)</f>
        <v>0</v>
      </c>
      <c r="K337" s="5">
        <v>1093.96</v>
      </c>
      <c r="L337" s="5">
        <v>1066.9330709050482</v>
      </c>
      <c r="M337" s="5">
        <f>K337-L337</f>
        <v>27.02692909495181</v>
      </c>
      <c r="N337" s="21">
        <v>3663.81</v>
      </c>
      <c r="O337" s="21">
        <v>3797</v>
      </c>
      <c r="P337" s="21">
        <f>O337-N337</f>
        <v>133.19000000000005</v>
      </c>
      <c r="Q337" s="21">
        <f>K337*N337</f>
        <v>4008061.5876</v>
      </c>
      <c r="R337" s="21">
        <f>L337*O337</f>
        <v>4051144.870226468</v>
      </c>
      <c r="S337" s="21">
        <f>R337-Q337</f>
        <v>43083.28262646776</v>
      </c>
      <c r="T337" t="str">
        <f>IF(R337&lt;= Q337,"No Monetizar","Monetizar")</f>
        <v>Monetizar</v>
      </c>
      <c r="V337" s="1">
        <v>45993</v>
      </c>
      <c r="W337" t="str">
        <v>Alfonso Fonseca A</v>
      </c>
      <c r="X337" t="str">
        <v>Alfonso Fonseca A</v>
      </c>
      <c r="Y337" t="str">
        <v>Se monetiza ya que el valor ofrecido por el banco en cada divisa es superior al valor facturado</v>
      </c>
      <c r="Z337" s="21">
        <f>K337*O337</f>
        <v>4153766.12</v>
      </c>
      <c r="AA337" s="21">
        <f>Z337-Q337</f>
        <v>145704.5323999999</v>
      </c>
    </row>
    <row r="338" outlineLevel="1">
      <c r="B338">
        <v>307</v>
      </c>
      <c r="C338" t="str">
        <v>Remofisrt</v>
      </c>
      <c r="D338" t="str">
        <v>FV-4-6404</v>
      </c>
      <c r="E338" s="1">
        <v>45989</v>
      </c>
      <c r="F338" s="1">
        <v>46049</v>
      </c>
      <c r="J338" s="20">
        <f>IFERROR(IF(TODAY()&gt;=E338,(TODAY()-E338)/I338,0),0)</f>
        <v>0</v>
      </c>
      <c r="K338" s="5">
        <v>428.4</v>
      </c>
      <c r="L338" s="5">
        <v>428.4</v>
      </c>
      <c r="M338" s="5">
        <f>K338-L338</f>
        <v>0</v>
      </c>
      <c r="N338" s="21">
        <v>3751.51</v>
      </c>
      <c r="O338" s="21">
        <v>3797</v>
      </c>
      <c r="P338" s="21">
        <f>O338-N338</f>
        <v>45.48999999999978</v>
      </c>
      <c r="Q338" s="21">
        <f>K338*N338</f>
        <v>1607146.884</v>
      </c>
      <c r="R338" s="21">
        <f>L338*O338</f>
        <v>1626634.7999999998</v>
      </c>
      <c r="S338" s="21">
        <f>R338-Q338</f>
        <v>19487.915999999736</v>
      </c>
      <c r="T338" t="str">
        <f>IF(R338&lt;= Q338,"No Monetizar","Monetizar")</f>
        <v>Monetizar</v>
      </c>
      <c r="V338" s="1">
        <v>45993</v>
      </c>
      <c r="W338" t="str">
        <v>Alfonso Fonseca A</v>
      </c>
      <c r="X338" t="str">
        <v>Alfonso Fonseca A</v>
      </c>
      <c r="Y338" t="str">
        <v>Se monetiza ya que el valor ofrecido por el banco en cada divisa es superior al valor facturado</v>
      </c>
      <c r="Z338" s="21">
        <f>K338*O338</f>
        <v>1626634.7999999998</v>
      </c>
      <c r="AA338" s="21">
        <f>Z338-Q338</f>
        <v>19487.915999999736</v>
      </c>
    </row>
    <row r="339" outlineLevel="1">
      <c r="B339">
        <v>308</v>
      </c>
      <c r="C339" t="str">
        <v>Remofisrt</v>
      </c>
      <c r="D339" t="str">
        <v>FV-5-96</v>
      </c>
      <c r="E339" s="1">
        <v>45989</v>
      </c>
      <c r="F339" s="1">
        <v>46049</v>
      </c>
      <c r="J339" s="20">
        <f>IFERROR(IF(TODAY()&gt;=E339,(TODAY()-E339)/I339,0),0)</f>
        <v>0</v>
      </c>
      <c r="K339" s="5">
        <v>3154.02</v>
      </c>
      <c r="L339" s="5">
        <v>3154.02</v>
      </c>
      <c r="M339" s="5">
        <f>K339-L339</f>
        <v>0</v>
      </c>
      <c r="N339" s="21">
        <v>3751.51</v>
      </c>
      <c r="O339" s="21">
        <v>3797</v>
      </c>
      <c r="P339" s="21">
        <f>O339-N339</f>
        <v>45.48999999999978</v>
      </c>
      <c r="Q339" s="21">
        <f>K339*N339</f>
        <v>11832337.5702</v>
      </c>
      <c r="R339" s="21">
        <f>L339*O339</f>
        <v>11975813.94</v>
      </c>
      <c r="S339" s="21">
        <f>R339-Q339</f>
        <v>143476.36979999952</v>
      </c>
      <c r="T339" t="str">
        <f>IF(R339&lt;= Q339,"No Monetizar","Monetizar")</f>
        <v>Monetizar</v>
      </c>
      <c r="V339" s="1">
        <v>45993</v>
      </c>
      <c r="W339" t="str">
        <v>Alfonso Fonseca A</v>
      </c>
      <c r="X339" t="str">
        <v>Alfonso Fonseca A</v>
      </c>
      <c r="Y339" t="str">
        <v>Se monetiza ya que el valor ofrecido por el banco en cada divisa es superior al valor facturado</v>
      </c>
      <c r="Z339" s="21">
        <f>K339*O339</f>
        <v>11975813.94</v>
      </c>
      <c r="AA339" s="21">
        <f>Z339-Q339</f>
        <v>143476.36979999952</v>
      </c>
    </row>
    <row r="340" ht="30" customHeight="1" outlineLevel="1" xml:space="preserve">
      <c r="B340">
        <v>309</v>
      </c>
      <c r="C340" t="str">
        <v>Safeguard World International Limited</v>
      </c>
      <c r="D340">
        <v>6158</v>
      </c>
      <c r="E340" s="1">
        <v>45936</v>
      </c>
      <c r="F340" s="1">
        <v>45996</v>
      </c>
      <c r="J340" s="20">
        <f>IFERROR(IF(TODAY()&gt;=E340,(TODAY()-E340)/I340,0),0)</f>
        <v>0</v>
      </c>
      <c r="K340" s="5">
        <v>2280</v>
      </c>
      <c r="L340" s="5">
        <v>2280</v>
      </c>
      <c r="M340" s="5">
        <f>K340-L340</f>
        <v>0</v>
      </c>
      <c r="N340" s="5">
        <v>4061.36</v>
      </c>
      <c r="O340" s="21">
        <v>3776</v>
      </c>
      <c r="P340" s="21">
        <f>O340-N340</f>
        <v>-285.3600000000001</v>
      </c>
      <c r="Q340" s="21">
        <f>K340*N340</f>
        <v>9259900.8</v>
      </c>
      <c r="R340" s="21">
        <f>L340*O340</f>
        <v>8609280</v>
      </c>
      <c r="S340" s="21">
        <f>R340-Q340</f>
        <v>-650620.8000000007</v>
      </c>
      <c r="T340" t="str">
        <f>IF(R340&lt;= Q340,"No Monetizar","Monetizar")</f>
        <v>No Monetizar</v>
      </c>
      <c r="V340" s="1">
        <v>45994</v>
      </c>
      <c r="W340" t="str">
        <v>Alfonso Fonseca A</v>
      </c>
      <c r="X340" t="str">
        <v>Alfonso Fonseca A</v>
      </c>
      <c r="Y340" t="str" xml:space="preserve">
        <v xml:space="preserve">Se ha decidido monetizar estas divisas a pesar de que el valor recibido está por debajo del monto facturado, considerando que la fecha límite para su devolución vencía el viernes 05 de diciembre y ese día no laboramos por motivo de despedida de año. _x000d_
_x000d_
Adicionalmente, al momento del cobro, fue  $ 4.061,32 . el dinero llego el 10 de octubre y de  ese tiempo la divisa no ha llegado a esos valores facturados _x000d_
_x000d_
</v>
      </c>
      <c r="Z340" s="21">
        <f>K340*O340</f>
        <v>8609280</v>
      </c>
      <c r="AA340" s="21">
        <f>Z340-Q340</f>
        <v>-650620.8000000007</v>
      </c>
    </row>
    <row r="341" ht="34.5" customHeight="1" outlineLevel="1">
      <c r="B341">
        <v>310</v>
      </c>
      <c r="C341" t="str">
        <v>Endrington</v>
      </c>
      <c r="D341">
        <v>6363</v>
      </c>
      <c r="E341" s="1">
        <v>45960</v>
      </c>
      <c r="F341" s="1">
        <v>46020</v>
      </c>
      <c r="J341" s="20">
        <f>IFERROR(IF(TODAY()&gt;=E341,(TODAY()-E341)/I341,0),0)</f>
        <v>0</v>
      </c>
      <c r="K341" s="5">
        <f>597.71-16.62</f>
        <v>581.09</v>
      </c>
      <c r="L341" s="5">
        <f>597.71-16.62</f>
        <v>581.09</v>
      </c>
      <c r="M341" s="5">
        <f>K341-L341</f>
        <v>0</v>
      </c>
      <c r="N341" s="21">
        <v>3834.98</v>
      </c>
      <c r="O341" s="21">
        <v>3847.06</v>
      </c>
      <c r="P341" s="21">
        <f>O341-N341</f>
        <v>12.079999999999927</v>
      </c>
      <c r="Q341" s="21">
        <f>K341*N341</f>
        <v>2228468.5282</v>
      </c>
      <c r="R341" s="21">
        <f>L341*O341</f>
        <v>2235488.0954</v>
      </c>
      <c r="S341" s="21">
        <f>R341-Q341</f>
        <v>7019.567199999932</v>
      </c>
      <c r="T341" t="str">
        <f>IF(R341&lt;= Q341,"No Monetizar","Monetizar")</f>
        <v>Monetizar</v>
      </c>
      <c r="V341" s="1">
        <v>46000</v>
      </c>
      <c r="W341" t="str">
        <v>Alfonso Fonseca A</v>
      </c>
      <c r="X341" t="str">
        <v>Alfonso Fonseca A</v>
      </c>
      <c r="Y341" t="str">
        <v>Se monetiza ya que el valor ofrecido por el banco en cada divisa es superior al valor facturado</v>
      </c>
      <c r="Z341" s="21">
        <f>K341*O341</f>
        <v>2235488.0954</v>
      </c>
      <c r="AA341" s="21">
        <f>Z341-Q341</f>
        <v>7019.567199999932</v>
      </c>
    </row>
    <row r="342" outlineLevel="1">
      <c r="B342">
        <v>311</v>
      </c>
      <c r="C342" t="str">
        <v>Endrington</v>
      </c>
      <c r="D342" t="str">
        <v>FV-5-84</v>
      </c>
      <c r="E342" s="1">
        <v>45960</v>
      </c>
      <c r="F342" s="1">
        <v>46020</v>
      </c>
      <c r="J342" s="20">
        <f>IFERROR(IF(TODAY()&gt;=E342,(TODAY()-E342)/I342,0),0)</f>
        <v>0</v>
      </c>
      <c r="K342" s="5">
        <v>10565.04</v>
      </c>
      <c r="L342" s="5">
        <v>10565.04</v>
      </c>
      <c r="M342" s="5">
        <f>K342-L342</f>
        <v>0</v>
      </c>
      <c r="N342" s="21">
        <v>3834.98</v>
      </c>
      <c r="O342" s="21">
        <v>3847.06</v>
      </c>
      <c r="P342" s="21">
        <f>O342-N342</f>
        <v>12.079999999999927</v>
      </c>
      <c r="Q342" s="21">
        <f>K342*N342</f>
        <v>40516717.0992</v>
      </c>
      <c r="R342" s="21">
        <f>L342*O342</f>
        <v>40644342.782400005</v>
      </c>
      <c r="S342" s="21">
        <f>R342-Q342</f>
        <v>127625.68320000172</v>
      </c>
      <c r="T342" t="str">
        <f>IF(R342&lt;= Q342,"No Monetizar","Monetizar")</f>
        <v>Monetizar</v>
      </c>
      <c r="V342" s="1">
        <v>46000</v>
      </c>
      <c r="W342" t="str">
        <v>Alfonso Fonseca A</v>
      </c>
      <c r="X342" t="str">
        <v>Alfonso Fonseca A</v>
      </c>
      <c r="Y342" t="str">
        <v>Se monetiza ya que el valor ofrecido por el banco en cada divisa es superior al valor facturado</v>
      </c>
      <c r="Z342" s="21">
        <f>K342*O342</f>
        <v>40644342.782400005</v>
      </c>
      <c r="AA342" s="21">
        <f>Z342-Q342</f>
        <v>127625.68320000172</v>
      </c>
    </row>
    <row r="343" ht="30" customHeight="1" outlineLevel="1" xml:space="preserve">
      <c r="B343">
        <v>312</v>
      </c>
      <c r="C343" t="str">
        <v>Safeguard World International Limited X identificar</v>
      </c>
      <c r="D343" t="str">
        <v>PI</v>
      </c>
      <c r="E343" s="1">
        <v>45947</v>
      </c>
      <c r="F343" s="1">
        <v>46007</v>
      </c>
      <c r="J343" s="20">
        <f>IFERROR(IF(TODAY()&gt;=E343,(TODAY()-E343)/I343,0),0)</f>
        <v>0</v>
      </c>
      <c r="K343" s="5">
        <v>900</v>
      </c>
      <c r="L343" s="5">
        <v>900</v>
      </c>
      <c r="M343" s="5">
        <f>K343-L343</f>
        <v>0</v>
      </c>
      <c r="N343" s="21">
        <v>3847</v>
      </c>
      <c r="O343" s="21">
        <v>3847</v>
      </c>
      <c r="P343" s="21">
        <f>O343-N343</f>
        <v>0</v>
      </c>
      <c r="Q343" s="21">
        <f>K343*N343</f>
        <v>3462300</v>
      </c>
      <c r="R343" s="21">
        <f>L343*O343</f>
        <v>3462300</v>
      </c>
      <c r="S343" s="21">
        <f>R343-Q343</f>
        <v>0</v>
      </c>
      <c r="T343" t="str">
        <f>IF(R343&lt;= Q343,"No Monetizar","Monetizar")</f>
        <v>No Monetizar</v>
      </c>
      <c r="V343" s="1">
        <v>46000</v>
      </c>
      <c r="W343" t="str">
        <v>Alfonso Fonseca A</v>
      </c>
      <c r="X343" t="str">
        <v>Alfonso Fonseca A</v>
      </c>
      <c r="Y343" t="str" xml:space="preserve">
        <v xml:space="preserve">Se ha decidido monetizar estas divisa considerando que la fecha límite para su devolución vence el viernes 16 de diciembre . a la fecha no se ha podido identificar a que factura corresponde este pago pero se ingresa ya que durante mes y medio hoy 09 de diciembre la tasa supero los 3,830 _x000d_
_x000d_
</v>
      </c>
      <c r="Z343" s="21">
        <f>K343*O343</f>
        <v>3462300</v>
      </c>
      <c r="AA343" s="21">
        <f>Z343-Q343</f>
        <v>0</v>
      </c>
    </row>
    <row r="344" outlineLevel="1" xml:space="preserve">
      <c r="B344">
        <v>313</v>
      </c>
      <c r="C344" t="str">
        <v>Oncehub</v>
      </c>
      <c r="D344" t="str">
        <v>FV-5-131</v>
      </c>
      <c r="E344" s="1">
        <v>46002</v>
      </c>
      <c r="F344" s="1">
        <v>46062</v>
      </c>
      <c r="J344" s="20">
        <f>IFERROR(IF(TODAY()&gt;=E344,(TODAY()-E344)/I344,0),0)</f>
        <v>0</v>
      </c>
      <c r="K344" s="5">
        <v>1341.98</v>
      </c>
      <c r="L344" s="5">
        <v>1321.98</v>
      </c>
      <c r="M344" s="5">
        <f>K344-L344</f>
        <v>20</v>
      </c>
      <c r="N344" s="21">
        <v>3754.92</v>
      </c>
      <c r="O344" s="21">
        <v>3804</v>
      </c>
      <c r="P344" s="21">
        <f>O344-N344</f>
        <v>49.07999999999993</v>
      </c>
      <c r="Q344" s="21">
        <f>K344*N344</f>
        <v>5039027.5416</v>
      </c>
      <c r="R344" s="21">
        <f>L344*O344</f>
        <v>5028811.92</v>
      </c>
      <c r="S344" s="21">
        <f>R344-Q344</f>
        <v>-10215.621600000188</v>
      </c>
      <c r="T344" t="str">
        <f>IF(R344&lt;= Q344,"No Monetizar","Monetizar")</f>
        <v>No Monetizar</v>
      </c>
      <c r="V344" s="1">
        <v>46006</v>
      </c>
      <c r="W344" t="str">
        <v>Alfonso Fonseca A</v>
      </c>
      <c r="X344" t="str">
        <v>Alfonso Fonseca A</v>
      </c>
      <c r="Y344" t="str" xml:space="preserve">
        <v xml:space="preserve">Se ha decidido monetizar estas divisa ya que el valor facturado versus el monetización tiene una diferencia muy pequeña de $ 10,215,92 que corresponde a 0,20% , estos recursos se requieren para realizar el pago de primas de S&amp;P y EOR_x000d_
</v>
      </c>
      <c r="Z344" s="21">
        <f>K344*O344</f>
        <v>5104891.92</v>
      </c>
      <c r="AA344" s="21">
        <f>Z344-Q344</f>
        <v>65864.37839999981</v>
      </c>
    </row>
    <row r="345" outlineLevel="1">
      <c r="B345">
        <v>314</v>
      </c>
      <c r="C345" t="str">
        <v>Marketing Doctors</v>
      </c>
      <c r="D345">
        <v>6521</v>
      </c>
      <c r="E345" s="1">
        <v>46006</v>
      </c>
      <c r="F345" s="1">
        <v>46067</v>
      </c>
      <c r="J345" s="20">
        <f>IFERROR(IF(TODAY()&gt;=E345,(TODAY()-E345)/I345,0),0)</f>
        <v>0</v>
      </c>
      <c r="K345" s="5">
        <v>169.74</v>
      </c>
      <c r="L345" s="5">
        <v>169.74</v>
      </c>
      <c r="M345" s="5">
        <f>K345-L345</f>
        <v>0</v>
      </c>
      <c r="N345" s="21">
        <v>3772.88</v>
      </c>
      <c r="O345" s="21">
        <v>3804.45</v>
      </c>
      <c r="P345" s="21">
        <f>O345-N345</f>
        <v>31.56999999999971</v>
      </c>
      <c r="Q345" s="21">
        <f>K345*N345</f>
        <v>640408.6512000001</v>
      </c>
      <c r="R345" s="21">
        <f>L345*O345</f>
        <v>645767.343</v>
      </c>
      <c r="S345" s="21">
        <f>R345-Q345</f>
        <v>5358.691799999913</v>
      </c>
      <c r="T345" t="str">
        <f>IF(R345&lt;= Q345,"No Monetizar","Monetizar")</f>
        <v>Monetizar</v>
      </c>
      <c r="V345" s="1">
        <v>46006</v>
      </c>
      <c r="W345" t="str">
        <v>Alfonso Fonseca A</v>
      </c>
      <c r="X345" t="str">
        <v>Alfonso Fonseca A</v>
      </c>
      <c r="Y345" t="str">
        <v>Se monetiza ya que el valor ofrecido por el banco en cada divisa es superior al valor facturado</v>
      </c>
      <c r="Z345" s="21">
        <f>K345*O345</f>
        <v>645767.343</v>
      </c>
      <c r="AA345" s="21">
        <f>Z345-Q345</f>
        <v>5358.691799999913</v>
      </c>
    </row>
    <row r="346" outlineLevel="1">
      <c r="B346">
        <v>315</v>
      </c>
      <c r="C346" t="str">
        <v>Marketing Doctors</v>
      </c>
      <c r="D346" t="str">
        <v>FV-5-134</v>
      </c>
      <c r="E346" s="1">
        <v>46006</v>
      </c>
      <c r="F346" s="1">
        <v>46067</v>
      </c>
      <c r="J346" s="20">
        <f>IFERROR(IF(TODAY()&gt;=E346,(TODAY()-E346)/I346,0),0)</f>
        <v>0</v>
      </c>
      <c r="K346" s="5">
        <v>1543.05</v>
      </c>
      <c r="L346" s="5">
        <v>1543.05</v>
      </c>
      <c r="M346" s="5">
        <f>K346-L346</f>
        <v>0</v>
      </c>
      <c r="N346" s="21">
        <v>3772.88</v>
      </c>
      <c r="O346" s="21">
        <v>3804.45</v>
      </c>
      <c r="P346" s="21">
        <f>O346-N346</f>
        <v>31.56999999999971</v>
      </c>
      <c r="Q346" s="21">
        <f>K346*N346</f>
        <v>5821742.484</v>
      </c>
      <c r="R346" s="21">
        <f>L346*O346</f>
        <v>5870456.5725</v>
      </c>
      <c r="S346" s="21">
        <f>R346-Q346</f>
        <v>48714.088499999605</v>
      </c>
      <c r="T346" t="str">
        <f>IF(R346&lt;= Q346,"No Monetizar","Monetizar")</f>
        <v>Monetizar</v>
      </c>
      <c r="V346" s="1">
        <v>46006</v>
      </c>
      <c r="W346" t="str">
        <v>Alfonso Fonseca A</v>
      </c>
      <c r="X346" t="str">
        <v>Alfonso Fonseca A</v>
      </c>
      <c r="Y346" t="str">
        <v>Se monetiza ya que el valor ofrecido por el banco en cada divisa es superior al valor facturado</v>
      </c>
      <c r="Z346" s="21">
        <f>K346*O346</f>
        <v>5870456.5725</v>
      </c>
      <c r="AA346" s="21">
        <f>Z346-Q346</f>
        <v>48714.088499999605</v>
      </c>
    </row>
    <row r="347" outlineLevel="1" xml:space="preserve">
      <c r="B347">
        <v>316</v>
      </c>
      <c r="C347" t="str">
        <v>Global Project</v>
      </c>
      <c r="D347">
        <v>6268</v>
      </c>
      <c r="E347" s="1">
        <v>45952</v>
      </c>
      <c r="F347" s="1">
        <v>46012</v>
      </c>
      <c r="J347" s="20">
        <f>IFERROR(IF(TODAY()&gt;=E347,(TODAY()-E347)/I347,0),0)</f>
        <v>0</v>
      </c>
      <c r="K347" s="5">
        <v>650</v>
      </c>
      <c r="L347" s="5">
        <v>645</v>
      </c>
      <c r="M347" s="5">
        <f>K347-L347</f>
        <v>5</v>
      </c>
      <c r="N347" s="21">
        <v>4116.94</v>
      </c>
      <c r="O347" s="21">
        <v>3806.41</v>
      </c>
      <c r="P347" s="21">
        <f>O347-N347</f>
        <v>-310.52999999999975</v>
      </c>
      <c r="Q347" s="21">
        <f>K347*N347</f>
        <v>2676010.9999999995</v>
      </c>
      <c r="R347" s="21">
        <f>L347*O347</f>
        <v>2455134.4499999997</v>
      </c>
      <c r="S347" s="21">
        <f>R347-Q347</f>
        <v>-220876.5499999998</v>
      </c>
      <c r="T347" t="str">
        <f>IF(R347&lt;= Q347,"No Monetizar","Monetizar")</f>
        <v>No Monetizar</v>
      </c>
      <c r="V347" s="1">
        <v>46006</v>
      </c>
      <c r="W347" t="str">
        <v>Alfonso Fonseca A</v>
      </c>
      <c r="X347" t="str">
        <v>Alfonso Fonseca A</v>
      </c>
      <c r="Y347" t="str" xml:space="preserve">
        <v xml:space="preserve">Se ha decidido monetizar estas divisa ya que la tasa con la que se uso al momento de facturar  nunca volvio a llegar a ese rango y  desde octubre 22 que llego el dinero la trm se ha ubicado por debajo del rango de 3,800 hasta 3,700. Adicional se requiere el dinero para el pago de las primas para EOR y S&amp;P y su vencimiento para que esta divisa se devuelva al cliente vence el proximo lunes 22 de diciembre_x000d_
</v>
      </c>
      <c r="Z347" s="21">
        <f>K347*O347</f>
        <v>2474166.5</v>
      </c>
      <c r="AA347" s="21">
        <f>Z347-Q347</f>
        <v>-201844.49999999953</v>
      </c>
    </row>
    <row r="348" outlineLevel="1" xml:space="preserve">
      <c r="B348">
        <v>317</v>
      </c>
      <c r="C348" t="str">
        <v>Deel</v>
      </c>
      <c r="D348" t="str">
        <v>6333-6414-6418</v>
      </c>
      <c r="E348" s="1">
        <v>45989</v>
      </c>
      <c r="F348" s="1">
        <v>46048</v>
      </c>
      <c r="J348" s="20">
        <f>IFERROR(IF(TODAY()&gt;=E348,(TODAY()-E348)/I348,0),0)</f>
        <v>0</v>
      </c>
      <c r="K348" s="5">
        <v>8982.49</v>
      </c>
      <c r="L348" s="5">
        <v>8982.49</v>
      </c>
      <c r="M348" s="5">
        <f>K348-L348</f>
        <v>0</v>
      </c>
      <c r="N348" s="21">
        <v>3901.29</v>
      </c>
      <c r="O348" s="21">
        <v>3806.41</v>
      </c>
      <c r="P348" s="21">
        <f>O348-N348</f>
        <v>-94.88000000000011</v>
      </c>
      <c r="Q348" s="21">
        <f>K348*N348</f>
        <v>35043298.4121</v>
      </c>
      <c r="R348" s="21">
        <f>L348*O348</f>
        <v>34191039.7609</v>
      </c>
      <c r="S348" s="21">
        <f>R348-Q348</f>
        <v>-852258.6512000039</v>
      </c>
      <c r="T348" t="str">
        <f>IF(R348&lt;= Q348,"No Monetizar","Monetizar")</f>
        <v>No Monetizar</v>
      </c>
      <c r="V348" s="1">
        <v>46006</v>
      </c>
      <c r="W348" t="str">
        <v>Alfonso Fonseca A</v>
      </c>
      <c r="X348" t="str">
        <v>Alfonso Fonseca A</v>
      </c>
      <c r="Y348" t="str" xml:space="preserve">
        <v xml:space="preserve">A la fecha no se ha podido identificar a que factura corresponde este pago pero se ingresa ya que se requiere dinero para el pago de primas de S&amp;P y EOR , esta operación la autorizo Eduard Forero _x000d_
_x000d_
</v>
      </c>
      <c r="Z348" s="21">
        <f>K348*O348</f>
        <v>34191039.7609</v>
      </c>
      <c r="AA348" s="21">
        <f>Z348-Q348</f>
        <v>-852258.6512000039</v>
      </c>
    </row>
    <row r="349" outlineLevel="1" xml:space="preserve">
      <c r="B349">
        <v>318</v>
      </c>
      <c r="C349" t="str">
        <v>Deel</v>
      </c>
      <c r="D349" t="str">
        <v>6320-6321-6322-6323-6324-6326-6327-6328</v>
      </c>
      <c r="E349" s="1">
        <v>45989</v>
      </c>
      <c r="F349" s="1">
        <v>46048</v>
      </c>
      <c r="J349" s="20">
        <f>IFERROR(IF(TODAY()&gt;=E349,(TODAY()-E349)/I349,0),0)</f>
        <v>0</v>
      </c>
      <c r="K349" s="5">
        <v>8576.2</v>
      </c>
      <c r="L349" s="5">
        <v>8586.2</v>
      </c>
      <c r="M349" s="5">
        <f>L349-K349</f>
        <v>10</v>
      </c>
      <c r="N349" s="21">
        <v>3901.29</v>
      </c>
      <c r="O349" s="21">
        <v>3806.41</v>
      </c>
      <c r="P349" s="21">
        <f>O349-N349</f>
        <v>-94.88000000000011</v>
      </c>
      <c r="Q349" s="21">
        <f>K349*N349</f>
        <v>33458243.298000004</v>
      </c>
      <c r="R349" s="21">
        <f>L349*O349</f>
        <v>32682597.542000003</v>
      </c>
      <c r="S349" s="21">
        <f>R349-Q349</f>
        <v>-775645.756000001</v>
      </c>
      <c r="T349" t="str">
        <f>IF(R349&lt;= Q349,"No Monetizar","Monetizar")</f>
        <v>No Monetizar</v>
      </c>
      <c r="V349" s="1">
        <v>46006</v>
      </c>
      <c r="W349" t="str">
        <v>Alfonso Fonseca A</v>
      </c>
      <c r="X349" t="str">
        <v>Alfonso Fonseca A</v>
      </c>
      <c r="Y349" t="str" xml:space="preserve">
        <v xml:space="preserve">A la fecha no se ha podido identificar a que factura corresponde este pago pero se ingresa ya que se requiere dinero para el pago de primas de S&amp;P y EOR , esta operación la autorizo Eduard Forero _x000d_
_x000d_
</v>
      </c>
      <c r="Z349" s="21">
        <f>K349*O349</f>
        <v>32644533.442</v>
      </c>
      <c r="AA349" s="21">
        <f>Z349-Q349</f>
        <v>-813709.8560000025</v>
      </c>
    </row>
    <row r="350" outlineLevel="1" xml:space="preserve">
      <c r="B350">
        <v>319</v>
      </c>
      <c r="C350" t="str">
        <v>Deel</v>
      </c>
      <c r="D350" t="str">
        <v>6405-6406</v>
      </c>
      <c r="E350" s="1">
        <v>45989</v>
      </c>
      <c r="F350" s="1">
        <v>46048</v>
      </c>
      <c r="J350" s="20">
        <f>IFERROR(IF(TODAY()&gt;=E350,(TODAY()-E350)/I350,0),0)</f>
        <v>0</v>
      </c>
      <c r="K350" s="5">
        <v>4116.28</v>
      </c>
      <c r="L350" s="5">
        <v>4106.28</v>
      </c>
      <c r="M350" s="5">
        <f>K350-L350</f>
        <v>10</v>
      </c>
      <c r="N350" s="21">
        <v>3870.42</v>
      </c>
      <c r="O350" s="21">
        <v>3806.41</v>
      </c>
      <c r="P350" s="21">
        <f>O350-N350</f>
        <v>-64.01000000000022</v>
      </c>
      <c r="Q350" s="21">
        <f>K350*N350</f>
        <v>15931732.4376</v>
      </c>
      <c r="R350" s="21">
        <f>L350*O350</f>
        <v>15630185.2548</v>
      </c>
      <c r="S350" s="21">
        <f>R350-Q350</f>
        <v>-301547.18280000053</v>
      </c>
      <c r="T350" t="str">
        <f>IF(R350&lt;= Q350,"No Monetizar","Monetizar")</f>
        <v>No Monetizar</v>
      </c>
      <c r="V350" s="1">
        <v>46006</v>
      </c>
      <c r="W350" t="str">
        <v>Alfonso Fonseca A</v>
      </c>
      <c r="X350" t="str">
        <v>Alfonso Fonseca A</v>
      </c>
      <c r="Y350" t="str" xml:space="preserve">
        <v xml:space="preserve">A la fecha no se ha podido identificar a que factura corresponde este pago pero se ingresa ya que se requiere dinero para el pago de primas de S&amp;P y EOR , esta operación la autorizo Eduard Forero _x000d_
_x000d_
</v>
      </c>
      <c r="Z350" s="21">
        <f>K350*O350</f>
        <v>15668249.354799999</v>
      </c>
      <c r="AA350" s="21">
        <f>Z350-Q350</f>
        <v>-263483.0828000009</v>
      </c>
    </row>
    <row r="351" outlineLevel="1" xml:space="preserve">
      <c r="B351">
        <v>320</v>
      </c>
      <c r="C351" t="str">
        <v>Deel</v>
      </c>
      <c r="D351" t="str">
        <v>6329-6330-6331-6332</v>
      </c>
      <c r="E351" s="1">
        <v>45989</v>
      </c>
      <c r="F351" s="1">
        <v>46048</v>
      </c>
      <c r="J351" s="20">
        <f>IFERROR(IF(TODAY()&gt;=E351,(TODAY()-E351)/I351,0),0)</f>
        <v>0</v>
      </c>
      <c r="K351" s="5">
        <v>2070</v>
      </c>
      <c r="L351" s="5">
        <v>2070</v>
      </c>
      <c r="M351" s="5">
        <f>K351-L351</f>
        <v>0</v>
      </c>
      <c r="N351" s="21">
        <v>3901.29</v>
      </c>
      <c r="O351" s="21">
        <v>3806.41</v>
      </c>
      <c r="P351" s="21">
        <f>O351-N351</f>
        <v>-94.88000000000011</v>
      </c>
      <c r="Q351" s="21">
        <f>K351*N351</f>
        <v>8075670.3</v>
      </c>
      <c r="R351" s="21">
        <f>L351*O351</f>
        <v>7879268.699999999</v>
      </c>
      <c r="S351" s="21">
        <f>R351-Q351</f>
        <v>-196401.60000000056</v>
      </c>
      <c r="T351" t="str">
        <f>IF(R351&lt;= Q351,"No Monetizar","Monetizar")</f>
        <v>No Monetizar</v>
      </c>
      <c r="V351" s="1">
        <v>46006</v>
      </c>
      <c r="W351" t="str">
        <v>Alfonso Fonseca A</v>
      </c>
      <c r="X351" t="str">
        <v>Alfonso Fonseca A</v>
      </c>
      <c r="Y351" t="str" xml:space="preserve">
        <v xml:space="preserve">A la fecha no se ha podido identificar a que factura corresponde este pago pero se ingresa ya que se requiere dinero para el pago de primas de S&amp;P y EOR , esta operación la autorizo Eduard Forero _x000d_
_x000d_
</v>
      </c>
      <c r="Z351" s="21">
        <f>K351*O351</f>
        <v>7879268.699999999</v>
      </c>
      <c r="AA351" s="21">
        <f>Z351-Q351</f>
        <v>-196401.60000000056</v>
      </c>
    </row>
    <row r="352" outlineLevel="1">
      <c r="B352">
        <v>321</v>
      </c>
      <c r="C352" t="str">
        <v>Solutions &amp; Payroll SAS</v>
      </c>
      <c r="D352" t="str">
        <v>Sucursales</v>
      </c>
      <c r="E352" s="1">
        <v>46007</v>
      </c>
      <c r="F352" s="1">
        <v>46066</v>
      </c>
      <c r="J352" s="20">
        <f>IFERROR(IF(TODAY()&gt;=E352,(TODAY()-E352)/I352,0),0)</f>
        <v>0</v>
      </c>
      <c r="K352" s="5">
        <v>48000</v>
      </c>
      <c r="L352" s="5">
        <v>48000</v>
      </c>
      <c r="M352" s="5">
        <f>K352-L352</f>
        <v>0</v>
      </c>
      <c r="N352" s="21">
        <v>3831.66</v>
      </c>
      <c r="O352" s="21">
        <v>3831.66</v>
      </c>
      <c r="P352" s="21">
        <f>O352-N352</f>
        <v>0</v>
      </c>
      <c r="Q352" s="21">
        <f>K352*N352</f>
        <v>183919680</v>
      </c>
      <c r="R352" s="21">
        <f>L352*O352</f>
        <v>183919680</v>
      </c>
      <c r="S352" s="21">
        <f>R352-Q352</f>
        <v>0</v>
      </c>
      <c r="T352" t="str">
        <f>IF(R352&lt;= Q352,"No Monetizar","Monetizar")</f>
        <v>No Monetizar</v>
      </c>
      <c r="V352" s="1">
        <v>46007</v>
      </c>
      <c r="W352" t="str">
        <v>Alfonso Fonseca A</v>
      </c>
      <c r="X352" t="str">
        <v>Alfonso Fonseca A</v>
      </c>
      <c r="Y352" t="str">
        <v>Se ingresa este dinero que corresponde alas divisas que se trajeron de Panamá para completar el pago de la prima de EOR y S&amp;P</v>
      </c>
      <c r="Z352" s="21">
        <f>K352*O352</f>
        <v>183919680</v>
      </c>
      <c r="AA352" s="21">
        <f>Z352-Q352</f>
        <v>0</v>
      </c>
    </row>
    <row r="353" outlineLevel="1">
      <c r="B353">
        <v>322</v>
      </c>
      <c r="C353" t="str">
        <v>Insider</v>
      </c>
      <c r="D353" t="str">
        <v>FV-5-134</v>
      </c>
      <c r="E353" s="1">
        <v>46010</v>
      </c>
      <c r="F353" s="1">
        <v>46070</v>
      </c>
      <c r="J353" s="20">
        <f>IFERROR(IF(TODAY()&gt;=E353,(TODAY()-E353)/I353,0),0)</f>
        <v>0</v>
      </c>
      <c r="K353" s="5">
        <v>38059.98</v>
      </c>
      <c r="L353" s="5">
        <v>38044.98</v>
      </c>
      <c r="M353" s="5">
        <f>K353-L353</f>
        <v>15</v>
      </c>
      <c r="N353" s="21">
        <v>3798.5</v>
      </c>
      <c r="O353" s="21">
        <v>3798</v>
      </c>
      <c r="P353" s="21">
        <f>O353-N353</f>
        <v>-0.5</v>
      </c>
      <c r="Q353" s="21">
        <f>K353*N353</f>
        <v>144570834.03</v>
      </c>
      <c r="R353" s="21">
        <f>L353*O353</f>
        <v>144494834.04000002</v>
      </c>
      <c r="S353" s="21">
        <f>R353-Q353</f>
        <v>-75999.98999997973</v>
      </c>
      <c r="T353" t="str">
        <f>IF(R353&lt;= Q353,"No Monetizar","Monetizar")</f>
        <v>No Monetizar</v>
      </c>
      <c r="V353" s="1">
        <v>46010</v>
      </c>
      <c r="W353" t="str">
        <v>Alfonso Fonseca A</v>
      </c>
      <c r="X353" t="str">
        <v>Alfonso Fonseca A</v>
      </c>
      <c r="Y353" t="str">
        <v>Se ingresa este dinero con una diferencia de 75,999,99 de perdida. Se requeria para el pago de las primas del cliente insider cuyo vencimiento legal es 19 de diciembre y no da espera a que la tasa mejore mas tarde u otro día</v>
      </c>
      <c r="Z353" s="21">
        <f>K353*O353</f>
        <v>144551804.04000002</v>
      </c>
      <c r="AA353" s="21">
        <f>Z353-Q353</f>
        <v>-19029.989999979734</v>
      </c>
    </row>
    <row r="354" outlineLevel="1">
      <c r="B354">
        <v>323</v>
      </c>
      <c r="C354" t="str">
        <v>Remofirst</v>
      </c>
      <c r="D354">
        <v>6506</v>
      </c>
      <c r="E354" s="1">
        <v>46009</v>
      </c>
      <c r="F354" s="1">
        <v>46069</v>
      </c>
      <c r="J354" s="20">
        <f>IFERROR(IF(TODAY()&gt;=E354,(TODAY()-E354)/I354,0),0)</f>
        <v>0</v>
      </c>
      <c r="K354" s="5">
        <v>12423.6</v>
      </c>
      <c r="L354" s="5">
        <v>12423.6</v>
      </c>
      <c r="M354" s="5">
        <f>K354-L354</f>
        <v>0</v>
      </c>
      <c r="N354" s="21">
        <v>3743.01</v>
      </c>
      <c r="O354" s="21">
        <v>3759.01</v>
      </c>
      <c r="P354" s="21">
        <f>O354-N354</f>
        <v>16</v>
      </c>
      <c r="Q354" s="21">
        <f>K354*N354</f>
        <v>46501659.036000006</v>
      </c>
      <c r="R354" s="21">
        <f>L354*O354</f>
        <v>46700436.63600001</v>
      </c>
      <c r="S354" s="21">
        <f>R354-Q354</f>
        <v>198777.6000000015</v>
      </c>
      <c r="T354" t="str">
        <f>IF(R354&lt;= Q354,"No Monetizar","Monetizar")</f>
        <v>Monetizar</v>
      </c>
      <c r="V354" s="1">
        <v>46010</v>
      </c>
      <c r="W354" t="str">
        <v>Alfonso Fonseca A</v>
      </c>
      <c r="X354" t="str">
        <v>Alfonso Fonseca A</v>
      </c>
      <c r="Y354" t="str">
        <v>Se monetiza ya que el valor ofrecido por el banco en cada divisa es superior al valor facturado</v>
      </c>
      <c r="Z354" s="21">
        <f>K354*O354</f>
        <v>46700436.63600001</v>
      </c>
      <c r="AA354" s="21">
        <f>Z354-Q354</f>
        <v>198777.6000000015</v>
      </c>
    </row>
    <row r="355" outlineLevel="1">
      <c r="B355">
        <v>324</v>
      </c>
      <c r="C355" t="str">
        <v>Remofirst</v>
      </c>
      <c r="D355" t="str">
        <v>FV-5-129</v>
      </c>
      <c r="E355" s="1">
        <v>46009</v>
      </c>
      <c r="F355" s="1">
        <v>46069</v>
      </c>
      <c r="J355" s="20">
        <f>IFERROR(IF(TODAY()&gt;=E355,(TODAY()-E355)/I355,0),0)</f>
        <v>0</v>
      </c>
      <c r="K355" s="5">
        <v>312007.49</v>
      </c>
      <c r="L355" s="5">
        <v>312007.49</v>
      </c>
      <c r="M355" s="5">
        <f>K355-L355</f>
        <v>0</v>
      </c>
      <c r="N355" s="21">
        <v>3743.01</v>
      </c>
      <c r="O355" s="21">
        <v>3759.01</v>
      </c>
      <c r="P355" s="21">
        <f>O355-N355</f>
        <v>16</v>
      </c>
      <c r="Q355" s="21">
        <f>K355*N355</f>
        <v>1167847155.1449</v>
      </c>
      <c r="R355" s="21">
        <f>L355*O355</f>
        <v>1172839274.9849</v>
      </c>
      <c r="S355" s="21">
        <f>R355-Q355</f>
        <v>4992119.839999914</v>
      </c>
      <c r="T355" t="str">
        <f>IF(R355&lt;= Q355,"No Monetizar","Monetizar")</f>
        <v>Monetizar</v>
      </c>
      <c r="V355" s="1">
        <v>46010</v>
      </c>
      <c r="W355" t="str">
        <v>Alfonso Fonseca A</v>
      </c>
      <c r="X355" t="str">
        <v>Alfonso Fonseca A</v>
      </c>
      <c r="Y355" t="str">
        <v>Se monetiza ya que el valor ofrecido por el banco en cada divisa es superior al valor facturado</v>
      </c>
      <c r="Z355" s="21">
        <f>K355*O355</f>
        <v>1172839274.9849</v>
      </c>
      <c r="AA355" s="21">
        <f>Z355-Q355</f>
        <v>4992119.839999914</v>
      </c>
    </row>
    <row r="356" outlineLevel="1">
      <c r="B356">
        <v>325</v>
      </c>
      <c r="C356" t="str">
        <v>Equus Global Expansion, LLC</v>
      </c>
      <c r="D356">
        <v>6524</v>
      </c>
      <c r="E356" s="1">
        <v>46007</v>
      </c>
      <c r="F356" s="1">
        <v>46067</v>
      </c>
      <c r="J356" s="20">
        <f>IFERROR(IF(TODAY()&gt;=E356,(TODAY()-E356)/I356,0),0)</f>
        <v>0</v>
      </c>
      <c r="K356" s="5">
        <v>178.5</v>
      </c>
      <c r="L356" s="5">
        <v>178.5</v>
      </c>
      <c r="M356" s="5">
        <f>K356-L356</f>
        <v>0</v>
      </c>
      <c r="N356" s="21">
        <v>3753.83</v>
      </c>
      <c r="O356" s="21">
        <v>3788.5</v>
      </c>
      <c r="P356" s="21">
        <f>O356-N356</f>
        <v>34.67000000000007</v>
      </c>
      <c r="Q356" s="21">
        <f>K356*N356</f>
        <v>670058.655</v>
      </c>
      <c r="R356" s="21">
        <f>L356*O356</f>
        <v>676247.25</v>
      </c>
      <c r="S356" s="21">
        <f>R356-Q356</f>
        <v>6188.594999999972</v>
      </c>
      <c r="T356" t="str">
        <f>IF(R356&lt;= Q356,"No Monetizar","Monetizar")</f>
        <v>Monetizar</v>
      </c>
      <c r="V356" s="1">
        <v>46010</v>
      </c>
      <c r="W356" t="str">
        <v>Alfonso Fonseca A</v>
      </c>
      <c r="X356" t="str">
        <v>Alfonso Fonseca A</v>
      </c>
      <c r="Y356" t="str">
        <v>Se monetiza ya que el valor ofrecido por el banco en cada divisa es superior al valor facturado</v>
      </c>
      <c r="Z356" s="21">
        <f>K356*O356</f>
        <v>676247.25</v>
      </c>
      <c r="AA356" s="21">
        <f>Z356-Q356</f>
        <v>6188.594999999972</v>
      </c>
    </row>
    <row r="357" outlineLevel="1">
      <c r="B357">
        <v>326</v>
      </c>
      <c r="C357" t="str">
        <v>Equus Global Expansion, LLC</v>
      </c>
      <c r="D357" t="str">
        <v>FV-5-137</v>
      </c>
      <c r="E357" s="1">
        <v>46007</v>
      </c>
      <c r="F357" s="1">
        <v>46067</v>
      </c>
      <c r="J357" s="20">
        <f>IFERROR(IF(TODAY()&gt;=E357,(TODAY()-E357)/I357,0),0)</f>
        <v>0</v>
      </c>
      <c r="K357" s="5">
        <v>1564.75</v>
      </c>
      <c r="L357" s="5">
        <v>1564.75</v>
      </c>
      <c r="M357" s="5">
        <f>K357-L357</f>
        <v>0</v>
      </c>
      <c r="N357" s="21">
        <v>3753.83</v>
      </c>
      <c r="O357" s="21">
        <v>3788.5</v>
      </c>
      <c r="P357" s="21">
        <f>O357-N357</f>
        <v>34.67000000000007</v>
      </c>
      <c r="Q357" s="21">
        <f>K357*N357</f>
        <v>5873805.4925</v>
      </c>
      <c r="R357" s="21">
        <f>L357*O357</f>
        <v>5928055.375</v>
      </c>
      <c r="S357" s="21">
        <f>R357-Q357</f>
        <v>54249.8825000003</v>
      </c>
      <c r="T357" t="str">
        <f>IF(R357&lt;= Q357,"No Monetizar","Monetizar")</f>
        <v>Monetizar</v>
      </c>
      <c r="V357" s="1">
        <v>46010</v>
      </c>
      <c r="W357" t="str">
        <v>Alfonso Fonseca A</v>
      </c>
      <c r="X357" t="str">
        <v>Alfonso Fonseca A</v>
      </c>
      <c r="Y357" t="str">
        <v>Se monetiza ya que el valor ofrecido por el banco en cada divisa es superior al valor facturado</v>
      </c>
      <c r="Z357" s="21">
        <f>K357*O357</f>
        <v>5928055.375</v>
      </c>
      <c r="AA357" s="21">
        <f>Z357-Q357</f>
        <v>54249.8825000003</v>
      </c>
    </row>
    <row r="358" outlineLevel="1">
      <c r="B358">
        <v>327</v>
      </c>
      <c r="C358" t="str">
        <v>Endrington</v>
      </c>
      <c r="D358">
        <v>6527</v>
      </c>
      <c r="E358" s="1">
        <v>46009</v>
      </c>
      <c r="F358" s="1">
        <v>46069</v>
      </c>
      <c r="J358" s="20">
        <f>IFERROR(IF(TODAY()&gt;=E358,(TODAY()-E358)/I358,0),0)</f>
        <v>0</v>
      </c>
      <c r="K358" s="5">
        <v>428.1</v>
      </c>
      <c r="L358" s="5">
        <v>428.1</v>
      </c>
      <c r="M358" s="5">
        <f>K358-L358</f>
        <v>0</v>
      </c>
      <c r="N358" s="21">
        <v>3772.88</v>
      </c>
      <c r="O358" s="21">
        <v>3788</v>
      </c>
      <c r="P358" s="21">
        <f>O358-N358</f>
        <v>15.11999999999989</v>
      </c>
      <c r="Q358" s="21">
        <f>K358*N358</f>
        <v>1615169.928</v>
      </c>
      <c r="R358" s="21">
        <f>L358*O358</f>
        <v>1621642.8</v>
      </c>
      <c r="S358" s="21">
        <f>R358-Q358</f>
        <v>6472.871999999974</v>
      </c>
      <c r="T358" t="str">
        <f>IF(R358&lt;= Q358,"No Monetizar","Monetizar")</f>
        <v>Monetizar</v>
      </c>
      <c r="V358" s="1">
        <v>46010</v>
      </c>
      <c r="W358" t="str">
        <v>Alfonso Fonseca A</v>
      </c>
      <c r="X358" t="str">
        <v>Alfonso Fonseca A</v>
      </c>
      <c r="Y358" t="str">
        <v>Se monetiza ya que el valor ofrecido por el banco en cada divisa es superior al valor facturado</v>
      </c>
      <c r="Z358" s="21">
        <f>K358*O358</f>
        <v>1621642.8</v>
      </c>
      <c r="AA358" s="21">
        <f>Z358-Q358</f>
        <v>6472.871999999974</v>
      </c>
    </row>
    <row r="359" outlineLevel="1">
      <c r="B359">
        <v>328</v>
      </c>
      <c r="C359" t="str">
        <v>Endrington</v>
      </c>
      <c r="D359" t="str">
        <v>FV-5-139</v>
      </c>
      <c r="E359" s="1">
        <v>46009</v>
      </c>
      <c r="F359" s="1">
        <v>46069</v>
      </c>
      <c r="J359" s="20">
        <f>IFERROR(IF(TODAY()&gt;=E359,(TODAY()-E359)/I359,0),0)</f>
        <v>0</v>
      </c>
      <c r="K359" s="5">
        <v>7783.65</v>
      </c>
      <c r="L359" s="5">
        <v>7783.65</v>
      </c>
      <c r="M359" s="5">
        <f>K359-L359</f>
        <v>0</v>
      </c>
      <c r="N359" s="21">
        <v>3772.88</v>
      </c>
      <c r="O359" s="21">
        <v>3788</v>
      </c>
      <c r="P359" s="21">
        <f>O359-N359</f>
        <v>15.11999999999989</v>
      </c>
      <c r="Q359" s="21">
        <f>K359*N359</f>
        <v>29366777.412</v>
      </c>
      <c r="R359" s="21">
        <f>L359*O359</f>
        <v>29484466.2</v>
      </c>
      <c r="S359" s="21">
        <f>R359-Q359</f>
        <v>117688.78799999878</v>
      </c>
      <c r="T359" t="str">
        <f>IF(R359&lt;= Q359,"No Monetizar","Monetizar")</f>
        <v>Monetizar</v>
      </c>
      <c r="V359" s="1">
        <v>46010</v>
      </c>
      <c r="W359" t="str">
        <v>Alfonso Fonseca A</v>
      </c>
      <c r="X359" t="str">
        <v>Alfonso Fonseca A</v>
      </c>
      <c r="Y359" t="str">
        <v>Se monetiza ya que el valor ofrecido por el banco en cada divisa es superior al valor facturado</v>
      </c>
      <c r="Z359" s="21">
        <f>K359*O359</f>
        <v>29484466.2</v>
      </c>
      <c r="AA359" s="21">
        <f>Z359-Q359</f>
        <v>117688.78799999878</v>
      </c>
    </row>
    <row r="360" outlineLevel="1">
      <c r="B360">
        <v>329</v>
      </c>
      <c r="C360" t="str">
        <v>Remofirst</v>
      </c>
      <c r="D360">
        <v>6535</v>
      </c>
      <c r="E360" s="1">
        <v>46009</v>
      </c>
      <c r="F360" s="1">
        <v>46069</v>
      </c>
      <c r="J360" s="20">
        <f>IFERROR(IF(TODAY()&gt;=E360,(TODAY()-E360)/I360,0),0)</f>
        <v>0</v>
      </c>
      <c r="K360" s="5">
        <v>285.6</v>
      </c>
      <c r="L360" s="5">
        <v>303.55547871819897</v>
      </c>
      <c r="M360" s="5">
        <f>K360-L360</f>
        <v>-17.955478718198947</v>
      </c>
      <c r="N360" s="21">
        <v>3743.01</v>
      </c>
      <c r="O360" s="21">
        <v>3771.5</v>
      </c>
      <c r="P360" s="21">
        <f>O360-N360</f>
        <v>28.48999999999978</v>
      </c>
      <c r="Q360" s="21">
        <f>K360*N360</f>
        <v>1069003.6560000002</v>
      </c>
      <c r="R360" s="21">
        <f>L360*O360</f>
        <v>1144859.4879856873</v>
      </c>
      <c r="S360" s="21">
        <f>R360-Q360</f>
        <v>75855.83198568714</v>
      </c>
      <c r="T360" t="str">
        <f>IF(R360&lt;= Q360,"No Monetizar","Monetizar")</f>
        <v>Monetizar</v>
      </c>
      <c r="V360" s="1">
        <v>46010</v>
      </c>
      <c r="W360" t="str">
        <v>Alfonso Fonseca A</v>
      </c>
      <c r="X360" t="str">
        <v>Alfonso Fonseca A</v>
      </c>
      <c r="Y360" t="str">
        <v>Se monetiza ya que el valor ofrecido por el banco en cada divisa es superior al valor facturado</v>
      </c>
      <c r="Z360" s="21">
        <f>K360*O360</f>
        <v>1077140.4000000001</v>
      </c>
      <c r="AA360" s="21">
        <f>Z360-Q360</f>
        <v>8136.743999999948</v>
      </c>
    </row>
    <row r="361" outlineLevel="1">
      <c r="B361">
        <v>330</v>
      </c>
      <c r="C361" t="str">
        <v>Remofirst</v>
      </c>
      <c r="D361" t="str">
        <v>FV-5-150</v>
      </c>
      <c r="E361" s="1">
        <v>46009</v>
      </c>
      <c r="F361" s="1">
        <v>46069</v>
      </c>
      <c r="J361" s="20">
        <f>IFERROR(IF(TODAY()&gt;=E361,(TODAY()-E361)/I361,0),0)</f>
        <v>0</v>
      </c>
      <c r="K361" s="5">
        <v>7685.06</v>
      </c>
      <c r="L361" s="5">
        <v>8168.214521281801</v>
      </c>
      <c r="M361" s="5">
        <f>K361-L361</f>
        <v>-483.15452128180095</v>
      </c>
      <c r="N361" s="21">
        <v>3743.01</v>
      </c>
      <c r="O361" s="21">
        <v>3771.5</v>
      </c>
      <c r="P361" s="21">
        <f>O361-N361</f>
        <v>28.48999999999978</v>
      </c>
      <c r="Q361" s="21">
        <f>K361*N361</f>
        <v>28765256.430600002</v>
      </c>
      <c r="R361" s="21">
        <f>L361*O361</f>
        <v>30806421.067014314</v>
      </c>
      <c r="S361" s="21">
        <f>R361-Q361</f>
        <v>2041164.6364143118</v>
      </c>
      <c r="T361" t="str">
        <f>IF(R361&lt;= Q361,"No Monetizar","Monetizar")</f>
        <v>Monetizar</v>
      </c>
      <c r="V361" s="1">
        <v>46010</v>
      </c>
      <c r="W361" t="str">
        <v>Alfonso Fonseca A</v>
      </c>
      <c r="X361" t="str">
        <v>Alfonso Fonseca A</v>
      </c>
      <c r="Y361" t="str">
        <v>Se monetiza ya que el valor ofrecido por el banco en cada divisa es superior al valor facturado</v>
      </c>
      <c r="Z361" s="21">
        <f>K361*O361</f>
        <v>28984203.790000003</v>
      </c>
      <c r="AA361" s="21">
        <f>Z361-Q361</f>
        <v>218947.35940000042</v>
      </c>
    </row>
    <row r="362" outlineLevel="1">
      <c r="B362">
        <v>331</v>
      </c>
      <c r="C362" t="str">
        <v>Europortage</v>
      </c>
      <c r="D362">
        <v>6225</v>
      </c>
      <c r="E362" s="1">
        <v>46013</v>
      </c>
      <c r="F362" s="1">
        <v>46073</v>
      </c>
      <c r="J362" s="20">
        <f>IFERROR(IF(TODAY()&gt;=E362,(TODAY()-E362)/I362,0),0)</f>
        <v>0</v>
      </c>
      <c r="K362" s="5">
        <v>825.96</v>
      </c>
      <c r="L362" s="5">
        <v>825.4089867567588</v>
      </c>
      <c r="M362" s="5">
        <f>K362-L362</f>
        <v>0.5510132432411865</v>
      </c>
      <c r="N362" s="21">
        <v>3753.83</v>
      </c>
      <c r="O362" s="21">
        <v>3767.36</v>
      </c>
      <c r="P362" s="21">
        <f>O362-N362</f>
        <v>13.5300000000002</v>
      </c>
      <c r="Q362" s="21">
        <f>K362*N362</f>
        <v>3100513.4268</v>
      </c>
      <c r="R362" s="21">
        <f>L362*O362</f>
        <v>3109612.8003479433</v>
      </c>
      <c r="S362" s="21">
        <f>R362-Q362</f>
        <v>9099.373547943309</v>
      </c>
      <c r="T362" t="str">
        <f>IF(R362&lt;= Q362,"No Monetizar","Monetizar")</f>
        <v>Monetizar</v>
      </c>
      <c r="V362" s="1">
        <v>46014</v>
      </c>
      <c r="W362" t="str">
        <v>Alfonso Fonseca A</v>
      </c>
      <c r="X362" t="str">
        <v>Alfonso Fonseca A</v>
      </c>
      <c r="Y362" t="str">
        <v>Se monetiza ya que el valor ofrecido por el banco en cada divisa es superior al valor facturado</v>
      </c>
      <c r="Z362" s="21">
        <f>K362*O362</f>
        <v>3111688.6656000004</v>
      </c>
      <c r="AA362" s="21">
        <f>Z362-Q362</f>
        <v>11175.2388000004</v>
      </c>
    </row>
    <row r="363" outlineLevel="1">
      <c r="B363">
        <v>332</v>
      </c>
      <c r="C363" t="str">
        <v>Europortage</v>
      </c>
      <c r="D363" t="str">
        <v>FV-5-138</v>
      </c>
      <c r="E363" s="1">
        <v>46013</v>
      </c>
      <c r="F363" s="1">
        <v>46073</v>
      </c>
      <c r="J363" s="20">
        <f>IFERROR(IF(TODAY()&gt;=E363,(TODAY()-E363)/I363,0),0)</f>
        <v>0</v>
      </c>
      <c r="K363" s="5">
        <v>14103.92</v>
      </c>
      <c r="L363" s="5">
        <v>14094.51101324324</v>
      </c>
      <c r="M363" s="5">
        <f>K363-L363</f>
        <v>9.408986756759987</v>
      </c>
      <c r="N363" s="21">
        <v>3753.83</v>
      </c>
      <c r="O363" s="21">
        <v>3767.36</v>
      </c>
      <c r="P363" s="21">
        <f>O363-N363</f>
        <v>13.5300000000002</v>
      </c>
      <c r="Q363" s="21">
        <f>K363*N363</f>
        <v>52943718.0136</v>
      </c>
      <c r="R363" s="21">
        <f>L363*O363</f>
        <v>53099097.010852054</v>
      </c>
      <c r="S363" s="21">
        <f>R363-Q363</f>
        <v>155378.9972520545</v>
      </c>
      <c r="T363" t="str">
        <f>IF(R363&lt;= Q363,"No Monetizar","Monetizar")</f>
        <v>Monetizar</v>
      </c>
      <c r="V363" s="1">
        <v>46014</v>
      </c>
      <c r="W363" t="str">
        <v>Alfonso Fonseca A</v>
      </c>
      <c r="X363" t="str">
        <v>Alfonso Fonseca A</v>
      </c>
      <c r="Y363" t="str">
        <v>Se monetiza ya que el valor ofrecido por el banco en cada divisa es superior al valor facturado</v>
      </c>
      <c r="Z363" s="21">
        <f>K363*O363</f>
        <v>53134544.0512</v>
      </c>
      <c r="AA363" s="21">
        <f>Z363-Q363</f>
        <v>190826.03760000318</v>
      </c>
    </row>
    <row r="364" outlineLevel="1" xml:space="preserve">
      <c r="B364">
        <v>333</v>
      </c>
      <c r="C364" t="str">
        <v>Flexco</v>
      </c>
      <c r="D364">
        <v>6558</v>
      </c>
      <c r="E364" s="1">
        <v>46010</v>
      </c>
      <c r="F364" s="1">
        <v>46070</v>
      </c>
      <c r="J364" s="20">
        <f>IFERROR(IF(TODAY()&gt;=E364,(TODAY()-E364)/I364,0),0)</f>
        <v>0</v>
      </c>
      <c r="K364" s="5">
        <v>596.29</v>
      </c>
      <c r="L364" s="5">
        <v>595.464315991786</v>
      </c>
      <c r="M364" s="5">
        <f>K364-L364</f>
        <v>0.8256840082140116</v>
      </c>
      <c r="N364" s="21">
        <v>3828.1</v>
      </c>
      <c r="O364" s="21">
        <v>3745</v>
      </c>
      <c r="P364" s="21">
        <f>O364-N364</f>
        <v>-83.09999999999991</v>
      </c>
      <c r="Q364" s="21">
        <f>K364*N364</f>
        <v>2282657.749</v>
      </c>
      <c r="R364" s="21">
        <f>L364*O364</f>
        <v>2230013.8633892382</v>
      </c>
      <c r="S364" s="21">
        <f>R364-Q364</f>
        <v>-52643.88561076159</v>
      </c>
      <c r="T364" t="str">
        <f>IF(R364&lt;= Q364,"No Monetizar","Monetizar")</f>
        <v>No Monetizar</v>
      </c>
      <c r="V364" s="1">
        <v>46014</v>
      </c>
      <c r="W364" t="str">
        <v>Alfonso Fonseca A</v>
      </c>
      <c r="X364" t="str">
        <v>Alfonso Fonseca A</v>
      </c>
      <c r="Y364" t="str" xml:space="preserve">
        <v xml:space="preserve">El ingreso de estos recursos se realiza con una diferencia del 2,17%,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4" s="21">
        <f>K364*O364</f>
        <v>2233106.05</v>
      </c>
      <c r="AA364" s="21">
        <f>Z364-Q364</f>
        <v>-49551.69900000002</v>
      </c>
    </row>
    <row r="365" outlineLevel="1" xml:space="preserve">
      <c r="B365">
        <v>334</v>
      </c>
      <c r="C365" t="str">
        <v>Flexco</v>
      </c>
      <c r="D365" t="str">
        <v>FV-5-150</v>
      </c>
      <c r="E365" s="1">
        <v>46010</v>
      </c>
      <c r="F365" s="1">
        <v>46070</v>
      </c>
      <c r="J365" s="20">
        <f>IFERROR(IF(TODAY()&gt;=E365,(TODAY()-E365)/I365,0),0)</f>
        <v>0</v>
      </c>
      <c r="K365" s="5">
        <v>6625.48</v>
      </c>
      <c r="L365" s="5">
        <v>6616.3056840082145</v>
      </c>
      <c r="M365" s="5">
        <f>K365-L365</f>
        <v>9.174315991785079</v>
      </c>
      <c r="N365" s="21">
        <v>3828.1</v>
      </c>
      <c r="O365" s="21">
        <v>3745</v>
      </c>
      <c r="P365" s="21">
        <f>O365-N365</f>
        <v>-83.09999999999991</v>
      </c>
      <c r="Q365" s="21">
        <f>K365*N365</f>
        <v>25362999.987999998</v>
      </c>
      <c r="R365" s="21">
        <f>L365*O365</f>
        <v>24778064.786610764</v>
      </c>
      <c r="S365" s="21">
        <f>R365-Q365</f>
        <v>-584935.2013892345</v>
      </c>
      <c r="T365" t="str">
        <f>IF(R365&lt;= Q365,"No Monetizar","Monetizar")</f>
        <v>No Monetizar</v>
      </c>
      <c r="V365" s="1">
        <v>46014</v>
      </c>
      <c r="W365" t="str">
        <v>Alfonso Fonseca A</v>
      </c>
      <c r="X365" t="str">
        <v>Alfonso Fonseca A</v>
      </c>
      <c r="Y365" t="str" xml:space="preserve">
        <v xml:space="preserve">El ingreso de estos recursos se realiza con una diferencia del 2,17%,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5" s="21">
        <f>K365*O365</f>
        <v>24812422.599999998</v>
      </c>
      <c r="AA365" s="21">
        <f>Z365-Q365</f>
        <v>-550577.3880000003</v>
      </c>
    </row>
    <row r="366" outlineLevel="1" xml:space="preserve">
      <c r="B366">
        <v>335</v>
      </c>
      <c r="C366" t="str">
        <v>Action</v>
      </c>
      <c r="D366">
        <v>6556</v>
      </c>
      <c r="E366" s="1">
        <v>46013</v>
      </c>
      <c r="F366" s="1">
        <v>46073</v>
      </c>
      <c r="J366" s="20">
        <f>IFERROR(IF(TODAY()&gt;=E366,(TODAY()-E366)/I366,0),0)</f>
        <v>0</v>
      </c>
      <c r="K366" s="5">
        <v>337.83</v>
      </c>
      <c r="L366" s="5">
        <v>337.83</v>
      </c>
      <c r="M366" s="5">
        <f>K366-L366</f>
        <v>0</v>
      </c>
      <c r="N366" s="21">
        <v>3827.86</v>
      </c>
      <c r="O366" s="21">
        <v>3745</v>
      </c>
      <c r="P366" s="21">
        <f>O366-N366</f>
        <v>-82.86000000000013</v>
      </c>
      <c r="Q366" s="21">
        <f>K366*N366</f>
        <v>1293165.9438</v>
      </c>
      <c r="R366" s="21">
        <f>L366*O366</f>
        <v>1265173.3499999999</v>
      </c>
      <c r="S366" s="21">
        <f>R366-Q366</f>
        <v>-27992.593800000148</v>
      </c>
      <c r="T366" t="str">
        <f>IF(R366&lt;= Q366,"No Monetizar","Monetizar")</f>
        <v>No Monetizar</v>
      </c>
      <c r="V366" s="1">
        <v>46014</v>
      </c>
      <c r="W366" t="str">
        <v>Alfonso Fonseca A</v>
      </c>
      <c r="X366" t="str">
        <v>Alfonso Fonseca A</v>
      </c>
      <c r="Y366" t="str" xml:space="preserve">
        <v xml:space="preserve">El ingreso de estos recursos se realiza con una diferencia del 2,16%,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6" s="21">
        <f>K366*O366</f>
        <v>1265173.3499999999</v>
      </c>
      <c r="AA366" s="21">
        <f>Z366-Q366</f>
        <v>-27992.593800000148</v>
      </c>
    </row>
    <row r="367" outlineLevel="1" xml:space="preserve">
      <c r="B367">
        <v>336</v>
      </c>
      <c r="C367" t="str">
        <v>Action</v>
      </c>
      <c r="D367" t="str">
        <v>FV-5-150</v>
      </c>
      <c r="E367" s="1">
        <v>46013</v>
      </c>
      <c r="F367" s="1">
        <v>46073</v>
      </c>
      <c r="J367" s="20">
        <f>IFERROR(IF(TODAY()&gt;=E367,(TODAY()-E367)/I367,0),0)</f>
        <v>0</v>
      </c>
      <c r="K367" s="5">
        <v>3071.21</v>
      </c>
      <c r="L367" s="5">
        <v>3071.21</v>
      </c>
      <c r="M367" s="5">
        <f>K367-L367</f>
        <v>0</v>
      </c>
      <c r="N367" s="21">
        <v>3827.86</v>
      </c>
      <c r="O367" s="21">
        <v>3745</v>
      </c>
      <c r="P367" s="21">
        <f>O367-N367</f>
        <v>-82.86000000000013</v>
      </c>
      <c r="Q367" s="21">
        <f>K367*N367</f>
        <v>11756161.910600001</v>
      </c>
      <c r="R367" s="21">
        <f>L367*O367</f>
        <v>11501681.45</v>
      </c>
      <c r="S367" s="21">
        <f>R367-Q367</f>
        <v>-254480.46060000174</v>
      </c>
      <c r="T367" t="str">
        <f>IF(R367&lt;= Q367,"No Monetizar","Monetizar")</f>
        <v>No Monetizar</v>
      </c>
      <c r="V367" s="1">
        <v>46014</v>
      </c>
      <c r="W367" t="str">
        <v>Alfonso Fonseca A</v>
      </c>
      <c r="X367" t="str">
        <v>Alfonso Fonseca A</v>
      </c>
      <c r="Y367" t="str" xml:space="preserve">
        <v xml:space="preserve">El ingreso de estos recursos se realiza con una diferencia del 2,16%,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7" s="21">
        <f>K367*O367</f>
        <v>11501681.45</v>
      </c>
      <c r="AA367" s="21">
        <f>Z367-Q367</f>
        <v>-254480.46060000174</v>
      </c>
    </row>
    <row r="368" outlineLevel="1" xml:space="preserve">
      <c r="B368">
        <v>337</v>
      </c>
      <c r="C368" t="str">
        <v>Oncehub</v>
      </c>
      <c r="D368">
        <v>6561</v>
      </c>
      <c r="E368" s="1">
        <v>46014</v>
      </c>
      <c r="F368" s="1">
        <v>46074</v>
      </c>
      <c r="J368" s="20">
        <f>IFERROR(IF(TODAY()&gt;=E368,(TODAY()-E368)/I368,0),0)</f>
        <v>0</v>
      </c>
      <c r="K368" s="5">
        <v>285.6</v>
      </c>
      <c r="L368" s="5">
        <v>283.9114729383386</v>
      </c>
      <c r="M368" s="5">
        <f>K368-L368</f>
        <v>1.688527061661432</v>
      </c>
      <c r="N368" s="21">
        <v>3754.92</v>
      </c>
      <c r="O368" s="21">
        <v>3742.75</v>
      </c>
      <c r="P368" s="21">
        <f>O368-N368</f>
        <v>-12.170000000000073</v>
      </c>
      <c r="Q368" s="21">
        <f>K368*N368</f>
        <v>1072405.152</v>
      </c>
      <c r="R368" s="21">
        <f>L368*O368</f>
        <v>1062609.6653399668</v>
      </c>
      <c r="S368" s="21">
        <f>R368-Q368</f>
        <v>-9795.486660033232</v>
      </c>
      <c r="T368" t="str">
        <f>IF(R368&lt;= Q368,"No Monetizar","Monetizar")</f>
        <v>No Monetizar</v>
      </c>
      <c r="V368" s="1">
        <v>46014</v>
      </c>
      <c r="W368" t="str">
        <v>Alfonso Fonseca A</v>
      </c>
      <c r="X368" t="str">
        <v>Alfonso Fonseca A</v>
      </c>
      <c r="Y368" t="str" xml:space="preserve">
        <v xml:space="preserve">El ingreso de estos recursos se realiza con una diferencia del 0,32%,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8" s="21">
        <f>K368*O368</f>
        <v>1068929.4000000001</v>
      </c>
      <c r="AA368" s="21">
        <f>Z368-Q368</f>
        <v>-3475.751999999862</v>
      </c>
    </row>
    <row r="369" outlineLevel="1" xml:space="preserve">
      <c r="B369">
        <v>338</v>
      </c>
      <c r="C369" t="str">
        <v>Oncehub</v>
      </c>
      <c r="D369" t="str">
        <v>FV-5-156</v>
      </c>
      <c r="E369" s="1">
        <v>46014</v>
      </c>
      <c r="F369" s="1">
        <v>46074</v>
      </c>
      <c r="J369" s="20">
        <f>IFERROR(IF(TODAY()&gt;=E369,(TODAY()-E369)/I369,0),0)</f>
        <v>0</v>
      </c>
      <c r="K369" s="5">
        <v>3097.23</v>
      </c>
      <c r="L369" s="5">
        <v>3078.9185270616613</v>
      </c>
      <c r="M369" s="5">
        <f>K369-L369</f>
        <v>18.31147293833874</v>
      </c>
      <c r="N369" s="21">
        <v>3754.92</v>
      </c>
      <c r="O369" s="21">
        <v>3742.75</v>
      </c>
      <c r="P369" s="21">
        <f>O369-N369</f>
        <v>-12.170000000000073</v>
      </c>
      <c r="Q369" s="21">
        <f>K369*N369</f>
        <v>11629850.8716</v>
      </c>
      <c r="R369" s="21">
        <f>L369*O369</f>
        <v>11523622.317160033</v>
      </c>
      <c r="S369" s="21">
        <f>R369-Q369</f>
        <v>-106228.5544399675</v>
      </c>
      <c r="T369" t="str">
        <f>IF(R369&lt;= Q369,"No Monetizar","Monetizar")</f>
        <v>No Monetizar</v>
      </c>
      <c r="V369" s="1">
        <v>46014</v>
      </c>
      <c r="W369" t="str">
        <v>Alfonso Fonseca A</v>
      </c>
      <c r="X369" t="str">
        <v>Alfonso Fonseca A</v>
      </c>
      <c r="Y369" t="str" xml:space="preserve">
        <v xml:space="preserve">El ingreso de estos recursos se realiza con una diferencia del 0,32%,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69" s="21">
        <f>K369*O369</f>
        <v>11592157.5825</v>
      </c>
      <c r="AA369" s="21">
        <f>Z369-Q369</f>
        <v>-37693.289100000635</v>
      </c>
    </row>
    <row r="370" outlineLevel="1" xml:space="preserve">
      <c r="B370">
        <v>339</v>
      </c>
      <c r="C370" t="str">
        <v>Nazdar ink technologies</v>
      </c>
      <c r="D370">
        <v>6538</v>
      </c>
      <c r="E370" s="1">
        <v>46014</v>
      </c>
      <c r="F370" s="1">
        <v>46074</v>
      </c>
      <c r="J370" s="20">
        <f>IFERROR(IF(TODAY()&gt;=E370,(TODAY()-E370)/I370,0),0)</f>
        <v>0</v>
      </c>
      <c r="K370" s="5">
        <v>995.54</v>
      </c>
      <c r="L370" s="5">
        <v>994.6909369594956</v>
      </c>
      <c r="M370" s="5">
        <f>K370-L370</f>
        <v>0.8490630405043476</v>
      </c>
      <c r="N370" s="21">
        <v>3779.41</v>
      </c>
      <c r="O370" s="21">
        <v>3745</v>
      </c>
      <c r="P370" s="21">
        <f>O370-N370</f>
        <v>-34.409999999999854</v>
      </c>
      <c r="Q370" s="21">
        <f>K370*N370</f>
        <v>3762553.8313999996</v>
      </c>
      <c r="R370" s="21">
        <f>L370*O370</f>
        <v>3725117.558913311</v>
      </c>
      <c r="S370" s="21">
        <f>R370-Q370</f>
        <v>-37436.27248668857</v>
      </c>
      <c r="T370" t="str">
        <f>IF(R370&lt;= Q370,"No Monetizar","Monetizar")</f>
        <v>No Monetizar</v>
      </c>
      <c r="V370" s="1">
        <v>46014</v>
      </c>
      <c r="W370" t="str">
        <v>Alfonso Fonseca A</v>
      </c>
      <c r="X370" t="str">
        <v>Alfonso Fonseca A</v>
      </c>
      <c r="Y370" t="str" xml:space="preserve">
        <v xml:space="preserve">El ingreso de estos recursos se realiza con una diferencia del 0,91%,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70" s="21">
        <f>K370*O370</f>
        <v>3728297.3</v>
      </c>
      <c r="AA370" s="21">
        <f>Z370-Q370</f>
        <v>-34256.531399999745</v>
      </c>
    </row>
    <row r="371" outlineLevel="1" xml:space="preserve">
      <c r="B371">
        <v>340</v>
      </c>
      <c r="C371" t="str">
        <v>Nazdar ink technologies</v>
      </c>
      <c r="D371" t="str">
        <v>FV-5-142</v>
      </c>
      <c r="E371" s="1">
        <v>46014</v>
      </c>
      <c r="F371" s="1">
        <v>46074</v>
      </c>
      <c r="J371" s="20">
        <f>IFERROR(IF(TODAY()&gt;=E371,(TODAY()-E371)/I371,0),0)</f>
        <v>0</v>
      </c>
      <c r="K371" s="5">
        <v>16592.2</v>
      </c>
      <c r="L371" s="5">
        <v>16578.049063040507</v>
      </c>
      <c r="M371" s="5">
        <f>K371-L371</f>
        <v>14.150936959493265</v>
      </c>
      <c r="N371" s="21">
        <v>3779.41</v>
      </c>
      <c r="O371" s="21">
        <v>3745</v>
      </c>
      <c r="P371" s="21">
        <f>O371-N371</f>
        <v>-34.409999999999854</v>
      </c>
      <c r="Q371" s="21">
        <f>K371*N371</f>
        <v>62708726.602</v>
      </c>
      <c r="R371" s="21">
        <f>L371*O371</f>
        <v>62084793.7410867</v>
      </c>
      <c r="S371" s="21">
        <f>R371-Q371</f>
        <v>-623932.860913299</v>
      </c>
      <c r="T371" t="str">
        <f>IF(R371&lt;= Q371,"No Monetizar","Monetizar")</f>
        <v>No Monetizar</v>
      </c>
      <c r="V371" s="1">
        <v>46014</v>
      </c>
      <c r="W371" t="str">
        <v>Alfonso Fonseca A</v>
      </c>
      <c r="X371" t="str">
        <v>Alfonso Fonseca A</v>
      </c>
      <c r="Y371" t="str" xml:space="preserve">
        <v xml:space="preserve">El ingreso de estos recursos se realiza con una diferencia del 0,91%, originada entre la tasa facturada y la tasa efectivamente negociada, bajo las siguientes consideraciones:_x000d_
_x000d_
1.Aplicación del descuento: Durante este mes únicamente se aplicó un 1% de descuento en la trm, dado que la cuenta por diferencia en cambio refleja que actualmente existe un saldo a favor del cliente y lo que se busca es diminuir ese saldo._x000d_
_x000d_
2.Comportamiento de la tasa de cambio: En la semana en la que se emitió la factura, la tasa se encontraba en una franja aproximada entre $3.830 y $3.850. No obstante, en la semana en la que ingresaron los recursos, la tasa de negociación disminuyó, ubicándose entre $3.771 y $3.745, lo que explica la variación presentada._x000d_
_x000d_
3Necesidad operativa de los recursos: Los recursos son indispensables para el pago de las nóminas de diciembre, cuyo desembolso está programado para el viernes 26 de diciembre. Adicionalmente, se debe considerar que los días 24 y 25 de diciembre la mesa de dinero no estará en operación, por lo que resulta crítico contar con estos fondos de manera oportuna, dado que no se dispone de recursos alternos para atender esta obligación.</v>
      </c>
      <c r="Z371" s="21">
        <f>K371*O371</f>
        <v>62137789</v>
      </c>
      <c r="AA371" s="21">
        <f>Z371-Q371</f>
        <v>-570937.6019999981</v>
      </c>
    </row>
    <row r="372" outlineLevel="1">
      <c r="B372">
        <v>341</v>
      </c>
      <c r="C372" t="str">
        <v>Insider</v>
      </c>
      <c r="D372">
        <v>159</v>
      </c>
      <c r="E372" s="1">
        <v>46015</v>
      </c>
      <c r="F372" s="1">
        <v>46075</v>
      </c>
      <c r="J372" s="20">
        <f>IFERROR(IF(TODAY()&gt;=E372,(TODAY()-E372)/I372,0),0)</f>
        <v>0</v>
      </c>
      <c r="K372" s="5">
        <v>206353.61</v>
      </c>
      <c r="L372" s="5">
        <v>206338.61</v>
      </c>
      <c r="M372" s="5">
        <f>K372-L372</f>
        <v>15</v>
      </c>
      <c r="N372" s="21">
        <v>3798.5</v>
      </c>
      <c r="O372" s="21">
        <v>3690</v>
      </c>
      <c r="P372" s="21">
        <f>O372-N372</f>
        <v>-108.5</v>
      </c>
      <c r="Q372" s="21">
        <f>K372*N372</f>
        <v>783834187.5849999</v>
      </c>
      <c r="R372" s="21">
        <f>L372*O372</f>
        <v>761389470.9</v>
      </c>
      <c r="S372" s="21">
        <f>R372-Q372</f>
        <v>-22444716.684999943</v>
      </c>
      <c r="T372" t="str">
        <f>IF(R372&lt;= Q372,"No Monetizar","Monetizar")</f>
        <v>No Monetizar</v>
      </c>
      <c r="V372" s="1">
        <v>46017</v>
      </c>
      <c r="W372" t="str">
        <v>Alfonso Fonseca A</v>
      </c>
      <c r="X372" t="str">
        <v>Alfonso Fonseca A</v>
      </c>
      <c r="Y372" t="str">
        <v>Se debe monetizar por debajo de lo facturado ya que se requiere para el pago de la nómina del día de hoy 26 de diciembre</v>
      </c>
      <c r="Z372" s="21">
        <f>K372*O372</f>
        <v>761444820.9</v>
      </c>
      <c r="AA372" s="21">
        <f>Z372-Q372</f>
        <v>-22389366.684999943</v>
      </c>
    </row>
    <row r="373" outlineLevel="1">
      <c r="B373">
        <v>342</v>
      </c>
      <c r="C373" t="str">
        <v xml:space="preserve">Neo </v>
      </c>
      <c r="D373">
        <v>6522</v>
      </c>
      <c r="E373" s="1">
        <v>46015</v>
      </c>
      <c r="F373" s="1">
        <v>46075</v>
      </c>
      <c r="J373" s="20">
        <f>IFERROR(IF(TODAY()&gt;=E373,(TODAY()-E373)/I373,0),0)</f>
        <v>0</v>
      </c>
      <c r="K373" s="5">
        <v>2006.45</v>
      </c>
      <c r="L373" s="5">
        <v>2002.0247502847715</v>
      </c>
      <c r="M373" s="5">
        <f>K373-L373</f>
        <v>4.425249715228574</v>
      </c>
      <c r="N373" s="21">
        <v>3753.83</v>
      </c>
      <c r="O373" s="21">
        <v>3776.5</v>
      </c>
      <c r="P373" s="21">
        <f>O373-N373</f>
        <v>22.670000000000073</v>
      </c>
      <c r="Q373" s="21">
        <f>K373*N373</f>
        <v>7531872.2035</v>
      </c>
      <c r="R373" s="21">
        <f>L373*O373</f>
        <v>7560646.469450439</v>
      </c>
      <c r="S373" s="21">
        <f>R373-Q373</f>
        <v>28774.265950439498</v>
      </c>
      <c r="T373" t="str">
        <f>IF(R373&lt;= Q373,"No Monetizar","Monetizar")</f>
        <v>Monetizar</v>
      </c>
      <c r="V373" s="1">
        <v>46024</v>
      </c>
      <c r="W373" t="str">
        <v>Alfonso Fonseca A</v>
      </c>
      <c r="X373" t="str">
        <v>Alfonso Fonseca A</v>
      </c>
      <c r="Y373" t="str">
        <v>Se monetiza ya que el valor ofrecido por el banco en cada divisa es superior al valor facturado</v>
      </c>
      <c r="Z373" s="21">
        <f>K373*O373</f>
        <v>7577358.425</v>
      </c>
      <c r="AA373" s="21">
        <f>Z373-Q373</f>
        <v>45486.221499999985</v>
      </c>
    </row>
    <row r="374" outlineLevel="1">
      <c r="B374">
        <v>343</v>
      </c>
      <c r="C374" t="str">
        <v xml:space="preserve">Neo </v>
      </c>
      <c r="D374" t="str">
        <v>FV-5-135</v>
      </c>
      <c r="E374" s="1">
        <v>46015</v>
      </c>
      <c r="F374" s="1">
        <v>46075</v>
      </c>
      <c r="J374" s="20">
        <f>IFERROR(IF(TODAY()&gt;=E374,(TODAY()-E374)/I374,0),0)</f>
        <v>0</v>
      </c>
      <c r="K374" s="5">
        <v>25613.43</v>
      </c>
      <c r="L374" s="5">
        <v>25556.939270695246</v>
      </c>
      <c r="M374" s="5">
        <f>K374-L374</f>
        <v>56.490729304754495</v>
      </c>
      <c r="N374" s="21">
        <v>3753.83</v>
      </c>
      <c r="O374" s="21">
        <v>3776.5</v>
      </c>
      <c r="P374" s="21">
        <f>O374-N374</f>
        <v>22.670000000000073</v>
      </c>
      <c r="Q374" s="21">
        <f>K374*N374</f>
        <v>96148461.9369</v>
      </c>
      <c r="R374" s="21">
        <f>L374*O374</f>
        <v>96515781.1557806</v>
      </c>
      <c r="S374" s="21">
        <f>R374-Q374</f>
        <v>367319.2188805938</v>
      </c>
      <c r="T374" t="str">
        <f>IF(R374&lt;= Q374,"No Monetizar","Monetizar")</f>
        <v>Monetizar</v>
      </c>
      <c r="V374" s="1">
        <v>46024</v>
      </c>
      <c r="W374" t="str">
        <v>Alfonso Fonseca A</v>
      </c>
      <c r="X374" t="str">
        <v>Alfonso Fonseca A</v>
      </c>
      <c r="Y374" t="str">
        <v>Se debe monetizar por debajo de lo facturado ya que se requiere para el pago de la nómina del día de hoy 26 de diciembre</v>
      </c>
      <c r="Z374" s="21">
        <f>K374*O374</f>
        <v>96729118.395</v>
      </c>
      <c r="AA374" s="21">
        <f>Z374-Q374</f>
        <v>580656.4580999911</v>
      </c>
    </row>
    <row r="375" outlineLevel="1">
      <c r="B375">
        <v>344</v>
      </c>
      <c r="C375" t="str">
        <v xml:space="preserve">Neo </v>
      </c>
      <c r="D375">
        <v>6557</v>
      </c>
      <c r="E375" s="1">
        <v>46015</v>
      </c>
      <c r="F375" s="1">
        <v>46075</v>
      </c>
      <c r="J375" s="20">
        <f>IFERROR(IF(TODAY()&gt;=E375,(TODAY()-E375)/I375,0),0)</f>
        <v>0</v>
      </c>
      <c r="K375" s="5">
        <v>42.63</v>
      </c>
      <c r="L375" s="5">
        <v>42.535979019980466</v>
      </c>
      <c r="M375" s="5">
        <f>K375-L375</f>
        <v>0.09402098001953618</v>
      </c>
      <c r="N375" s="21">
        <v>3753.83</v>
      </c>
      <c r="O375" s="21">
        <v>3776.5</v>
      </c>
      <c r="P375" s="21">
        <f>O375-N375</f>
        <v>22.670000000000073</v>
      </c>
      <c r="Q375" s="21">
        <f>K375*N375</f>
        <v>160025.7729</v>
      </c>
      <c r="R375" s="21">
        <f>L375*O375</f>
        <v>160637.12476895624</v>
      </c>
      <c r="S375" s="21">
        <f>R375-Q375</f>
        <v>611.3518689562334</v>
      </c>
      <c r="T375" t="str">
        <f>IF(R375&lt;= Q375,"No Monetizar","Monetizar")</f>
        <v>Monetizar</v>
      </c>
      <c r="V375" s="1">
        <v>46024</v>
      </c>
      <c r="W375" t="str">
        <v>Alfonso Fonseca A</v>
      </c>
      <c r="X375" t="str">
        <v>Alfonso Fonseca A</v>
      </c>
      <c r="Y375" t="str">
        <v>Se debe monetizar por debajo de lo facturado ya que se requiere para el pago de la nómina del día de hoy 26 de diciembre</v>
      </c>
      <c r="Z375" s="21">
        <f>K375*O375</f>
        <v>160992.195</v>
      </c>
      <c r="AA375" s="21">
        <f>Z375-Q375</f>
        <v>966.4220999999961</v>
      </c>
    </row>
    <row r="376" outlineLevel="1">
      <c r="B376">
        <v>345</v>
      </c>
      <c r="C376" t="str">
        <v>Bubble BPM</v>
      </c>
      <c r="D376" t="str">
        <v>FV-4-6523</v>
      </c>
      <c r="E376" s="1">
        <v>46015</v>
      </c>
      <c r="F376" s="1">
        <v>46075</v>
      </c>
      <c r="J376" s="20">
        <f>IFERROR(IF(TODAY()&gt;=E376,(TODAY()-E376)/I376,0),0)</f>
        <v>0</v>
      </c>
      <c r="K376" s="5">
        <v>131.41</v>
      </c>
      <c r="L376" s="5">
        <v>128.43708001840022</v>
      </c>
      <c r="M376" s="5">
        <f>K376-L376</f>
        <v>2.972919981599773</v>
      </c>
      <c r="N376" s="21">
        <v>3753.83</v>
      </c>
      <c r="O376" s="21">
        <v>3774.55</v>
      </c>
      <c r="P376" s="21">
        <f>O376-N376</f>
        <v>20.720000000000255</v>
      </c>
      <c r="Q376" s="21">
        <f>K376*N376</f>
        <v>493290.8003</v>
      </c>
      <c r="R376" s="21">
        <f>L376*O376</f>
        <v>484792.18038345256</v>
      </c>
      <c r="S376" s="21">
        <f>R376-Q376</f>
        <v>-8498.619916547439</v>
      </c>
      <c r="T376" t="str">
        <f>IF(R376&lt;= Q376,"No Monetizar","Monetizar")</f>
        <v>No Monetizar</v>
      </c>
      <c r="V376" s="1">
        <v>46024</v>
      </c>
      <c r="W376" t="str">
        <v>Alfonso Fonseca A</v>
      </c>
      <c r="X376" t="str">
        <v>Alfonso Fonseca A</v>
      </c>
      <c r="Y376" t="str">
        <v>Se debe monetizar por debajo de lo facturado ya que se requiere para el pago de la nómina del día de hoy 26 de diciembre</v>
      </c>
      <c r="Z376" s="21">
        <f>K376*O376</f>
        <v>496013.6155</v>
      </c>
      <c r="AA376" s="21">
        <f>Z376-Q376</f>
        <v>2722.815200000012</v>
      </c>
    </row>
    <row r="377" outlineLevel="1">
      <c r="B377">
        <v>346</v>
      </c>
      <c r="C377" t="str">
        <v>Bubble BPM</v>
      </c>
      <c r="D377" t="str">
        <v>FV-5-136</v>
      </c>
      <c r="E377" s="1">
        <v>46015</v>
      </c>
      <c r="F377" s="1">
        <v>46075</v>
      </c>
      <c r="J377" s="20">
        <f>IFERROR(IF(TODAY()&gt;=E377,(TODAY()-E377)/I377,0),0)</f>
        <v>0</v>
      </c>
      <c r="K377" s="5">
        <v>1194.66</v>
      </c>
      <c r="L377" s="5">
        <v>1167.6329199815996</v>
      </c>
      <c r="M377" s="5">
        <f>K377-L377</f>
        <v>27.02708001840051</v>
      </c>
      <c r="N377" s="21">
        <v>3753.83</v>
      </c>
      <c r="O377" s="21">
        <v>3774.55</v>
      </c>
      <c r="P377" s="21">
        <f>O377-N377</f>
        <v>20.720000000000255</v>
      </c>
      <c r="Q377" s="21">
        <f>K377*N377</f>
        <v>4484550.5478</v>
      </c>
      <c r="R377" s="21">
        <f>L377*O377</f>
        <v>4407288.838116547</v>
      </c>
      <c r="S377" s="21">
        <f>R377-Q377</f>
        <v>-77261.70968345273</v>
      </c>
      <c r="T377" t="str">
        <f>IF(R377&lt;= Q377,"No Monetizar","Monetizar")</f>
        <v>No Monetizar</v>
      </c>
      <c r="V377" s="1">
        <v>46024</v>
      </c>
      <c r="W377" t="str">
        <v>Alfonso Fonseca A</v>
      </c>
      <c r="X377" t="str">
        <v>Alfonso Fonseca A</v>
      </c>
      <c r="Y377" t="str">
        <v>Se debe monetizar por debajo de lo facturado ya que se requiere para el pago de la nómina del día de hoy 26 de diciembre</v>
      </c>
      <c r="Z377" s="21">
        <f>K377*O377</f>
        <v>4509303.903000001</v>
      </c>
      <c r="AA377" s="21">
        <f>Z377-Q377</f>
        <v>24753.35520000104</v>
      </c>
    </row>
    <row r="378" outlineLevel="1">
      <c r="B378">
        <v>347</v>
      </c>
      <c r="C378" t="str">
        <v>Flexco</v>
      </c>
      <c r="D378" t="str">
        <v>FV-4-6603</v>
      </c>
      <c r="E378" s="1">
        <v>46038</v>
      </c>
      <c r="F378" s="1">
        <v>46098</v>
      </c>
      <c r="J378" s="20">
        <f>IFERROR(IF(TODAY()&gt;=E378,(TODAY()-E378)/I378,0),0)</f>
        <v>0</v>
      </c>
      <c r="K378" s="5">
        <v>1116.57</v>
      </c>
      <c r="L378" s="5">
        <v>1115.3289767539884</v>
      </c>
      <c r="M378" s="5">
        <f>K378-L378</f>
        <v>1.2410232460115367</v>
      </c>
      <c r="N378" s="21">
        <v>3618.59</v>
      </c>
      <c r="O378" s="21">
        <v>3653.5</v>
      </c>
      <c r="P378" s="21">
        <f>O378-N378</f>
        <v>34.909999999999854</v>
      </c>
      <c r="Q378" s="21">
        <f>K378*N378</f>
        <v>4040409.0363</v>
      </c>
      <c r="R378" s="21">
        <f>L378*O378</f>
        <v>4074854.4165706965</v>
      </c>
      <c r="S378" s="21">
        <f>R378-Q378</f>
        <v>34445.38027069671</v>
      </c>
      <c r="T378" t="str">
        <f>IF(R378&lt;= Q378,"No Monetizar","Monetizar")</f>
        <v>Monetizar</v>
      </c>
      <c r="V378" s="1">
        <v>46043</v>
      </c>
      <c r="W378" t="str">
        <v>Alfonso Fonseca A</v>
      </c>
      <c r="X378" t="str">
        <v>Alfonso Fonseca A</v>
      </c>
      <c r="Y378" t="str">
        <v>Se monetiza ya que el valor ofrecido por el banco en cada divisa es superior al valor facturado</v>
      </c>
      <c r="Z378" s="21">
        <f>K378*O378</f>
        <v>4079388.4949999996</v>
      </c>
      <c r="AA378" s="21">
        <f>Z378-Q378</f>
        <v>38979.45869999984</v>
      </c>
    </row>
    <row r="379" outlineLevel="1">
      <c r="B379">
        <v>348</v>
      </c>
      <c r="C379" t="str">
        <v>Flexco</v>
      </c>
      <c r="D379" t="str">
        <v>FV-5-169</v>
      </c>
      <c r="E379" s="1">
        <v>46038</v>
      </c>
      <c r="F379" s="1">
        <v>46098</v>
      </c>
      <c r="J379" s="20">
        <f>IFERROR(IF(TODAY()&gt;=E379,(TODAY()-E379)/I379,0),0)</f>
        <v>0</v>
      </c>
      <c r="K379" s="5">
        <v>12406.18</v>
      </c>
      <c r="L379" s="5">
        <v>12392.391023246011</v>
      </c>
      <c r="M379" s="5">
        <f>K379-L379</f>
        <v>13.788976753989118</v>
      </c>
      <c r="N379" s="21">
        <v>3618.59</v>
      </c>
      <c r="O379" s="21">
        <v>3653.5</v>
      </c>
      <c r="P379" s="21">
        <f>O379-N379</f>
        <v>34.909999999999854</v>
      </c>
      <c r="Q379" s="21">
        <f>K379*N379</f>
        <v>44892878.8862</v>
      </c>
      <c r="R379" s="21">
        <f>L379*O379</f>
        <v>45275600.6034293</v>
      </c>
      <c r="S379" s="21">
        <f>R379-Q379</f>
        <v>382721.71722929925</v>
      </c>
      <c r="T379" t="str">
        <f>IF(R379&lt;= Q379,"No Monetizar","Monetizar")</f>
        <v>Monetizar</v>
      </c>
      <c r="V379" s="1">
        <v>46043</v>
      </c>
      <c r="W379" t="str">
        <v>Alfonso Fonseca A</v>
      </c>
      <c r="X379" t="str">
        <v>Alfonso Fonseca A</v>
      </c>
      <c r="Y379" t="str">
        <v>Se monetiza ya que el valor ofrecido por el banco en cada divisa es superior al valor facturado</v>
      </c>
      <c r="Z379" s="21">
        <f>K379*O379</f>
        <v>45325978.63</v>
      </c>
      <c r="AA379" s="21">
        <f>Z379-Q379</f>
        <v>433099.74379999936</v>
      </c>
    </row>
    <row r="380" outlineLevel="1">
      <c r="B380">
        <v>349</v>
      </c>
      <c r="C380" t="str">
        <v>Europortage</v>
      </c>
      <c r="D380" t="str">
        <v>FV-4-6607</v>
      </c>
      <c r="E380" s="1">
        <v>46045</v>
      </c>
      <c r="F380" s="1">
        <v>46105</v>
      </c>
      <c r="J380" s="20">
        <f>IFERROR(IF(TODAY()&gt;=E380,(TODAY()-E380)/I380,0),0)</f>
        <v>0</v>
      </c>
      <c r="K380" s="5">
        <v>825.96</v>
      </c>
      <c r="L380" s="5">
        <v>825.3351928977326</v>
      </c>
      <c r="M380" s="5">
        <f>K380-L380</f>
        <v>0.6248071022674822</v>
      </c>
      <c r="N380" s="21">
        <v>3600.31</v>
      </c>
      <c r="O380" s="21">
        <v>3641.5</v>
      </c>
      <c r="P380" s="21">
        <f>O380-N380</f>
        <v>41.190000000000055</v>
      </c>
      <c r="Q380" s="21">
        <f>K380*N380</f>
        <v>2973712.0476</v>
      </c>
      <c r="R380" s="21">
        <f>L380*O380</f>
        <v>3005458.104937093</v>
      </c>
      <c r="S380" s="21">
        <f>R380-Q380</f>
        <v>31746.0573370927</v>
      </c>
      <c r="T380" t="str">
        <f>IF(R380&lt;= Q380,"No Monetizar","Monetizar")</f>
        <v>Monetizar</v>
      </c>
      <c r="V380" s="1">
        <v>46048</v>
      </c>
      <c r="W380" t="str">
        <v>Alfonso Fonseca A</v>
      </c>
      <c r="X380" t="str">
        <v>Alfonso Fonseca A</v>
      </c>
      <c r="Y380" t="str">
        <v>Se monetiza ya que el valor ofrecido por el banco en cada divisa es superior al valor facturado</v>
      </c>
      <c r="Z380" s="21">
        <f>K380*O380</f>
        <v>3007733.3400000003</v>
      </c>
      <c r="AA380" s="21">
        <f>Z380-Q380</f>
        <v>34021.29240000015</v>
      </c>
    </row>
    <row r="381" outlineLevel="1">
      <c r="B381">
        <v>350</v>
      </c>
      <c r="C381" t="str">
        <v>Europortage</v>
      </c>
      <c r="D381" t="str">
        <v>FV-5-173</v>
      </c>
      <c r="E381" s="1">
        <v>46045</v>
      </c>
      <c r="F381" s="1">
        <v>46105</v>
      </c>
      <c r="J381" s="20">
        <f>IFERROR(IF(TODAY()&gt;=E381,(TODAY()-E381)/I381,0),0)</f>
        <v>0</v>
      </c>
      <c r="K381" s="5">
        <v>12393.48</v>
      </c>
      <c r="L381" s="5">
        <v>12384.104807102269</v>
      </c>
      <c r="M381" s="5">
        <f>K381-L381</f>
        <v>9.375192897730813</v>
      </c>
      <c r="N381" s="21">
        <v>3600.31</v>
      </c>
      <c r="O381" s="21">
        <v>3641.5</v>
      </c>
      <c r="P381" s="21">
        <f>O381-N381</f>
        <v>41.190000000000055</v>
      </c>
      <c r="Q381" s="21">
        <f>K381*N381</f>
        <v>44620369.9788</v>
      </c>
      <c r="R381" s="21">
        <f>L381*O381</f>
        <v>45096717.655062914</v>
      </c>
      <c r="S381" s="21">
        <f>R381-Q381</f>
        <v>476347.67626291513</v>
      </c>
      <c r="T381" t="str">
        <f>IF(R381&lt;= Q381,"No Monetizar","Monetizar")</f>
        <v>Monetizar</v>
      </c>
      <c r="V381" s="1">
        <v>46048</v>
      </c>
      <c r="W381" t="str">
        <v>Alfonso Fonseca A</v>
      </c>
      <c r="X381" t="str">
        <v>Alfonso Fonseca A</v>
      </c>
      <c r="Y381" t="str">
        <v>Se monetiza ya que el valor ofrecido por el banco en cada divisa es superior al valor facturado</v>
      </c>
      <c r="Z381" s="21">
        <f>K381*O381</f>
        <v>45130857.42</v>
      </c>
      <c r="AA381" s="21">
        <f>Z381-Q381</f>
        <v>510487.441200003</v>
      </c>
    </row>
    <row r="382" outlineLevel="1">
      <c r="B382">
        <v>351</v>
      </c>
      <c r="C382" t="str">
        <v>Endrington</v>
      </c>
      <c r="D382" t="str">
        <v>FV-4-6606</v>
      </c>
      <c r="E382" s="1">
        <v>46045</v>
      </c>
      <c r="F382" s="1">
        <v>46105</v>
      </c>
      <c r="J382" s="20">
        <f>IFERROR(IF(TODAY()&gt;=E382,(TODAY()-E382)/I382,0),0)</f>
        <v>0</v>
      </c>
      <c r="K382" s="5">
        <v>980.36</v>
      </c>
      <c r="L382" s="5">
        <v>980.36</v>
      </c>
      <c r="M382" s="5">
        <f>K382-L382</f>
        <v>0</v>
      </c>
      <c r="N382" s="21">
        <v>3618.59</v>
      </c>
      <c r="O382" s="21">
        <v>3643.5</v>
      </c>
      <c r="P382" s="21">
        <f>O382-N382</f>
        <v>24.909999999999854</v>
      </c>
      <c r="Q382" s="21">
        <f>K382*N382</f>
        <v>3547520.8924000002</v>
      </c>
      <c r="R382" s="21">
        <f>L382*O382</f>
        <v>3571941.66</v>
      </c>
      <c r="S382" s="21">
        <f>R382-Q382</f>
        <v>24420.767599999905</v>
      </c>
      <c r="T382" t="str">
        <f>IF(R382&lt;= Q382,"No Monetizar","Monetizar")</f>
        <v>Monetizar</v>
      </c>
      <c r="V382" s="1">
        <v>46048</v>
      </c>
      <c r="W382" t="str">
        <v>Alfonso Fonseca A</v>
      </c>
      <c r="X382" t="str">
        <v>Alfonso Fonseca A</v>
      </c>
      <c r="Y382" t="str">
        <v>Se monetiza ya que el valor ofrecido por el banco en cada divisa es superior al valor facturado</v>
      </c>
      <c r="Z382" s="21">
        <f>K382*O382</f>
        <v>3571941.66</v>
      </c>
      <c r="AA382" s="21">
        <f>Z382-Q382</f>
        <v>24420.767599999905</v>
      </c>
    </row>
    <row r="383" outlineLevel="1">
      <c r="B383">
        <v>352</v>
      </c>
      <c r="C383" t="str">
        <v>Endrington</v>
      </c>
      <c r="D383" t="str">
        <v>FV-5-172</v>
      </c>
      <c r="E383" s="1">
        <v>46045</v>
      </c>
      <c r="F383" s="1">
        <v>46105</v>
      </c>
      <c r="J383" s="20">
        <f>IFERROR(IF(TODAY()&gt;=E383,(TODAY()-E383)/I383,0),0)</f>
        <v>0</v>
      </c>
      <c r="K383" s="5">
        <v>17824.73</v>
      </c>
      <c r="L383" s="5">
        <v>17824.73</v>
      </c>
      <c r="M383" s="5">
        <f>K383-L383</f>
        <v>0</v>
      </c>
      <c r="N383" s="21">
        <v>3618.59</v>
      </c>
      <c r="O383" s="21">
        <v>3643.5</v>
      </c>
      <c r="P383" s="21">
        <f>O383-N383</f>
        <v>24.909999999999854</v>
      </c>
      <c r="Q383" s="21">
        <f>K383*N383</f>
        <v>64500389.7307</v>
      </c>
      <c r="R383" s="21">
        <f>L383*O383</f>
        <v>64944403.754999995</v>
      </c>
      <c r="S383" s="21">
        <f>R383-Q383</f>
        <v>444014.0242999941</v>
      </c>
      <c r="T383" t="str">
        <f>IF(R383&lt;= Q383,"No Monetizar","Monetizar")</f>
        <v>Monetizar</v>
      </c>
      <c r="V383" s="1">
        <v>46048</v>
      </c>
      <c r="W383" t="str">
        <v>Alfonso Fonseca A</v>
      </c>
      <c r="X383" t="str">
        <v>Alfonso Fonseca A</v>
      </c>
      <c r="Y383" t="str">
        <v>Se monetiza ya que el valor ofrecido por el banco en cada divisa es superior al valor facturado</v>
      </c>
      <c r="Z383" s="21">
        <f>K383*O383</f>
        <v>64944403.754999995</v>
      </c>
      <c r="AA383" s="21">
        <f>Z383-Q383</f>
        <v>444014.0242999941</v>
      </c>
    </row>
    <row r="384" outlineLevel="1">
      <c r="B384">
        <v>353</v>
      </c>
      <c r="C384" t="str">
        <v>Poc Pharma Limited</v>
      </c>
      <c r="D384" t="str">
        <v>FV-4-6614</v>
      </c>
      <c r="E384" s="1">
        <v>46044</v>
      </c>
      <c r="F384" s="1">
        <v>46104</v>
      </c>
      <c r="J384" s="20">
        <f>IFERROR(IF(TODAY()&gt;=E384,(TODAY()-E384)/I384,0),0)</f>
        <v>0</v>
      </c>
      <c r="K384" s="5">
        <v>480</v>
      </c>
      <c r="L384" s="5">
        <v>480</v>
      </c>
      <c r="M384" s="5">
        <f>K384-L384</f>
        <v>0</v>
      </c>
      <c r="N384" s="21">
        <v>3644.55</v>
      </c>
      <c r="O384" s="21">
        <v>3649.5</v>
      </c>
      <c r="P384" s="21">
        <f>O384-N384</f>
        <v>4.949999999999818</v>
      </c>
      <c r="Q384" s="21">
        <f>K384*N384</f>
        <v>1749384</v>
      </c>
      <c r="R384" s="21">
        <f>L384*O384</f>
        <v>1751760</v>
      </c>
      <c r="S384" s="21">
        <f>R384-Q384</f>
        <v>2376</v>
      </c>
      <c r="T384" t="str">
        <f>IF(R384&lt;= Q384,"No Monetizar","Monetizar")</f>
        <v>Monetizar</v>
      </c>
      <c r="V384" s="1">
        <v>46048</v>
      </c>
      <c r="W384" t="str">
        <v>Alfonso Fonseca A</v>
      </c>
      <c r="X384" t="str">
        <v>Alfonso Fonseca A</v>
      </c>
      <c r="Y384" t="str">
        <v>Se monetiza ya que el valor ofrecido por el banco en cada divisa es superior al valor facturado</v>
      </c>
      <c r="Z384" s="21">
        <f>K384*O384</f>
        <v>1751760</v>
      </c>
      <c r="AA384" s="21">
        <f>Z384-Q384</f>
        <v>2376</v>
      </c>
    </row>
    <row r="385" outlineLevel="1">
      <c r="B385">
        <v>354</v>
      </c>
      <c r="C385" t="str">
        <v>Poc Pharma Limited</v>
      </c>
      <c r="D385" t="str">
        <v>FV-5-182</v>
      </c>
      <c r="E385" s="1">
        <v>46044</v>
      </c>
      <c r="F385" s="1">
        <v>46104</v>
      </c>
      <c r="J385" s="20">
        <f>IFERROR(IF(TODAY()&gt;=E385,(TODAY()-E385)/I385,0),0)</f>
        <v>0</v>
      </c>
      <c r="K385" s="5">
        <v>1484.58</v>
      </c>
      <c r="L385" s="5">
        <v>1484.58</v>
      </c>
      <c r="M385" s="5">
        <f>K385-L385</f>
        <v>0</v>
      </c>
      <c r="N385" s="21">
        <v>3644.55</v>
      </c>
      <c r="O385" s="21">
        <v>3649.5</v>
      </c>
      <c r="P385" s="21">
        <f>O385-N385</f>
        <v>4.949999999999818</v>
      </c>
      <c r="Q385" s="21">
        <f>K385*N385</f>
        <v>5410626.039</v>
      </c>
      <c r="R385" s="21">
        <f>L385*O385</f>
        <v>5417974.71</v>
      </c>
      <c r="S385" s="21">
        <f>R385-Q385</f>
        <v>7348.671000000089</v>
      </c>
      <c r="T385" t="str">
        <f>IF(R385&lt;= Q385,"No Monetizar","Monetizar")</f>
        <v>Monetizar</v>
      </c>
      <c r="V385" s="1">
        <v>46048</v>
      </c>
      <c r="W385" t="str">
        <v>Alfonso Fonseca A</v>
      </c>
      <c r="X385" t="str">
        <v>Alfonso Fonseca A</v>
      </c>
      <c r="Y385" t="str">
        <v>Se monetiza ya que el valor ofrecido por el banco en cada divisa es superior al valor facturado</v>
      </c>
      <c r="Z385" s="21">
        <f>K385*O385</f>
        <v>5417974.71</v>
      </c>
      <c r="AA385" s="21">
        <f>Z385-Q385</f>
        <v>7348.671000000089</v>
      </c>
    </row>
    <row r="386" outlineLevel="1">
      <c r="B386">
        <v>355</v>
      </c>
      <c r="C386" t="str">
        <v>Poc Pharma Limited</v>
      </c>
      <c r="D386" t="str">
        <v>FV-5-183</v>
      </c>
      <c r="E386" s="1">
        <v>46044</v>
      </c>
      <c r="F386" s="1">
        <v>46104</v>
      </c>
      <c r="J386" s="20">
        <f>IFERROR(IF(TODAY()&gt;=E386,(TODAY()-E386)/I386,0),0)</f>
        <v>0</v>
      </c>
      <c r="K386" s="5">
        <v>1500</v>
      </c>
      <c r="L386" s="5">
        <v>1500</v>
      </c>
      <c r="M386" s="5">
        <f>K386-L386</f>
        <v>0</v>
      </c>
      <c r="N386" s="21">
        <v>3644.55</v>
      </c>
      <c r="O386" s="21">
        <v>3649.5</v>
      </c>
      <c r="P386" s="21">
        <f>O386-N386</f>
        <v>4.949999999999818</v>
      </c>
      <c r="Q386" s="21">
        <f>K386*N386</f>
        <v>5466825</v>
      </c>
      <c r="R386" s="21">
        <f>L386*O386</f>
        <v>5474250</v>
      </c>
      <c r="S386" s="21">
        <f>R386-Q386</f>
        <v>7425</v>
      </c>
      <c r="T386" t="str">
        <f>IF(R386&lt;= Q386,"No Monetizar","Monetizar")</f>
        <v>Monetizar</v>
      </c>
      <c r="V386" s="1">
        <v>46048</v>
      </c>
      <c r="W386" t="str">
        <v>Alfonso Fonseca A</v>
      </c>
      <c r="X386" t="str">
        <v>Alfonso Fonseca A</v>
      </c>
      <c r="Y386" t="str">
        <v>Se monetiza ya que el valor ofrecido por el banco en cada divisa es superior al valor facturado</v>
      </c>
      <c r="Z386" s="21">
        <f>K386*O386</f>
        <v>5474250</v>
      </c>
      <c r="AA386" s="21">
        <f>Z386-Q386</f>
        <v>7425</v>
      </c>
    </row>
    <row r="387" outlineLevel="1">
      <c r="B387">
        <v>356</v>
      </c>
      <c r="C387" t="str">
        <v>Oncehub</v>
      </c>
      <c r="D387" t="str">
        <v>FV-5-161</v>
      </c>
      <c r="E387" s="1">
        <v>46044</v>
      </c>
      <c r="F387" s="1">
        <v>46104</v>
      </c>
      <c r="J387" s="20">
        <f>IFERROR(IF(TODAY()&gt;=E387,(TODAY()-E387)/I387,0),0)</f>
        <v>0</v>
      </c>
      <c r="K387" s="5">
        <v>2978.57</v>
      </c>
      <c r="L387" s="5">
        <v>2969.4338847437975</v>
      </c>
      <c r="M387" s="5">
        <f>K387-L387</f>
        <v>9.136115256202629</v>
      </c>
      <c r="N387" s="21">
        <v>3789.43</v>
      </c>
      <c r="O387" s="21">
        <v>3644.5</v>
      </c>
      <c r="P387" s="21">
        <f>O387-N387</f>
        <v>-144.92999999999984</v>
      </c>
      <c r="Q387" s="21">
        <f>K387*N387</f>
        <v>11287082.5151</v>
      </c>
      <c r="R387" s="21">
        <f>L387*O387</f>
        <v>10822101.79294877</v>
      </c>
      <c r="S387" s="21">
        <f>R387-Q387</f>
        <v>-464980.722151231</v>
      </c>
      <c r="T387" t="str">
        <f>IF(R387&lt;= Q387,"No Monetizar","Monetizar")</f>
        <v>No Monetizar</v>
      </c>
      <c r="V387" s="1">
        <v>46048</v>
      </c>
      <c r="W387" t="str">
        <v>Alfonso Fonseca A</v>
      </c>
      <c r="X387" t="str">
        <v>Alfonso Fonseca A</v>
      </c>
      <c r="Y387" t="str">
        <v>Se monetiza ya que el valor ofrecido por el banco en cada divisa es superior al valor facturado</v>
      </c>
      <c r="Z387" s="21">
        <f>K387*O387</f>
        <v>10855398.365</v>
      </c>
      <c r="AA387" s="21">
        <f>Z387-Q387</f>
        <v>-431684.1501000002</v>
      </c>
    </row>
    <row r="388" outlineLevel="1">
      <c r="B388">
        <v>357</v>
      </c>
      <c r="C388" t="str">
        <v>Oncehub</v>
      </c>
      <c r="D388" t="str">
        <v>FV-4-6617</v>
      </c>
      <c r="E388" s="1">
        <v>46044</v>
      </c>
      <c r="F388" s="1">
        <v>46104</v>
      </c>
      <c r="J388" s="20">
        <f>IFERROR(IF(TODAY()&gt;=E388,(TODAY()-E388)/I388,0),0)</f>
        <v>0</v>
      </c>
      <c r="K388" s="5">
        <v>285.6</v>
      </c>
      <c r="L388" s="5">
        <v>284.72398415441927</v>
      </c>
      <c r="M388" s="5">
        <f>K388-L388</f>
        <v>0.8760158455807527</v>
      </c>
      <c r="N388" s="21">
        <v>3610.75</v>
      </c>
      <c r="O388" s="21">
        <v>3644.5</v>
      </c>
      <c r="P388" s="21">
        <f>O388-N388</f>
        <v>33.75</v>
      </c>
      <c r="Q388" s="21">
        <f>K388*N388</f>
        <v>1031230.2000000001</v>
      </c>
      <c r="R388" s="21">
        <f>L388*O388</f>
        <v>1037676.560250781</v>
      </c>
      <c r="S388" s="21">
        <f>R388-Q388</f>
        <v>6446.360250780941</v>
      </c>
      <c r="T388" t="str">
        <f>IF(R388&lt;= Q388,"No Monetizar","Monetizar")</f>
        <v>Monetizar</v>
      </c>
      <c r="V388" s="1">
        <v>46048</v>
      </c>
      <c r="W388" t="str">
        <v>Alfonso Fonseca A</v>
      </c>
      <c r="X388" t="str">
        <v>Alfonso Fonseca A</v>
      </c>
      <c r="Y388" t="str">
        <v>Se monetiza ya que el valor ofrecido por el banco en cada divisa es superior al valor facturado</v>
      </c>
      <c r="Z388" s="21">
        <f>K388*O388</f>
        <v>1040869.2000000001</v>
      </c>
      <c r="AA388" s="21">
        <f>Z388-Q388</f>
        <v>9639</v>
      </c>
    </row>
    <row r="389" outlineLevel="1">
      <c r="B389">
        <v>358</v>
      </c>
      <c r="C389" t="str">
        <v>Oncehub</v>
      </c>
      <c r="D389" t="str">
        <v>FV-5-171</v>
      </c>
      <c r="E389" s="1">
        <v>46044</v>
      </c>
      <c r="F389" s="1">
        <v>46104</v>
      </c>
      <c r="J389" s="20">
        <f>IFERROR(IF(TODAY()&gt;=E389,(TODAY()-E389)/I389,0),0)</f>
        <v>0</v>
      </c>
      <c r="K389" s="5">
        <v>3256.26</v>
      </c>
      <c r="L389" s="5">
        <v>3246.272131101783</v>
      </c>
      <c r="M389" s="5">
        <f>K389-L389</f>
        <v>9.98786889821713</v>
      </c>
      <c r="N389" s="21">
        <v>3610.75</v>
      </c>
      <c r="O389" s="21">
        <v>3644.5</v>
      </c>
      <c r="P389" s="21">
        <f>O389-N389</f>
        <v>33.75</v>
      </c>
      <c r="Q389" s="21">
        <f>K389*N389</f>
        <v>11757540.795</v>
      </c>
      <c r="R389" s="21">
        <f>L389*O389</f>
        <v>11831038.781800449</v>
      </c>
      <c r="S389" s="21">
        <f>R389-Q389</f>
        <v>73497.98680044897</v>
      </c>
      <c r="T389" t="str">
        <f>IF(R389&lt;= Q389,"No Monetizar","Monetizar")</f>
        <v>Monetizar</v>
      </c>
      <c r="V389" s="1">
        <v>46048</v>
      </c>
      <c r="W389" t="str">
        <v>Alfonso Fonseca A</v>
      </c>
      <c r="X389" t="str">
        <v>Alfonso Fonseca A</v>
      </c>
      <c r="Y389" t="str">
        <v>Se monetiza ya que el valor ofrecido por el banco en cada divisa es superior al valor facturado</v>
      </c>
      <c r="Z389" s="21">
        <f>K389*O389</f>
        <v>11867439.57</v>
      </c>
      <c r="AA389" s="21">
        <f>Z389-Q389</f>
        <v>109898.77500000037</v>
      </c>
    </row>
    <row r="390" outlineLevel="1">
      <c r="B390">
        <v>359</v>
      </c>
      <c r="C390" t="str">
        <v>Nazdar ink technologies</v>
      </c>
      <c r="D390" t="str">
        <v>FV-4-6604</v>
      </c>
      <c r="E390" s="1">
        <v>46044</v>
      </c>
      <c r="F390" s="1">
        <v>46104</v>
      </c>
      <c r="J390" s="20">
        <f>IFERROR(IF(TODAY()&gt;=E390,(TODAY()-E390)/I390,0),0)</f>
        <v>0</v>
      </c>
      <c r="K390" s="5">
        <v>885.9</v>
      </c>
      <c r="L390" s="5">
        <v>885.0509352586937</v>
      </c>
      <c r="M390" s="5">
        <f>K390-L390</f>
        <v>0.8490647413062788</v>
      </c>
      <c r="N390" s="21">
        <v>3618.59</v>
      </c>
      <c r="O390" s="21">
        <v>3660</v>
      </c>
      <c r="P390" s="21">
        <f>O390-N390</f>
        <v>41.409999999999854</v>
      </c>
      <c r="Q390" s="21">
        <f>K390*N390</f>
        <v>3205708.881</v>
      </c>
      <c r="R390" s="21">
        <f>L390*O390</f>
        <v>3239286.423046819</v>
      </c>
      <c r="S390" s="21">
        <f>R390-Q390</f>
        <v>33577.54204681888</v>
      </c>
      <c r="T390" t="str">
        <f>IF(R390&lt;= Q390,"No Monetizar","Monetizar")</f>
        <v>Monetizar</v>
      </c>
      <c r="V390" s="1">
        <v>46048</v>
      </c>
      <c r="W390" t="str">
        <v>Alfonso Fonseca A</v>
      </c>
      <c r="X390" t="str">
        <v>Alfonso Fonseca A</v>
      </c>
      <c r="Y390" t="str">
        <v>Se monetiza ya que el valor ofrecido por el banco en cada divisa es superior al valor facturado</v>
      </c>
      <c r="Z390" s="21">
        <f>K390*O390</f>
        <v>3242394</v>
      </c>
      <c r="AA390" s="21">
        <f>Z390-Q390</f>
        <v>36685.11899999995</v>
      </c>
    </row>
    <row r="391" outlineLevel="1">
      <c r="B391">
        <v>360</v>
      </c>
      <c r="C391" t="str">
        <v>Nazdar ink technologies</v>
      </c>
      <c r="D391" t="str">
        <v>FV-5-170</v>
      </c>
      <c r="E391" s="1">
        <v>46044</v>
      </c>
      <c r="F391" s="1">
        <v>46104</v>
      </c>
      <c r="J391" s="20">
        <f>IFERROR(IF(TODAY()&gt;=E391,(TODAY()-E391)/I391,0),0)</f>
        <v>0</v>
      </c>
      <c r="K391" s="5">
        <v>14764.85</v>
      </c>
      <c r="L391" s="5">
        <v>14750.699064741306</v>
      </c>
      <c r="M391" s="5">
        <f>K391-L391</f>
        <v>14.150935258694517</v>
      </c>
      <c r="N391" s="21">
        <v>3618.59</v>
      </c>
      <c r="O391" s="21">
        <v>3660</v>
      </c>
      <c r="P391" s="21">
        <f>O391-N391</f>
        <v>41.409999999999854</v>
      </c>
      <c r="Q391" s="21">
        <f>K391*N391</f>
        <v>53427938.561500005</v>
      </c>
      <c r="R391" s="21">
        <f>L391*O391</f>
        <v>53987558.57695318</v>
      </c>
      <c r="S391" s="21">
        <f>R391-Q391</f>
        <v>559620.0154531747</v>
      </c>
      <c r="T391" t="str">
        <f>IF(R391&lt;= Q391,"No Monetizar","Monetizar")</f>
        <v>Monetizar</v>
      </c>
      <c r="V391" s="1">
        <v>46048</v>
      </c>
      <c r="W391" t="str">
        <v>Alfonso Fonseca A</v>
      </c>
      <c r="X391" t="str">
        <v>Alfonso Fonseca A</v>
      </c>
      <c r="Y391" t="str">
        <v>Se monetiza ya que el valor ofrecido por el banco en cada divisa es superior al valor facturado</v>
      </c>
      <c r="Z391" s="21">
        <f>K391*O391</f>
        <v>54039351</v>
      </c>
      <c r="AA391" s="21">
        <f>Z391-Q391</f>
        <v>611412.4384999946</v>
      </c>
    </row>
    <row r="392" outlineLevel="1">
      <c r="B392">
        <v>361</v>
      </c>
      <c r="C392" t="str">
        <v>Equus</v>
      </c>
      <c r="D392" t="str">
        <v>FV-4-6600</v>
      </c>
      <c r="E392" s="1">
        <v>46042</v>
      </c>
      <c r="F392" s="1">
        <v>46102</v>
      </c>
      <c r="J392" s="20">
        <f>IFERROR(IF(TODAY()&gt;=E392,(TODAY()-E392)/I392,0),0)</f>
        <v>0</v>
      </c>
      <c r="K392" s="5">
        <v>178.5</v>
      </c>
      <c r="L392" s="5">
        <v>179.1350395653205</v>
      </c>
      <c r="M392" s="5">
        <f>K392-L392</f>
        <v>-0.6350395653205112</v>
      </c>
      <c r="N392" s="21">
        <v>3661.33</v>
      </c>
      <c r="O392" s="21">
        <v>3660</v>
      </c>
      <c r="P392" s="21">
        <f>O392-N392</f>
        <v>-1.3299999999999272</v>
      </c>
      <c r="Q392" s="21">
        <f>K392*N392</f>
        <v>653547.405</v>
      </c>
      <c r="R392" s="21">
        <f>L392*O392</f>
        <v>655634.244809073</v>
      </c>
      <c r="S392" s="21">
        <f>R392-Q392</f>
        <v>2086.839809073019</v>
      </c>
      <c r="T392" t="str">
        <f>IF(R392&lt;= Q392,"No Monetizar","Monetizar")</f>
        <v>Monetizar</v>
      </c>
      <c r="V392" s="1">
        <v>46048</v>
      </c>
      <c r="W392" t="str">
        <v>Alfonso Fonseca A</v>
      </c>
      <c r="X392" t="str">
        <v>Alfonso Fonseca A</v>
      </c>
      <c r="Y392" t="str">
        <v>Se monetiza ya que el valor ofrecido por el banco en cada divisa es superior al valor facturado</v>
      </c>
      <c r="Z392" s="21">
        <f>K392*O392</f>
        <v>653310</v>
      </c>
      <c r="AA392" s="21">
        <f>Z392-Q392</f>
        <v>-237.40500000002794</v>
      </c>
    </row>
    <row r="393" outlineLevel="1">
      <c r="B393">
        <v>362</v>
      </c>
      <c r="C393" t="str">
        <v>Equus</v>
      </c>
      <c r="D393" t="str">
        <v>FV-5-165</v>
      </c>
      <c r="E393" s="1">
        <v>46042</v>
      </c>
      <c r="F393" s="1">
        <v>46102</v>
      </c>
      <c r="J393" s="20">
        <f>IFERROR(IF(TODAY()&gt;=E393,(TODAY()-E393)/I393,0),0)</f>
        <v>0</v>
      </c>
      <c r="K393" s="5">
        <v>1212.87</v>
      </c>
      <c r="L393" s="5">
        <v>1217.1849604346794</v>
      </c>
      <c r="M393" s="5">
        <f>K393-L393</f>
        <v>-4.314960434679506</v>
      </c>
      <c r="N393" s="21">
        <v>3661.33</v>
      </c>
      <c r="O393" s="21">
        <v>3660</v>
      </c>
      <c r="P393" s="21">
        <f>O393-N393</f>
        <v>-1.3299999999999272</v>
      </c>
      <c r="Q393" s="21">
        <f>K393*N393</f>
        <v>4440717.3171</v>
      </c>
      <c r="R393" s="21">
        <f>L393*O393</f>
        <v>4454896.955190927</v>
      </c>
      <c r="S393" s="21">
        <f>R393-Q393</f>
        <v>14179.638090927154</v>
      </c>
      <c r="T393" t="str">
        <f>IF(R393&lt;= Q393,"No Monetizar","Monetizar")</f>
        <v>Monetizar</v>
      </c>
      <c r="V393" s="1">
        <v>46048</v>
      </c>
      <c r="W393" t="str">
        <v>Alfonso Fonseca A</v>
      </c>
      <c r="X393" t="str">
        <v>Alfonso Fonseca A</v>
      </c>
      <c r="Y393" t="str">
        <v>Se monetiza ya que el valor ofrecido por el banco en cada divisa es superior al valor facturado</v>
      </c>
      <c r="Z393" s="21">
        <f>K393*O393</f>
        <v>4439104.199999999</v>
      </c>
      <c r="AA393" s="21">
        <f>Z393-Q393</f>
        <v>-1613.1171000003815</v>
      </c>
    </row>
    <row r="394" outlineLevel="1">
      <c r="B394">
        <v>363</v>
      </c>
      <c r="C394" t="str">
        <v>Action</v>
      </c>
      <c r="D394" t="str">
        <v>FV-4-6619</v>
      </c>
      <c r="E394" s="1">
        <v>46048</v>
      </c>
      <c r="F394" s="1">
        <v>46108</v>
      </c>
      <c r="J394" s="20">
        <f>IFERROR(IF(TODAY()&gt;=E394,(TODAY()-E394)/I394,0),0)</f>
        <v>0</v>
      </c>
      <c r="K394" s="5">
        <v>357.12</v>
      </c>
      <c r="L394" s="5">
        <v>357.12</v>
      </c>
      <c r="M394" s="5">
        <f>K394-L394</f>
        <v>0</v>
      </c>
      <c r="N394" s="21">
        <v>3627.73</v>
      </c>
      <c r="O394" s="21">
        <v>3647</v>
      </c>
      <c r="P394" s="21">
        <f>O394-N394</f>
        <v>19.269999999999982</v>
      </c>
      <c r="Q394" s="21">
        <f>K394*N394</f>
        <v>1295534.9376</v>
      </c>
      <c r="R394" s="21">
        <f>L394*O394</f>
        <v>1302416.6400000001</v>
      </c>
      <c r="S394" s="21">
        <f>R394-Q394</f>
        <v>6881.702400000067</v>
      </c>
      <c r="T394" t="str">
        <f>IF(R394&lt;= Q394,"No Monetizar","Monetizar")</f>
        <v>Monetizar</v>
      </c>
      <c r="V394" s="1">
        <v>46049</v>
      </c>
      <c r="W394" t="str">
        <v>Alfonso Fonseca A</v>
      </c>
      <c r="X394" t="str">
        <v>Alfonso Fonseca A</v>
      </c>
      <c r="Y394" t="str">
        <v>Se monetiza ya que el valor ofrecido por el banco en cada divisa es superior al valor facturado</v>
      </c>
      <c r="Z394" s="21">
        <f>K394*O394</f>
        <v>1302416.6400000001</v>
      </c>
      <c r="AA394" s="21">
        <f>Z394-Q394</f>
        <v>6881.702400000067</v>
      </c>
    </row>
    <row r="395" outlineLevel="1">
      <c r="B395">
        <v>364</v>
      </c>
      <c r="C395" t="str">
        <v>Action</v>
      </c>
      <c r="D395" t="str">
        <v>FV-5-187</v>
      </c>
      <c r="E395" s="1">
        <v>46048</v>
      </c>
      <c r="F395" s="1">
        <v>46108</v>
      </c>
      <c r="J395" s="20">
        <f>IFERROR(IF(TODAY()&gt;=E395,(TODAY()-E395)/I395,0),0)</f>
        <v>0</v>
      </c>
      <c r="K395" s="5">
        <v>3246.56</v>
      </c>
      <c r="L395" s="5">
        <v>3246.56</v>
      </c>
      <c r="M395" s="5">
        <f>K395-L395</f>
        <v>0</v>
      </c>
      <c r="N395" s="21">
        <v>3627.73</v>
      </c>
      <c r="O395" s="21">
        <v>3647</v>
      </c>
      <c r="P395" s="21">
        <f>O395-N395</f>
        <v>19.269999999999982</v>
      </c>
      <c r="Q395" s="21">
        <f>K395*N395</f>
        <v>11777643.1088</v>
      </c>
      <c r="R395" s="21">
        <f>L395*O395</f>
        <v>11840204.32</v>
      </c>
      <c r="S395" s="21">
        <f>R395-Q395</f>
        <v>62561.21120000072</v>
      </c>
      <c r="T395" t="str">
        <f>IF(R395&lt;= Q395,"No Monetizar","Monetizar")</f>
        <v>Monetizar</v>
      </c>
      <c r="V395" s="1">
        <v>46049</v>
      </c>
      <c r="W395" t="str">
        <v>Alfonso Fonseca A</v>
      </c>
      <c r="X395" t="str">
        <v>Alfonso Fonseca A</v>
      </c>
      <c r="Y395" t="str">
        <v>Se monetiza ya que el valor ofrecido por el banco en cada divisa es superior al valor facturado</v>
      </c>
      <c r="Z395" s="21">
        <f>K395*O395</f>
        <v>11840204.32</v>
      </c>
      <c r="AA395" s="21">
        <f>Z395-Q395</f>
        <v>62561.21120000072</v>
      </c>
    </row>
    <row r="396" outlineLevel="1">
      <c r="B396">
        <v>365</v>
      </c>
      <c r="C396" t="str">
        <v>Marketing Doctors</v>
      </c>
      <c r="D396" t="str">
        <v>FV-4-6602</v>
      </c>
      <c r="E396" s="1">
        <v>46048</v>
      </c>
      <c r="F396" s="1">
        <v>46108</v>
      </c>
      <c r="J396" s="20">
        <f>IFERROR(IF(TODAY()&gt;=E396,(TODAY()-E396)/I396,0),0)</f>
        <v>0</v>
      </c>
      <c r="K396" s="5">
        <v>138.39</v>
      </c>
      <c r="L396" s="5">
        <v>138.39</v>
      </c>
      <c r="M396" s="5">
        <f>K396-L396</f>
        <v>0</v>
      </c>
      <c r="N396" s="21">
        <v>3600.31</v>
      </c>
      <c r="O396" s="21">
        <v>3675</v>
      </c>
      <c r="P396" s="21">
        <f>O396-N396</f>
        <v>74.69000000000005</v>
      </c>
      <c r="Q396" s="21">
        <f>K396*N396</f>
        <v>498246.90089999995</v>
      </c>
      <c r="R396" s="21">
        <f>L396*O396</f>
        <v>508583.24999999994</v>
      </c>
      <c r="S396" s="21">
        <f>R396-Q396</f>
        <v>10336.349099999992</v>
      </c>
      <c r="T396" t="str">
        <f>IF(R396&lt;= Q396,"No Monetizar","Monetizar")</f>
        <v>Monetizar</v>
      </c>
      <c r="V396" s="1">
        <v>46049</v>
      </c>
      <c r="W396" t="str">
        <v>Alfonso Fonseca A</v>
      </c>
      <c r="X396" t="str">
        <v>Alfonso Fonseca A</v>
      </c>
      <c r="Y396" t="str">
        <v>Se monetiza ya que el valor ofrecido por el banco en cada divisa es superior al valor facturado</v>
      </c>
      <c r="Z396" s="21">
        <f>K396*O396</f>
        <v>508583.24999999994</v>
      </c>
      <c r="AA396" s="21">
        <f>Z396-Q396</f>
        <v>10336.349099999992</v>
      </c>
    </row>
    <row r="397" outlineLevel="1">
      <c r="B397">
        <v>366</v>
      </c>
      <c r="C397" t="str">
        <v>Marketing Doctors</v>
      </c>
      <c r="D397" t="str">
        <v>FV-5-168</v>
      </c>
      <c r="E397" s="1">
        <v>46048</v>
      </c>
      <c r="F397" s="1">
        <v>46108</v>
      </c>
      <c r="J397" s="20">
        <f>IFERROR(IF(TODAY()&gt;=E397,(TODAY()-E397)/I397,0),0)</f>
        <v>0</v>
      </c>
      <c r="K397" s="5">
        <v>1257.99</v>
      </c>
      <c r="L397" s="5">
        <v>1257.99</v>
      </c>
      <c r="M397" s="5">
        <f>K397-L397</f>
        <v>0</v>
      </c>
      <c r="N397" s="21">
        <v>3600.31</v>
      </c>
      <c r="O397" s="21">
        <v>3675</v>
      </c>
      <c r="P397" s="21">
        <f>O397-N397</f>
        <v>74.69000000000005</v>
      </c>
      <c r="Q397" s="21">
        <f>K397*N397</f>
        <v>4529153.9769</v>
      </c>
      <c r="R397" s="21">
        <f>L397*O397</f>
        <v>4623113.25</v>
      </c>
      <c r="S397" s="21">
        <f>R397-Q397</f>
        <v>93959.27309999987</v>
      </c>
      <c r="T397" t="str">
        <f>IF(R397&lt;= Q397,"No Monetizar","Monetizar")</f>
        <v>Monetizar</v>
      </c>
      <c r="V397" s="1">
        <v>46049</v>
      </c>
      <c r="W397" t="str">
        <v>Alfonso Fonseca A</v>
      </c>
      <c r="X397" t="str">
        <v>Alfonso Fonseca A</v>
      </c>
      <c r="Y397" t="str">
        <v>Se monetiza ya que el valor ofrecido por el banco en cada divisa es superior al valor facturado</v>
      </c>
      <c r="Z397" s="21">
        <f>K397*O397</f>
        <v>4623113.25</v>
      </c>
      <c r="AA397" s="21">
        <f>Z397-Q397</f>
        <v>93959.27309999987</v>
      </c>
    </row>
    <row r="398" outlineLevel="1">
      <c r="B398">
        <v>367</v>
      </c>
      <c r="C398" t="str">
        <v>Advancio</v>
      </c>
      <c r="D398" t="str">
        <v>FV-6461</v>
      </c>
      <c r="E398" s="1">
        <v>46020</v>
      </c>
      <c r="F398" s="1">
        <v>46080</v>
      </c>
      <c r="J398" s="20">
        <f>IFERROR(IF(TODAY()&gt;=E398,(TODAY()-E398)/I398,0),0)</f>
        <v>0</v>
      </c>
      <c r="K398" s="5">
        <v>2219.58</v>
      </c>
      <c r="L398" s="5">
        <v>2219.58</v>
      </c>
      <c r="M398" s="5">
        <f>K398-L398</f>
        <v>0</v>
      </c>
      <c r="N398" s="21">
        <v>3660.98</v>
      </c>
      <c r="O398" s="21">
        <v>3669.5</v>
      </c>
      <c r="P398" s="21">
        <f>O398-N398</f>
        <v>8.519999999999982</v>
      </c>
      <c r="Q398" s="21">
        <f>K398*N398</f>
        <v>8125837.9884</v>
      </c>
      <c r="R398" s="21">
        <f>L398*O398</f>
        <v>8144748.81</v>
      </c>
      <c r="S398" s="21">
        <f>R398-Q398</f>
        <v>18910.821599999443</v>
      </c>
      <c r="T398" t="str">
        <f>IF(R398&lt;= Q398,"No Monetizar","Monetizar")</f>
        <v>Monetizar</v>
      </c>
      <c r="V398" s="1">
        <v>46049</v>
      </c>
      <c r="W398" t="str">
        <v>Alfonso Fonseca A</v>
      </c>
      <c r="X398" t="str">
        <v>Alfonso Fonseca A</v>
      </c>
      <c r="Y398" t="str">
        <v>Se monetiza ya que el valor ofrecido por el banco en cada divisa es superior al valor facturado</v>
      </c>
      <c r="Z398" s="21">
        <f>K398*O398</f>
        <v>8144748.81</v>
      </c>
      <c r="AA398" s="21">
        <f>Z398-Q398</f>
        <v>18910.821599999443</v>
      </c>
    </row>
    <row r="399" outlineLevel="1">
      <c r="B399">
        <v>368</v>
      </c>
      <c r="C399" t="str">
        <v>Remofirst</v>
      </c>
      <c r="D399">
        <v>6338</v>
      </c>
      <c r="E399" s="1">
        <v>46014</v>
      </c>
      <c r="F399" s="1">
        <v>46074</v>
      </c>
      <c r="J399" s="20">
        <f>IFERROR(IF(TODAY()&gt;=E399,(TODAY()-E399)/I399,0),0)</f>
        <v>0</v>
      </c>
      <c r="K399" s="5">
        <v>856.8</v>
      </c>
      <c r="L399" s="5">
        <v>856.8</v>
      </c>
      <c r="M399" s="5">
        <f>K399-L399</f>
        <v>0</v>
      </c>
      <c r="N399" s="21">
        <v>3890.28</v>
      </c>
      <c r="O399" s="21">
        <v>3632.5</v>
      </c>
      <c r="P399" s="21">
        <f>O399-N399</f>
        <v>-257.7800000000002</v>
      </c>
      <c r="Q399" s="21">
        <f>K399*N399</f>
        <v>3333191.904</v>
      </c>
      <c r="R399" s="21">
        <f>L399*O399</f>
        <v>3112326</v>
      </c>
      <c r="S399" s="21">
        <f>R399-Q399</f>
        <v>-220865.9040000001</v>
      </c>
      <c r="T399" t="str">
        <f>IF(R399&lt;= Q399,"No Monetizar","Monetizar")</f>
        <v>No Monetizar</v>
      </c>
      <c r="V399" s="1">
        <v>45685</v>
      </c>
      <c r="W399" t="str">
        <v>Alfonso Fonseca A</v>
      </c>
      <c r="X399" t="str">
        <v>Alfonso Fonseca A</v>
      </c>
      <c r="Y399" t="str">
        <v>Se monetiza el dinero por debajo de un 7% frente a lo facturado que fue de $ 3,890,28.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v>
      </c>
      <c r="Z399" s="21">
        <f>K399*O399</f>
        <v>3112326</v>
      </c>
      <c r="AA399" s="21">
        <f>Z399-Q399</f>
        <v>-220865.9040000001</v>
      </c>
    </row>
    <row r="400" outlineLevel="1">
      <c r="B400">
        <v>369</v>
      </c>
      <c r="C400" t="str">
        <v>Remofirst</v>
      </c>
      <c r="D400" t="str">
        <v>FV-5-60</v>
      </c>
      <c r="E400" s="1">
        <v>46014</v>
      </c>
      <c r="F400" s="1">
        <v>46074</v>
      </c>
      <c r="J400" s="20">
        <f>IFERROR(IF(TODAY()&gt;=E400,(TODAY()-E400)/I400,0),0)</f>
        <v>0</v>
      </c>
      <c r="K400" s="5">
        <v>3255.57</v>
      </c>
      <c r="L400" s="5">
        <v>3255.57</v>
      </c>
      <c r="M400" s="5">
        <f>K400-L400</f>
        <v>0</v>
      </c>
      <c r="N400" s="21">
        <v>3890.28</v>
      </c>
      <c r="O400" s="21">
        <v>3632.5</v>
      </c>
      <c r="P400" s="21">
        <f>O400-N400</f>
        <v>-257.7800000000002</v>
      </c>
      <c r="Q400" s="21">
        <f>K400*N400</f>
        <v>12665078.859600002</v>
      </c>
      <c r="R400" s="21">
        <f>L400*O400</f>
        <v>11825858.025</v>
      </c>
      <c r="S400" s="21">
        <f>R400-Q400</f>
        <v>-839220.8346000016</v>
      </c>
      <c r="T400" t="str">
        <f>IF(R400&lt;= Q400,"No Monetizar","Monetizar")</f>
        <v>No Monetizar</v>
      </c>
      <c r="V400" s="1">
        <v>45685</v>
      </c>
      <c r="W400" t="str">
        <v>Alfonso Fonseca A</v>
      </c>
      <c r="X400" t="str">
        <v>Alfonso Fonseca A</v>
      </c>
      <c r="Y400" t="str">
        <v>Se monetiza el dinero por debajo de un 7% frente a lo facturado que fue de $ 3,890,28.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v>
      </c>
      <c r="Z400" s="21">
        <f>K400*O400</f>
        <v>11825858.025</v>
      </c>
      <c r="AA400" s="21">
        <f>Z400-Q400</f>
        <v>-839220.8346000016</v>
      </c>
    </row>
    <row r="401" outlineLevel="1">
      <c r="B401">
        <v>370</v>
      </c>
      <c r="C401" t="str">
        <v>Remofirst</v>
      </c>
      <c r="D401" t="str">
        <v>FV-5-79</v>
      </c>
      <c r="E401" s="1">
        <v>46014</v>
      </c>
      <c r="F401" s="1">
        <v>46074</v>
      </c>
      <c r="J401" s="20">
        <f>IFERROR(IF(TODAY()&gt;=E401,(TODAY()-E401)/I401,0),0)</f>
        <v>0</v>
      </c>
      <c r="K401" s="5">
        <v>231.52</v>
      </c>
      <c r="L401" s="5">
        <v>231.52</v>
      </c>
      <c r="M401" s="5">
        <f>K401-L401</f>
        <v>0</v>
      </c>
      <c r="N401" s="21">
        <v>3751.51</v>
      </c>
      <c r="O401" s="21">
        <v>3632.5</v>
      </c>
      <c r="P401" s="21">
        <f>O401-N401</f>
        <v>-119.01000000000022</v>
      </c>
      <c r="Q401" s="21">
        <f>K401*N401</f>
        <v>868549.5952000001</v>
      </c>
      <c r="R401" s="21">
        <f>L401*O401</f>
        <v>840996.4</v>
      </c>
      <c r="S401" s="21">
        <f>R401-Q401</f>
        <v>-27553.195200000075</v>
      </c>
      <c r="T401" t="str">
        <f>IF(R401&lt;= Q401,"No Monetizar","Monetizar")</f>
        <v>No Monetizar</v>
      </c>
      <c r="V401" s="1">
        <v>45685</v>
      </c>
      <c r="W401" t="str">
        <v>Alfonso Fonseca A</v>
      </c>
      <c r="X401" t="str">
        <v>Alfonso Fonseca A</v>
      </c>
      <c r="Y401" t="str">
        <v>Se monetiza el dinero por debajo de un 3% frente a lo facturado que fue de $ 3,751,28.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$ 3,632,50 y se requiere el dinero para el pago de la nómina del mes de enero de 2026 es por esto que se decide ingresarlo.</v>
      </c>
      <c r="Z401" s="21">
        <f>K401*O401</f>
        <v>840996.4</v>
      </c>
      <c r="AA401" s="21">
        <f>Z401-Q401</f>
        <v>-27553.195200000075</v>
      </c>
    </row>
    <row r="402" outlineLevel="1">
      <c r="B402">
        <v>371</v>
      </c>
      <c r="C402" t="str">
        <v>Hemmebarsch GMBH &amp; Co KG</v>
      </c>
      <c r="D402" t="str">
        <v>FV-4-6447</v>
      </c>
      <c r="E402" s="1">
        <v>46037</v>
      </c>
      <c r="F402" s="1">
        <v>46097</v>
      </c>
      <c r="J402" s="20">
        <f>IFERROR(IF(TODAY()&gt;=E402,(TODAY()-E402)/I402,0),0)</f>
        <v>0</v>
      </c>
      <c r="K402" s="5">
        <v>185.72</v>
      </c>
      <c r="L402" s="5">
        <v>185.72</v>
      </c>
      <c r="M402" s="5">
        <f>K402-L402</f>
        <v>0</v>
      </c>
      <c r="N402" s="21">
        <v>3682.4</v>
      </c>
      <c r="O402" s="21">
        <v>3632.01</v>
      </c>
      <c r="P402" s="21">
        <f>O402-N402</f>
        <v>-50.38999999999987</v>
      </c>
      <c r="Q402" s="21">
        <f>K402*N402</f>
        <v>683895.328</v>
      </c>
      <c r="R402" s="21">
        <f>L402*O402</f>
        <v>674536.8972</v>
      </c>
      <c r="S402" s="21">
        <f>R402-Q402</f>
        <v>-9358.430799999973</v>
      </c>
      <c r="T402" t="str">
        <f>IF(R402&lt;= Q402,"No Monetizar","Monetizar")</f>
        <v>No Monetizar</v>
      </c>
      <c r="V402" s="1">
        <v>45685</v>
      </c>
      <c r="W402" t="str">
        <v>Alfonso Fonseca A</v>
      </c>
      <c r="X402" t="str">
        <v>Alfonso Fonseca A</v>
      </c>
      <c r="Y402"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2" s="21">
        <f>K402*O402</f>
        <v>674536.8972</v>
      </c>
      <c r="AA402" s="21">
        <f>Z402-Q402</f>
        <v>-9358.430799999973</v>
      </c>
    </row>
    <row r="403" outlineLevel="1">
      <c r="B403">
        <v>372</v>
      </c>
      <c r="C403" t="str">
        <v>Hemmebarsch GMBH &amp; Co KG</v>
      </c>
      <c r="D403" t="str">
        <v>FV-5-104</v>
      </c>
      <c r="E403" s="1">
        <v>46037</v>
      </c>
      <c r="F403" s="1">
        <v>46097</v>
      </c>
      <c r="J403" s="20">
        <f>IFERROR(IF(TODAY()&gt;=E403,(TODAY()-E403)/I403,0),0)</f>
        <v>0</v>
      </c>
      <c r="K403" s="5">
        <v>1857.19</v>
      </c>
      <c r="L403" s="5">
        <v>1857.19</v>
      </c>
      <c r="M403" s="5">
        <f>K403-L403</f>
        <v>0</v>
      </c>
      <c r="N403" s="21">
        <v>3682.4</v>
      </c>
      <c r="O403" s="21">
        <v>3632.01</v>
      </c>
      <c r="P403" s="21">
        <f>O403-N403</f>
        <v>-50.38999999999987</v>
      </c>
      <c r="Q403" s="21">
        <f>K403*N403</f>
        <v>6838916.456</v>
      </c>
      <c r="R403" s="21">
        <f>L403*O403</f>
        <v>6745332.651900001</v>
      </c>
      <c r="S403" s="21">
        <f>R403-Q403</f>
        <v>-93583.80409999937</v>
      </c>
      <c r="T403" t="str">
        <f>IF(R403&lt;= Q403,"No Monetizar","Monetizar")</f>
        <v>No Monetizar</v>
      </c>
      <c r="V403" s="1">
        <v>45685</v>
      </c>
      <c r="W403" t="str">
        <v>Alfonso Fonseca A</v>
      </c>
      <c r="X403" t="str">
        <v>Alfonso Fonseca A</v>
      </c>
      <c r="Y403"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3" s="21">
        <f>K403*O403</f>
        <v>6745332.651900001</v>
      </c>
      <c r="AA403" s="21">
        <f>Z403-Q403</f>
        <v>-93583.80409999937</v>
      </c>
    </row>
    <row r="404" outlineLevel="1">
      <c r="B404">
        <v>373</v>
      </c>
      <c r="C404" t="str">
        <v>Hemmebarsch GMBH &amp; Co KG</v>
      </c>
      <c r="D404" t="str">
        <v>FV-4-6448</v>
      </c>
      <c r="E404" s="1">
        <v>46037</v>
      </c>
      <c r="F404" s="1">
        <v>46097</v>
      </c>
      <c r="J404" s="20">
        <f>IFERROR(IF(TODAY()&gt;=E404,(TODAY()-E404)/I404,0),0)</f>
        <v>0</v>
      </c>
      <c r="K404" s="5">
        <v>116.08</v>
      </c>
      <c r="L404" s="5">
        <v>116.08</v>
      </c>
      <c r="M404" s="5">
        <f>K404-L404</f>
        <v>0</v>
      </c>
      <c r="N404" s="21">
        <v>3682.4</v>
      </c>
      <c r="O404" s="21">
        <v>3632.01</v>
      </c>
      <c r="P404" s="21">
        <f>O404-N404</f>
        <v>-50.38999999999987</v>
      </c>
      <c r="Q404" s="21">
        <f>K404*N404</f>
        <v>427452.992</v>
      </c>
      <c r="R404" s="21">
        <f>L404*O404</f>
        <v>421603.7208</v>
      </c>
      <c r="S404" s="21">
        <f>R404-Q404</f>
        <v>-5849.271200000017</v>
      </c>
      <c r="T404" t="str">
        <f>IF(R404&lt;= Q404,"No Monetizar","Monetizar")</f>
        <v>No Monetizar</v>
      </c>
      <c r="V404" s="1">
        <v>45685</v>
      </c>
      <c r="W404" t="str">
        <v>Alfonso Fonseca A</v>
      </c>
      <c r="X404" t="str">
        <v>Alfonso Fonseca A</v>
      </c>
      <c r="Y404"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4" s="21">
        <f>K404*O404</f>
        <v>421603.7208</v>
      </c>
      <c r="AA404" s="21">
        <f>Z404-Q404</f>
        <v>-5849.271200000017</v>
      </c>
    </row>
    <row r="405" outlineLevel="1">
      <c r="B405">
        <v>374</v>
      </c>
      <c r="C405" t="str">
        <v>Hemmebarsch GMBH &amp; Co KG</v>
      </c>
      <c r="D405" t="str">
        <v>FV-5-105</v>
      </c>
      <c r="E405" s="1">
        <v>46037</v>
      </c>
      <c r="F405" s="1">
        <v>46097</v>
      </c>
      <c r="J405" s="20">
        <f>IFERROR(IF(TODAY()&gt;=E405,(TODAY()-E405)/I405,0),0)</f>
        <v>0</v>
      </c>
      <c r="K405" s="5">
        <v>1160.83</v>
      </c>
      <c r="L405" s="5">
        <v>1160.83</v>
      </c>
      <c r="M405" s="5">
        <f>K405-L405</f>
        <v>0</v>
      </c>
      <c r="N405" s="21">
        <v>3682.4</v>
      </c>
      <c r="O405" s="21">
        <v>3632.01</v>
      </c>
      <c r="P405" s="21">
        <f>O405-N405</f>
        <v>-50.38999999999987</v>
      </c>
      <c r="Q405" s="21">
        <f>K405*N405</f>
        <v>4274640.392</v>
      </c>
      <c r="R405" s="21">
        <f>L405*O405</f>
        <v>4216146.1683</v>
      </c>
      <c r="S405" s="21">
        <f>R405-Q405</f>
        <v>-58494.22369999997</v>
      </c>
      <c r="T405" t="str">
        <f>IF(R405&lt;= Q405,"No Monetizar","Monetizar")</f>
        <v>No Monetizar</v>
      </c>
      <c r="V405" s="1">
        <v>45685</v>
      </c>
      <c r="W405" t="str">
        <v>Alfonso Fonseca A</v>
      </c>
      <c r="X405" t="str">
        <v>Alfonso Fonseca A</v>
      </c>
      <c r="Y405" t="str">
        <v>Se monetiza el dinero por debajo de un 1%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05" s="21">
        <f>K405*O405</f>
        <v>4216146.1683</v>
      </c>
      <c r="AA405" s="21">
        <f>Z405-Q405</f>
        <v>-58494.22369999997</v>
      </c>
    </row>
    <row r="406" outlineLevel="1">
      <c r="B406">
        <v>375</v>
      </c>
      <c r="C406" t="str">
        <v>Hemmebarsch GMBH &amp; Co KG</v>
      </c>
      <c r="D406" t="str">
        <v>FV-4-6539</v>
      </c>
      <c r="E406" s="1">
        <v>46037</v>
      </c>
      <c r="F406" s="1">
        <v>46097</v>
      </c>
      <c r="J406" s="20">
        <f>IFERROR(IF(TODAY()&gt;=E406,(TODAY()-E406)/I406,0),0)</f>
        <v>0</v>
      </c>
      <c r="K406" s="5">
        <v>180.74</v>
      </c>
      <c r="L406" s="5">
        <v>180.74</v>
      </c>
      <c r="M406" s="5">
        <f>K406-L406</f>
        <v>0</v>
      </c>
      <c r="N406" s="21">
        <v>3779.41</v>
      </c>
      <c r="O406" s="21">
        <v>3632.01</v>
      </c>
      <c r="P406" s="21">
        <f>O406-N406</f>
        <v>-147.39999999999964</v>
      </c>
      <c r="Q406" s="21">
        <f>K406*N406</f>
        <v>683090.5634</v>
      </c>
      <c r="R406" s="21">
        <f>L406*O406</f>
        <v>656449.4874000001</v>
      </c>
      <c r="S406" s="21">
        <f>R406-Q406</f>
        <v>-26641.075999999885</v>
      </c>
      <c r="T406" t="str">
        <f>IF(R406&lt;= Q406,"No Monetizar","Monetizar")</f>
        <v>No Monetizar</v>
      </c>
      <c r="V406" s="1">
        <v>45685</v>
      </c>
      <c r="W406" t="str">
        <v>Alfonso Fonseca A</v>
      </c>
      <c r="X406" t="str">
        <v>Alfonso Fonseca A</v>
      </c>
      <c r="Y406"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6" s="21">
        <f>K406*O406</f>
        <v>656449.4874000001</v>
      </c>
      <c r="AA406" s="21">
        <f>Z406-Q406</f>
        <v>-26641.075999999885</v>
      </c>
    </row>
    <row r="407" outlineLevel="1">
      <c r="B407">
        <v>376</v>
      </c>
      <c r="C407" t="str">
        <v>Hemmebarsch GMBH &amp; Co KG</v>
      </c>
      <c r="D407" t="str">
        <v>FV-5-143</v>
      </c>
      <c r="E407" s="1">
        <v>46037</v>
      </c>
      <c r="F407" s="1">
        <v>46097</v>
      </c>
      <c r="J407" s="20">
        <f>IFERROR(IF(TODAY()&gt;=E407,(TODAY()-E407)/I407,0),0)</f>
        <v>0</v>
      </c>
      <c r="K407" s="5">
        <v>1807.42</v>
      </c>
      <c r="L407" s="5">
        <v>1807.42</v>
      </c>
      <c r="M407" s="5">
        <f>K407-L407</f>
        <v>0</v>
      </c>
      <c r="N407" s="21">
        <v>3779.41</v>
      </c>
      <c r="O407" s="21">
        <v>3632.01</v>
      </c>
      <c r="P407" s="21">
        <f>O407-N407</f>
        <v>-147.39999999999964</v>
      </c>
      <c r="Q407" s="21">
        <f>K407*N407</f>
        <v>6830981.2222</v>
      </c>
      <c r="R407" s="21">
        <f>L407*O407</f>
        <v>6564567.514200001</v>
      </c>
      <c r="S407" s="21">
        <f>R407-Q407</f>
        <v>-266413.7079999987</v>
      </c>
      <c r="T407" t="str">
        <f>IF(R407&lt;= Q407,"No Monetizar","Monetizar")</f>
        <v>No Monetizar</v>
      </c>
      <c r="V407" s="1">
        <v>45685</v>
      </c>
      <c r="W407" t="str">
        <v>Alfonso Fonseca A</v>
      </c>
      <c r="X407" t="str">
        <v>Alfonso Fonseca A</v>
      </c>
      <c r="Y407"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7" s="21">
        <f>K407*O407</f>
        <v>6564567.514200001</v>
      </c>
      <c r="AA407" s="21">
        <f>Z407-Q407</f>
        <v>-266413.7079999987</v>
      </c>
    </row>
    <row r="408" outlineLevel="1">
      <c r="B408">
        <v>377</v>
      </c>
      <c r="C408" t="str">
        <v>Hemmebarsch GMBH &amp; Co KG</v>
      </c>
      <c r="D408" t="str">
        <v>FV-4-6540</v>
      </c>
      <c r="E408" s="1">
        <v>46037</v>
      </c>
      <c r="F408" s="1">
        <v>46097</v>
      </c>
      <c r="J408" s="20">
        <f>IFERROR(IF(TODAY()&gt;=E408,(TODAY()-E408)/I408,0),0)</f>
        <v>0</v>
      </c>
      <c r="K408" s="5">
        <v>113.24</v>
      </c>
      <c r="L408" s="5">
        <v>113.24</v>
      </c>
      <c r="M408" s="5">
        <f>K408-L408</f>
        <v>0</v>
      </c>
      <c r="N408" s="21">
        <v>3779.41</v>
      </c>
      <c r="O408" s="21">
        <v>3632.01</v>
      </c>
      <c r="P408" s="21">
        <f>O408-N408</f>
        <v>-147.39999999999964</v>
      </c>
      <c r="Q408" s="21">
        <f>K408*N408</f>
        <v>427980.38839999994</v>
      </c>
      <c r="R408" s="21">
        <f>L408*O408</f>
        <v>411288.8124</v>
      </c>
      <c r="S408" s="21">
        <f>R408-Q408</f>
        <v>-16691.575999999943</v>
      </c>
      <c r="T408" t="str">
        <f>IF(R408&lt;= Q408,"No Monetizar","Monetizar")</f>
        <v>No Monetizar</v>
      </c>
      <c r="V408" s="1">
        <v>45685</v>
      </c>
      <c r="W408" t="str">
        <v>Alfonso Fonseca A</v>
      </c>
      <c r="X408" t="str">
        <v>Alfonso Fonseca A</v>
      </c>
      <c r="Y408"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8" s="21">
        <f>K408*O408</f>
        <v>411288.8124</v>
      </c>
      <c r="AA408" s="21">
        <f>Z408-Q408</f>
        <v>-16691.575999999943</v>
      </c>
    </row>
    <row r="409" outlineLevel="1">
      <c r="B409">
        <v>378</v>
      </c>
      <c r="C409" t="str">
        <v>Hemmebarsch GMBH &amp; Co KG</v>
      </c>
      <c r="D409" t="str">
        <v>FV-5-144</v>
      </c>
      <c r="E409" s="1">
        <v>46037</v>
      </c>
      <c r="F409" s="1">
        <v>46097</v>
      </c>
      <c r="J409" s="20">
        <f>IFERROR(IF(TODAY()&gt;=E409,(TODAY()-E409)/I409,0),0)</f>
        <v>0</v>
      </c>
      <c r="K409" s="5">
        <v>1132.42</v>
      </c>
      <c r="L409" s="5">
        <v>1132.42</v>
      </c>
      <c r="M409" s="5">
        <f>K409-L409</f>
        <v>0</v>
      </c>
      <c r="N409" s="21">
        <v>3779.41</v>
      </c>
      <c r="O409" s="21">
        <v>3632.01</v>
      </c>
      <c r="P409" s="21">
        <f>O409-N409</f>
        <v>-147.39999999999964</v>
      </c>
      <c r="Q409" s="21">
        <f>K409*N409</f>
        <v>4279879.4722</v>
      </c>
      <c r="R409" s="21">
        <f>L409*O409</f>
        <v>4112960.7642000006</v>
      </c>
      <c r="S409" s="21">
        <f>R409-Q409</f>
        <v>-166918.70799999917</v>
      </c>
      <c r="T409" t="str">
        <f>IF(R409&lt;= Q409,"No Monetizar","Monetizar")</f>
        <v>No Monetizar</v>
      </c>
      <c r="V409" s="1">
        <v>45685</v>
      </c>
      <c r="W409" t="str">
        <v>Alfonso Fonseca A</v>
      </c>
      <c r="X409" t="str">
        <v>Alfonso Fonseca A</v>
      </c>
      <c r="Y409" t="str">
        <v>Se monetiza el dinero por debajo de un 4%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09" s="21">
        <f>K409*O409</f>
        <v>4112960.7642000006</v>
      </c>
      <c r="AA409" s="21">
        <f>Z409-Q409</f>
        <v>-166918.70799999917</v>
      </c>
    </row>
    <row r="410" outlineLevel="1">
      <c r="B410">
        <v>379</v>
      </c>
      <c r="C410" t="str">
        <v>Remofirst</v>
      </c>
      <c r="D410" t="str">
        <v>FV-4-6610</v>
      </c>
      <c r="E410" s="1">
        <v>46043</v>
      </c>
      <c r="F410" s="1">
        <v>46103</v>
      </c>
      <c r="J410" s="20">
        <f>IFERROR(IF(TODAY()&gt;=E410,(TODAY()-E410)/I410,0),0)</f>
        <v>0</v>
      </c>
      <c r="K410" s="5">
        <v>12852</v>
      </c>
      <c r="L410" s="5">
        <v>12852</v>
      </c>
      <c r="M410" s="5">
        <f>K410-L410</f>
        <v>0</v>
      </c>
      <c r="N410" s="21">
        <v>3697.32</v>
      </c>
      <c r="O410" s="21">
        <v>3632</v>
      </c>
      <c r="P410" s="21">
        <f>O410-N410</f>
        <v>-65.32000000000016</v>
      </c>
      <c r="Q410" s="21">
        <f>K410*N410</f>
        <v>47517956.64</v>
      </c>
      <c r="R410" s="21">
        <f>L410*O410</f>
        <v>46678464</v>
      </c>
      <c r="S410" s="21">
        <f>R410-Q410</f>
        <v>-839492.6400000006</v>
      </c>
      <c r="T410" t="str">
        <f>IF(R410&lt;= Q410,"No Monetizar","Monetizar")</f>
        <v>No Monetizar</v>
      </c>
      <c r="V410" s="1">
        <v>45685</v>
      </c>
      <c r="W410" t="str">
        <v>Alfonso Fonseca A</v>
      </c>
      <c r="X410" t="str">
        <v>Alfonso Fonseca A</v>
      </c>
      <c r="Y410" t="str">
        <v>Se monetiza el dinero por debajo de un 2% frente a lo facturado que fue de $ 3,682,40.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$ 3,632y se requiere el dinero para el pago de la nómina del mes de enero de 2026 es por esto que se decide ingresarlo.</v>
      </c>
      <c r="Z410" s="21">
        <f>K410*O410</f>
        <v>46678464</v>
      </c>
      <c r="AA410" s="21">
        <f>Z410-Q410</f>
        <v>-839492.6400000006</v>
      </c>
    </row>
    <row r="411" outlineLevel="1">
      <c r="B411">
        <v>380</v>
      </c>
      <c r="C411" t="str">
        <v>Remofirst</v>
      </c>
      <c r="D411" t="str">
        <v>FV-5-176</v>
      </c>
      <c r="E411" s="1">
        <v>46043</v>
      </c>
      <c r="F411" s="1">
        <v>46103</v>
      </c>
      <c r="J411" s="20">
        <f>IFERROR(IF(TODAY()&gt;=E411,(TODAY()-E411)/I411,0),0)</f>
        <v>0</v>
      </c>
      <c r="K411" s="5">
        <v>261153</v>
      </c>
      <c r="L411" s="5">
        <v>261153</v>
      </c>
      <c r="M411" s="5">
        <f>K411-L411</f>
        <v>0</v>
      </c>
      <c r="N411" s="21">
        <v>3697.32</v>
      </c>
      <c r="O411" s="21">
        <v>3632</v>
      </c>
      <c r="P411" s="21">
        <f>O411-N411</f>
        <v>-65.32000000000016</v>
      </c>
      <c r="Q411" s="21">
        <f>K411*N411</f>
        <v>965566209.96</v>
      </c>
      <c r="R411" s="21">
        <f>L411*O411</f>
        <v>948507696</v>
      </c>
      <c r="S411" s="21">
        <f>R411-Q411</f>
        <v>-17058513.96000004</v>
      </c>
      <c r="T411" t="str">
        <f>IF(R411&lt;= Q411,"No Monetizar","Monetizar")</f>
        <v>No Monetizar</v>
      </c>
      <c r="V411" s="1">
        <v>45685</v>
      </c>
      <c r="W411" t="str">
        <v>Alfonso Fonseca A</v>
      </c>
      <c r="X411" t="str">
        <v>Alfonso Fonseca A</v>
      </c>
      <c r="Y411"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1" s="21">
        <f>K411*O411</f>
        <v>948507696</v>
      </c>
      <c r="AA411" s="21">
        <f>Z411-Q411</f>
        <v>-17058513.96000004</v>
      </c>
    </row>
    <row r="412" outlineLevel="1">
      <c r="B412">
        <v>381</v>
      </c>
      <c r="C412" t="str">
        <v>Remofirst</v>
      </c>
      <c r="D412" t="str">
        <v>FV-4-6637</v>
      </c>
      <c r="E412" s="1">
        <v>46050</v>
      </c>
      <c r="F412" s="1">
        <v>46110</v>
      </c>
      <c r="J412" s="20">
        <f>IFERROR(IF(TODAY()&gt;=E412,(TODAY()-E412)/I412,0),0)</f>
        <v>0</v>
      </c>
      <c r="K412" s="5">
        <v>642.6</v>
      </c>
      <c r="L412" s="5">
        <v>642.6</v>
      </c>
      <c r="M412" s="5">
        <f>K412-L412</f>
        <v>0</v>
      </c>
      <c r="N412" s="21">
        <v>3697.32</v>
      </c>
      <c r="O412" s="21">
        <v>3667</v>
      </c>
      <c r="P412" s="21">
        <f>O412-N412</f>
        <v>-30.320000000000164</v>
      </c>
      <c r="Q412" s="21">
        <f>K412*N412</f>
        <v>2375897.8320000004</v>
      </c>
      <c r="R412" s="21">
        <f>L412*O412</f>
        <v>2356414.2</v>
      </c>
      <c r="S412" s="21">
        <f>R412-Q412</f>
        <v>-19483.632000000216</v>
      </c>
      <c r="T412" t="str">
        <f>IF(R412&lt;= Q412,"No Monetizar","Monetizar")</f>
        <v>No Monetizar</v>
      </c>
      <c r="V412" s="1">
        <v>45685</v>
      </c>
      <c r="W412" t="str">
        <v>Alfonso Fonseca A</v>
      </c>
      <c r="X412" t="str">
        <v>Alfonso Fonseca A</v>
      </c>
      <c r="Y412"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2" s="21">
        <f>K412*O412</f>
        <v>2356414.2</v>
      </c>
      <c r="AA412" s="21">
        <f>Z412-Q412</f>
        <v>-19483.632000000216</v>
      </c>
    </row>
    <row r="413" outlineLevel="1">
      <c r="B413">
        <v>382</v>
      </c>
      <c r="C413" t="str">
        <v>Remofirst</v>
      </c>
      <c r="D413" t="str">
        <v>FV-5-195</v>
      </c>
      <c r="E413" s="1">
        <v>46050</v>
      </c>
      <c r="F413" s="1">
        <v>46110</v>
      </c>
      <c r="J413" s="20">
        <f>IFERROR(IF(TODAY()&gt;=E413,(TODAY()-E413)/I413,0),0)</f>
        <v>0</v>
      </c>
      <c r="K413" s="5">
        <v>17133.3</v>
      </c>
      <c r="L413" s="5">
        <v>17133.3</v>
      </c>
      <c r="M413" s="5">
        <f>K413-L413</f>
        <v>0</v>
      </c>
      <c r="N413" s="21">
        <v>3697.32</v>
      </c>
      <c r="O413" s="21">
        <v>3667</v>
      </c>
      <c r="P413" s="21">
        <f>O413-N413</f>
        <v>-30.320000000000164</v>
      </c>
      <c r="Q413" s="21">
        <f>K413*N413</f>
        <v>63347292.756</v>
      </c>
      <c r="R413" s="21">
        <f>L413*O413</f>
        <v>62827811.099999994</v>
      </c>
      <c r="S413" s="21">
        <f>R413-Q413</f>
        <v>-519481.6560000032</v>
      </c>
      <c r="T413" t="str">
        <f>IF(R413&lt;= Q413,"No Monetizar","Monetizar")</f>
        <v>No Monetizar</v>
      </c>
      <c r="V413" s="1">
        <v>45685</v>
      </c>
      <c r="W413" t="str">
        <v>Alfonso Fonseca A</v>
      </c>
      <c r="X413" t="str">
        <v>Alfonso Fonseca A</v>
      </c>
      <c r="Y413"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3" s="21">
        <f>K413*O413</f>
        <v>62827811.099999994</v>
      </c>
      <c r="AA413" s="21">
        <f>Z413-Q413</f>
        <v>-519481.6560000032</v>
      </c>
    </row>
    <row r="414" outlineLevel="1">
      <c r="B414">
        <v>383</v>
      </c>
      <c r="C414" t="str">
        <v>Insider</v>
      </c>
      <c r="D414" t="str">
        <v>FV-4-6639</v>
      </c>
      <c r="E414" s="1">
        <v>46051</v>
      </c>
      <c r="F414" s="1">
        <v>46111</v>
      </c>
      <c r="J414" s="20">
        <f>IFERROR(IF(TODAY()&gt;=E414,(TODAY()-E414)/I414,0),0)</f>
        <v>0</v>
      </c>
      <c r="K414" s="5">
        <v>6330.8</v>
      </c>
      <c r="L414" s="5">
        <v>6330.499970403665</v>
      </c>
      <c r="M414" s="5">
        <f>K414-L414</f>
        <v>0.30002959633475257</v>
      </c>
      <c r="N414" s="21">
        <v>3632.46</v>
      </c>
      <c r="O414" s="21">
        <v>3642.12</v>
      </c>
      <c r="Q414" s="21">
        <f>K414*N414</f>
        <v>22996377.768</v>
      </c>
      <c r="R414" s="21">
        <f>L414*O414</f>
        <v>23056440.5522066</v>
      </c>
      <c r="S414" s="21">
        <f>R414-Q414</f>
        <v>60062.784206599</v>
      </c>
      <c r="T414" t="str">
        <f>IF(R414&lt;= Q414,"No Monetizar","Monetizar")</f>
        <v>Monetizar</v>
      </c>
      <c r="V414" s="1">
        <v>45693</v>
      </c>
      <c r="W414" t="str">
        <v>Alfonso Fonseca A</v>
      </c>
      <c r="X414" t="str">
        <v>Alfonso Fonseca A</v>
      </c>
      <c r="Y414"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4" s="21">
        <f>K414*O414</f>
        <v>23057533.296</v>
      </c>
      <c r="AA414" s="21">
        <f>Z414-Q414</f>
        <v>61155.528000000864</v>
      </c>
    </row>
    <row r="415" outlineLevel="1">
      <c r="B415">
        <v>384</v>
      </c>
      <c r="C415" t="str">
        <v>Insider</v>
      </c>
      <c r="D415" t="str">
        <v>FV-5-199</v>
      </c>
      <c r="E415" s="1">
        <v>46051</v>
      </c>
      <c r="F415" s="1">
        <v>46111</v>
      </c>
      <c r="J415" s="20">
        <f>IFERROR(IF(TODAY()&gt;=E415,(TODAY()-E415)/I415,0),0)</f>
        <v>0</v>
      </c>
      <c r="K415" s="5">
        <v>204675.05</v>
      </c>
      <c r="L415" s="5">
        <v>204665.35002959636</v>
      </c>
      <c r="M415" s="5">
        <f>K415-L415</f>
        <v>9.699970403627958</v>
      </c>
      <c r="N415" s="21">
        <v>3632.46</v>
      </c>
      <c r="O415" s="21">
        <v>3642.12</v>
      </c>
      <c r="Q415" s="21">
        <f>K415*N415</f>
        <v>743473932.1229999</v>
      </c>
      <c r="R415" s="21">
        <f>L415*O415</f>
        <v>745415764.6497935</v>
      </c>
      <c r="S415" s="21">
        <f>R415-Q415</f>
        <v>1941832.5267935991</v>
      </c>
      <c r="T415" t="str">
        <f>IF(R415&lt;= Q415,"No Monetizar","Monetizar")</f>
        <v>Monetizar</v>
      </c>
      <c r="V415" s="1">
        <v>45693</v>
      </c>
      <c r="W415" t="str">
        <v>Alfonso Fonseca A</v>
      </c>
      <c r="X415" t="str">
        <v>Alfonso Fonseca A</v>
      </c>
      <c r="Y415"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5" s="21">
        <f>K415*O415</f>
        <v>745451093.106</v>
      </c>
      <c r="AA415" s="21">
        <f>Z415-Q415</f>
        <v>1977160.98300004</v>
      </c>
    </row>
    <row r="416" ht="30" customHeight="1" outlineLevel="1">
      <c r="B416">
        <v>385</v>
      </c>
      <c r="C416" t="str">
        <v>Hong kong yonyou xinfushe cloud technology co</v>
      </c>
      <c r="D416" t="str">
        <v>FV-4-6608</v>
      </c>
      <c r="E416" s="1">
        <v>46051</v>
      </c>
      <c r="F416" s="1">
        <v>46111</v>
      </c>
      <c r="J416" s="20">
        <f>IFERROR(IF(TODAY()&gt;=E416,(TODAY()-E416)/I416,0),0)</f>
        <v>0</v>
      </c>
      <c r="K416" s="5">
        <v>749.7</v>
      </c>
      <c r="L416" s="5">
        <v>749.7</v>
      </c>
      <c r="M416" s="5">
        <f>K416-L416</f>
        <v>0</v>
      </c>
      <c r="N416" s="21">
        <v>3611.28</v>
      </c>
      <c r="O416" s="21">
        <v>3642.12</v>
      </c>
      <c r="Q416" s="21">
        <f>K416*N416</f>
        <v>2707376.6160000004</v>
      </c>
      <c r="R416" s="21">
        <f>L416*O416</f>
        <v>2730497.364</v>
      </c>
      <c r="S416" s="21">
        <f>R416-Q416</f>
        <v>23120.747999999672</v>
      </c>
      <c r="T416" t="str">
        <f>IF(R416&lt;= Q416,"No Monetizar","Monetizar")</f>
        <v>Monetizar</v>
      </c>
      <c r="V416" s="1">
        <v>45693</v>
      </c>
      <c r="W416" t="str">
        <v>Alfonso Fonseca A</v>
      </c>
      <c r="X416" t="str">
        <v>Alfonso Fonseca A</v>
      </c>
      <c r="Y416"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6" s="21">
        <f>K416*O416</f>
        <v>2730497.364</v>
      </c>
      <c r="AA416" s="21">
        <f>Z416-Q416</f>
        <v>23120.747999999672</v>
      </c>
    </row>
    <row r="417" ht="30" customHeight="1" outlineLevel="1">
      <c r="B417">
        <v>386</v>
      </c>
      <c r="C417" t="str">
        <v>Hong kong yonyou xinfushe cloud technology co</v>
      </c>
      <c r="D417" t="str">
        <v>FV-5-174</v>
      </c>
      <c r="E417" s="1">
        <v>46051</v>
      </c>
      <c r="F417" s="1">
        <v>46111</v>
      </c>
      <c r="J417" s="20">
        <f>IFERROR(IF(TODAY()&gt;=E417,(TODAY()-E417)/I417,0),0)</f>
        <v>0</v>
      </c>
      <c r="K417" s="5">
        <v>12047.78</v>
      </c>
      <c r="L417" s="5">
        <v>12047.78</v>
      </c>
      <c r="M417" s="5">
        <f>K417-L417</f>
        <v>0</v>
      </c>
      <c r="N417" s="21">
        <v>3611.28</v>
      </c>
      <c r="O417" s="21">
        <v>3642.12</v>
      </c>
      <c r="Q417" s="21">
        <f>K417*N417</f>
        <v>43507906.9584</v>
      </c>
      <c r="R417" s="21">
        <f>L417*O417</f>
        <v>43879460.4936</v>
      </c>
      <c r="S417" s="21">
        <f>R417-Q417</f>
        <v>371553.5351999998</v>
      </c>
      <c r="T417" t="str">
        <f>IF(R417&lt;= Q417,"No Monetizar","Monetizar")</f>
        <v>Monetizar</v>
      </c>
      <c r="V417" s="1">
        <v>45693</v>
      </c>
      <c r="W417" t="str">
        <v>Alfonso Fonseca A</v>
      </c>
      <c r="X417" t="str">
        <v>Alfonso Fonseca A</v>
      </c>
      <c r="Y417"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7" s="21">
        <f>K417*O417</f>
        <v>43879460.4936</v>
      </c>
      <c r="AA417" s="21">
        <f>Z417-Q417</f>
        <v>371553.5351999998</v>
      </c>
    </row>
    <row r="418" ht="30" customHeight="1" outlineLevel="1">
      <c r="B418">
        <v>387</v>
      </c>
      <c r="C418" t="str">
        <v>Hong kong yonyou xinfushe cloud technology co</v>
      </c>
      <c r="D418" t="str">
        <v>FV-5-186</v>
      </c>
      <c r="E418" s="1">
        <v>46051</v>
      </c>
      <c r="F418" s="1">
        <v>46111</v>
      </c>
      <c r="J418" s="20">
        <f>IFERROR(IF(TODAY()&gt;=E418,(TODAY()-E418)/I418,0),0)</f>
        <v>0</v>
      </c>
      <c r="K418" s="5">
        <v>5875.38</v>
      </c>
      <c r="L418" s="5">
        <v>5875.38</v>
      </c>
      <c r="M418" s="5">
        <f>K418-L418</f>
        <v>0</v>
      </c>
      <c r="N418" s="21">
        <v>3611.28</v>
      </c>
      <c r="O418" s="21">
        <v>3642.12</v>
      </c>
      <c r="Q418" s="21">
        <f>K418*N418</f>
        <v>21217642.2864</v>
      </c>
      <c r="R418" s="21">
        <f>L418*O418</f>
        <v>21398839.005599998</v>
      </c>
      <c r="S418" s="21">
        <f>R418-Q418</f>
        <v>181196.71919999644</v>
      </c>
      <c r="T418" t="str">
        <f>IF(R418&lt;= Q418,"No Monetizar","Monetizar")</f>
        <v>Monetizar</v>
      </c>
      <c r="V418" s="1">
        <v>45693</v>
      </c>
      <c r="W418" t="str">
        <v>Alfonso Fonseca A</v>
      </c>
      <c r="X418" t="str">
        <v>Alfonso Fonseca A</v>
      </c>
      <c r="Y418"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8" s="21">
        <f>K418*O418</f>
        <v>21398839.005599998</v>
      </c>
      <c r="AA418" s="21">
        <f>Z418-Q418</f>
        <v>181196.71919999644</v>
      </c>
    </row>
    <row r="419" outlineLevel="1">
      <c r="B419">
        <v>388</v>
      </c>
      <c r="C419" t="str">
        <v>Root Capital</v>
      </c>
      <c r="D419" t="str">
        <v>FV-4-6611</v>
      </c>
      <c r="E419" s="1">
        <v>46064</v>
      </c>
      <c r="F419" s="1">
        <v>46124</v>
      </c>
      <c r="J419" s="20">
        <f>IFERROR(IF(TODAY()&gt;=E419,(TODAY()-E419)/I419,0),0)</f>
        <v>0</v>
      </c>
      <c r="K419" s="5">
        <v>582.12</v>
      </c>
      <c r="L419" s="5">
        <v>582.12</v>
      </c>
      <c r="M419" s="5">
        <f>K419-L419</f>
        <v>0</v>
      </c>
      <c r="N419" s="21">
        <v>3632.1</v>
      </c>
      <c r="O419" s="21">
        <v>3639</v>
      </c>
      <c r="Q419" s="21">
        <f>K419*N419</f>
        <v>2114318.052</v>
      </c>
      <c r="R419" s="21">
        <f>L419*O419</f>
        <v>2118334.68</v>
      </c>
      <c r="S419" s="21">
        <f>R419-Q419</f>
        <v>4016.628000000026</v>
      </c>
      <c r="T419" t="str">
        <f>IF(R419&lt;= Q419,"No Monetizar","Monetizar")</f>
        <v>Monetizar</v>
      </c>
      <c r="V419" s="1">
        <v>45700</v>
      </c>
      <c r="W419" t="str">
        <v>Alfonso Fonseca A</v>
      </c>
      <c r="X419" t="str">
        <v>Alfonso Fonseca A</v>
      </c>
      <c r="Y419"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19" s="21">
        <f>K419*O419</f>
        <v>2118334.68</v>
      </c>
      <c r="AA419" s="21">
        <f>Z419-Q419</f>
        <v>4016.628000000026</v>
      </c>
    </row>
    <row r="420" outlineLevel="1">
      <c r="B420">
        <v>389</v>
      </c>
      <c r="C420" t="str">
        <v>Root Capital</v>
      </c>
      <c r="D420" t="str">
        <v>FV-5-177</v>
      </c>
      <c r="E420" s="1">
        <v>46064</v>
      </c>
      <c r="F420" s="1">
        <v>46124</v>
      </c>
      <c r="J420" s="20">
        <f>IFERROR(IF(TODAY()&gt;=E420,(TODAY()-E420)/I420,0),0)</f>
        <v>0</v>
      </c>
      <c r="K420" s="5">
        <v>6467.97</v>
      </c>
      <c r="L420" s="5">
        <v>6467.97</v>
      </c>
      <c r="M420" s="5">
        <f>K420-L420</f>
        <v>0</v>
      </c>
      <c r="N420" s="21">
        <v>3632.1</v>
      </c>
      <c r="O420" s="21">
        <v>3639</v>
      </c>
      <c r="Q420" s="21">
        <f>K420*N420</f>
        <v>23492313.837</v>
      </c>
      <c r="R420" s="21">
        <f>L420*O420</f>
        <v>23536942.830000002</v>
      </c>
      <c r="S420" s="21">
        <f>R420-Q420</f>
        <v>44628.993000000715</v>
      </c>
      <c r="T420" t="str">
        <f>IF(R420&lt;= Q420,"No Monetizar","Monetizar")</f>
        <v>Monetizar</v>
      </c>
      <c r="V420" s="1">
        <v>45700</v>
      </c>
      <c r="W420" t="str">
        <v>Alfonso Fonseca A</v>
      </c>
      <c r="X420" t="str">
        <v>Alfonso Fonseca A</v>
      </c>
      <c r="Y420"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20" s="21">
        <f>K420*O420</f>
        <v>23536942.830000002</v>
      </c>
      <c r="AA420" s="21">
        <f>Z420-Q420</f>
        <v>44628.993000000715</v>
      </c>
    </row>
    <row r="421" outlineLevel="1">
      <c r="B421">
        <v>390</v>
      </c>
      <c r="C421" t="str">
        <v>Root Capital</v>
      </c>
      <c r="D421" t="str">
        <v>FV-5-180</v>
      </c>
      <c r="E421" s="1">
        <v>46064</v>
      </c>
      <c r="F421" s="1">
        <v>46124</v>
      </c>
      <c r="J421" s="20">
        <f>IFERROR(IF(TODAY()&gt;=E421,(TODAY()-E421)/I421,0),0)</f>
        <v>0</v>
      </c>
      <c r="K421" s="5">
        <v>2182.6</v>
      </c>
      <c r="L421" s="5">
        <v>2182.6</v>
      </c>
      <c r="M421" s="5">
        <f>K421-L421</f>
        <v>0</v>
      </c>
      <c r="N421" s="21">
        <v>3632.1</v>
      </c>
      <c r="O421" s="21">
        <v>3639</v>
      </c>
      <c r="Q421" s="21">
        <f>K421*N421</f>
        <v>7927421.459999999</v>
      </c>
      <c r="R421" s="21">
        <f>L421*O421</f>
        <v>7942481.399999999</v>
      </c>
      <c r="S421" s="21">
        <f>R421-Q421</f>
        <v>15059.94000000041</v>
      </c>
      <c r="T421" t="str">
        <f>IF(R421&lt;= Q421,"No Monetizar","Monetizar")</f>
        <v>Monetizar</v>
      </c>
      <c r="V421" s="1">
        <v>45700</v>
      </c>
      <c r="W421" t="str">
        <v>Alfonso Fonseca A</v>
      </c>
      <c r="X421" t="str">
        <v>Alfonso Fonseca A</v>
      </c>
      <c r="Y421"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21" s="21">
        <f>K421*O421</f>
        <v>7942481.399999999</v>
      </c>
      <c r="AA421" s="21">
        <f>Z421-Q421</f>
        <v>15059.94000000041</v>
      </c>
    </row>
    <row r="422" outlineLevel="1">
      <c r="B422">
        <v>391</v>
      </c>
      <c r="C422" t="str">
        <v>Safeguard</v>
      </c>
      <c r="D422">
        <v>6400</v>
      </c>
      <c r="E422" s="1">
        <v>46008</v>
      </c>
      <c r="F422" s="1">
        <v>46068</v>
      </c>
      <c r="J422" s="20">
        <f>IFERROR(IF(TODAY()&gt;=E422,(TODAY()-E422)/I422,0),0)</f>
        <v>0</v>
      </c>
      <c r="K422" s="5">
        <v>1939.5</v>
      </c>
      <c r="L422" s="5">
        <v>1939.5</v>
      </c>
      <c r="M422" s="5">
        <f>K422-L422</f>
        <v>0</v>
      </c>
      <c r="N422" s="21">
        <v>3874.84</v>
      </c>
      <c r="O422" s="21">
        <v>3660</v>
      </c>
      <c r="Q422" s="21">
        <f>K422*N422</f>
        <v>7515252.180000001</v>
      </c>
      <c r="R422" s="21">
        <f>L422*O422</f>
        <v>7098570</v>
      </c>
      <c r="S422" s="21">
        <f>R422-Q422</f>
        <v>-416682.18000000063</v>
      </c>
      <c r="T422" t="str">
        <f>IF(R422&lt;= Q422,"No Monetizar","Monetizar")</f>
        <v>No Monetizar</v>
      </c>
      <c r="V422" s="1">
        <v>46066</v>
      </c>
      <c r="W422" t="str">
        <v>Alfonso Fonseca A</v>
      </c>
      <c r="X422" t="str">
        <v>Alfonso Fonseca A</v>
      </c>
      <c r="Y422"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2" s="21">
        <f>K422*O422</f>
        <v>7098570</v>
      </c>
      <c r="AA422" s="21">
        <f>Z422-Q422</f>
        <v>-416682.18000000063</v>
      </c>
    </row>
    <row r="423" outlineLevel="1">
      <c r="B423">
        <v>392</v>
      </c>
      <c r="C423" t="str">
        <v>Safeguard</v>
      </c>
      <c r="D423">
        <v>6401</v>
      </c>
      <c r="E423" s="1">
        <v>46008</v>
      </c>
      <c r="F423" s="1">
        <v>46068</v>
      </c>
      <c r="J423" s="20">
        <f>IFERROR(IF(TODAY()&gt;=E423,(TODAY()-E423)/I423,0),0)</f>
        <v>0</v>
      </c>
      <c r="K423" s="5">
        <v>1136.29</v>
      </c>
      <c r="L423" s="5">
        <v>1136.29</v>
      </c>
      <c r="M423" s="5">
        <f>K423-L423</f>
        <v>0</v>
      </c>
      <c r="N423" s="21">
        <v>3874.84</v>
      </c>
      <c r="O423" s="21">
        <v>3660</v>
      </c>
      <c r="Q423" s="21">
        <f>K423*N423</f>
        <v>4402941.9436</v>
      </c>
      <c r="R423" s="21">
        <f>L423*O423</f>
        <v>4158821.4</v>
      </c>
      <c r="S423" s="21">
        <f>R423-Q423</f>
        <v>-244120.54359999998</v>
      </c>
      <c r="T423" t="str">
        <f>IF(R423&lt;= Q423,"No Monetizar","Monetizar")</f>
        <v>No Monetizar</v>
      </c>
      <c r="V423" s="1">
        <v>46066</v>
      </c>
      <c r="W423" t="str">
        <v>Alfonso Fonseca A</v>
      </c>
      <c r="X423" t="str">
        <v>Alfonso Fonseca A</v>
      </c>
      <c r="Y423"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3" s="21">
        <f>K423*O423</f>
        <v>4158821.4</v>
      </c>
      <c r="AA423" s="21">
        <f>Z423-Q423</f>
        <v>-244120.54359999998</v>
      </c>
    </row>
    <row r="424" outlineLevel="1">
      <c r="B424">
        <v>393</v>
      </c>
      <c r="C424" t="str">
        <v>Safeguard</v>
      </c>
      <c r="D424">
        <v>6384</v>
      </c>
      <c r="E424" s="1">
        <v>46008</v>
      </c>
      <c r="F424" s="1">
        <v>46068</v>
      </c>
      <c r="J424" s="20">
        <f>IFERROR(IF(TODAY()&gt;=E424,(TODAY()-E424)/I424,0),0)</f>
        <v>0</v>
      </c>
      <c r="K424" s="5">
        <v>2847.22</v>
      </c>
      <c r="L424" s="5">
        <v>2847.22</v>
      </c>
      <c r="M424" s="5">
        <f>K424-L424</f>
        <v>0</v>
      </c>
      <c r="N424" s="21">
        <v>3876.6</v>
      </c>
      <c r="O424" s="21">
        <v>3660</v>
      </c>
      <c r="Q424" s="21">
        <f>K424*N424</f>
        <v>11037533.052</v>
      </c>
      <c r="R424" s="21">
        <f>L424*O424</f>
        <v>10420825.2</v>
      </c>
      <c r="S424" s="21">
        <f>R424-Q424</f>
        <v>-616707.852</v>
      </c>
      <c r="T424" t="str">
        <f>IF(R424&lt;= Q424,"No Monetizar","Monetizar")</f>
        <v>No Monetizar</v>
      </c>
      <c r="V424" s="1">
        <v>46066</v>
      </c>
      <c r="W424" t="str">
        <v>Alfonso Fonseca A</v>
      </c>
      <c r="X424" t="str">
        <v>Alfonso Fonseca A</v>
      </c>
      <c r="Y424"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4" s="21">
        <f>K424*O424</f>
        <v>10420825.2</v>
      </c>
      <c r="AA424" s="21">
        <f>Z424-Q424</f>
        <v>-616707.852</v>
      </c>
    </row>
    <row r="425" outlineLevel="1">
      <c r="B425">
        <v>394</v>
      </c>
      <c r="C425" t="str">
        <v>Safeguard</v>
      </c>
      <c r="D425">
        <v>6385</v>
      </c>
      <c r="E425" s="1">
        <v>46008</v>
      </c>
      <c r="F425" s="1">
        <v>46068</v>
      </c>
      <c r="J425" s="20">
        <f>IFERROR(IF(TODAY()&gt;=E425,(TODAY()-E425)/I425,0),0)</f>
        <v>0</v>
      </c>
      <c r="K425" s="5">
        <v>2880</v>
      </c>
      <c r="L425" s="5">
        <v>2880</v>
      </c>
      <c r="M425" s="5">
        <f>K425-L425</f>
        <v>0</v>
      </c>
      <c r="N425" s="21">
        <v>3876.6</v>
      </c>
      <c r="O425" s="21">
        <v>3660</v>
      </c>
      <c r="Q425" s="21">
        <f>K425*N425</f>
        <v>11164608</v>
      </c>
      <c r="R425" s="21">
        <f>L425*O425</f>
        <v>10540800</v>
      </c>
      <c r="S425" s="21">
        <f>R425-Q425</f>
        <v>-623808</v>
      </c>
      <c r="T425" t="str">
        <f>IF(R425&lt;= Q425,"No Monetizar","Monetizar")</f>
        <v>No Monetizar</v>
      </c>
      <c r="V425" s="1">
        <v>46066</v>
      </c>
      <c r="W425" t="str">
        <v>Alfonso Fonseca A</v>
      </c>
      <c r="X425" t="str">
        <v>Alfonso Fonseca A</v>
      </c>
      <c r="Y425"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5" s="21">
        <f>K425*O425</f>
        <v>10540800</v>
      </c>
      <c r="AA425" s="21">
        <f>Z425-Q425</f>
        <v>-623808</v>
      </c>
    </row>
    <row r="426" outlineLevel="1">
      <c r="B426">
        <v>395</v>
      </c>
      <c r="C426" t="str">
        <v>Global Project</v>
      </c>
      <c r="D426">
        <v>6315</v>
      </c>
      <c r="E426" s="1">
        <v>46007</v>
      </c>
      <c r="F426" s="1">
        <v>46067</v>
      </c>
      <c r="J426" s="20">
        <f>IFERROR(IF(TODAY()&gt;=E426,(TODAY()-E426)/I426,0),0)</f>
        <v>0</v>
      </c>
      <c r="K426" s="5">
        <v>700</v>
      </c>
      <c r="L426" s="5">
        <v>698.2342272347745</v>
      </c>
      <c r="M426" s="5">
        <f>K426-L426</f>
        <v>1.7657727652255062</v>
      </c>
      <c r="N426" s="21">
        <v>3844.47</v>
      </c>
      <c r="O426" s="21">
        <v>3660</v>
      </c>
      <c r="Q426" s="21">
        <f>K426*N426</f>
        <v>2691129</v>
      </c>
      <c r="R426" s="21">
        <f>L426*O426</f>
        <v>2555537.2716792747</v>
      </c>
      <c r="S426" s="21">
        <f>R426-Q426</f>
        <v>-135591.72832072526</v>
      </c>
      <c r="T426" t="str">
        <f>IF(R426&lt;= Q426,"No Monetizar","Monetizar")</f>
        <v>No Monetizar</v>
      </c>
      <c r="V426" s="1">
        <v>46066</v>
      </c>
      <c r="W426" t="str">
        <v>Alfonso Fonseca A</v>
      </c>
      <c r="X426" t="str">
        <v>Alfonso Fonseca A</v>
      </c>
      <c r="Y426"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6" s="21">
        <f>K426*O426</f>
        <v>2562000</v>
      </c>
      <c r="AA426" s="21">
        <f>Z426-Q426</f>
        <v>-129129</v>
      </c>
    </row>
    <row r="427" outlineLevel="1">
      <c r="B427">
        <v>396</v>
      </c>
      <c r="C427" t="str">
        <v>Global Project</v>
      </c>
      <c r="D427" t="str">
        <v>FV-5-27</v>
      </c>
      <c r="E427" s="1">
        <v>46007</v>
      </c>
      <c r="F427" s="1">
        <v>46067</v>
      </c>
      <c r="J427" s="20">
        <f>IFERROR(IF(TODAY()&gt;=E427,(TODAY()-E427)/I427,0),0)</f>
        <v>0</v>
      </c>
      <c r="K427" s="5">
        <v>985.76</v>
      </c>
      <c r="L427" s="5">
        <v>983.2733883413591</v>
      </c>
      <c r="M427" s="5">
        <f>K427-L427</f>
        <v>2.486611658640868</v>
      </c>
      <c r="N427" s="21">
        <v>4034.18</v>
      </c>
      <c r="O427" s="21">
        <v>3660</v>
      </c>
      <c r="Q427" s="21">
        <f>K427*N427</f>
        <v>3976733.2767999996</v>
      </c>
      <c r="R427" s="21">
        <f>L427*O427</f>
        <v>3598780.6013293746</v>
      </c>
      <c r="S427" s="21">
        <f>R427-Q427</f>
        <v>-377952.67547062505</v>
      </c>
      <c r="T427" t="str">
        <f>IF(R427&lt;= Q427,"No Monetizar","Monetizar")</f>
        <v>No Monetizar</v>
      </c>
      <c r="V427" s="1">
        <v>46066</v>
      </c>
      <c r="W427" t="str">
        <v>Alfonso Fonseca A</v>
      </c>
      <c r="X427" t="str">
        <v>Alfonso Fonseca A</v>
      </c>
      <c r="Y427"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7" s="21">
        <f>K427*O427</f>
        <v>3607881.6</v>
      </c>
      <c r="AA427" s="21">
        <f>Z427-Q427</f>
        <v>-368851.67679999955</v>
      </c>
    </row>
    <row r="428" outlineLevel="1">
      <c r="B428">
        <v>397</v>
      </c>
      <c r="C428" t="str">
        <v>Global Project</v>
      </c>
      <c r="D428" t="str">
        <v>FV-5-47</v>
      </c>
      <c r="E428" s="1">
        <v>46007</v>
      </c>
      <c r="F428" s="1">
        <v>46067</v>
      </c>
      <c r="J428" s="20">
        <f>IFERROR(IF(TODAY()&gt;=E428,(TODAY()-E428)/I428,0),0)</f>
        <v>0</v>
      </c>
      <c r="K428" s="5">
        <v>2278.51</v>
      </c>
      <c r="L428" s="5">
        <v>2272.762384423866</v>
      </c>
      <c r="M428" s="5">
        <f>K428-L428</f>
        <v>5.747615576134194</v>
      </c>
      <c r="N428" s="21">
        <v>3857</v>
      </c>
      <c r="O428" s="21">
        <v>3660</v>
      </c>
      <c r="Q428" s="21">
        <f>K428*N428</f>
        <v>8788213.07</v>
      </c>
      <c r="R428" s="21">
        <f>L428*O428</f>
        <v>8318310.326991349</v>
      </c>
      <c r="S428" s="21">
        <f>R428-Q428</f>
        <v>-469902.74300865084</v>
      </c>
      <c r="T428" t="str">
        <f>IF(R428&lt;= Q428,"No Monetizar","Monetizar")</f>
        <v>No Monetizar</v>
      </c>
      <c r="V428" s="1">
        <v>46066</v>
      </c>
      <c r="W428" t="str">
        <v>Alfonso Fonseca A</v>
      </c>
      <c r="X428" t="str">
        <v>Alfonso Fonseca A</v>
      </c>
      <c r="Y428"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8" s="21">
        <f>K428*O428</f>
        <v>8339346.600000001</v>
      </c>
      <c r="AA428" s="21">
        <f>Z428-Q428</f>
        <v>-448866.46999999974</v>
      </c>
    </row>
    <row r="429" ht="30" customHeight="1" outlineLevel="1">
      <c r="B429">
        <v>398</v>
      </c>
      <c r="C429" t="str">
        <v>Deel</v>
      </c>
      <c r="D429" t="str">
        <v>6407-6408-6409-6410-6411-6412-6413-6491-6492-6493-6494-6495</v>
      </c>
      <c r="E429" s="1">
        <v>46013</v>
      </c>
      <c r="F429" s="1">
        <v>46073</v>
      </c>
      <c r="J429" s="20">
        <f>IFERROR(IF(TODAY()&gt;=E429,(TODAY()-E429)/I429,0),0)</f>
        <v>0</v>
      </c>
      <c r="K429" s="5">
        <v>10676.43</v>
      </c>
      <c r="L429" s="5">
        <v>10661.43</v>
      </c>
      <c r="M429" s="5">
        <f>K429-L429</f>
        <v>15</v>
      </c>
      <c r="N429" s="21">
        <v>3870.42</v>
      </c>
      <c r="O429" s="21">
        <v>3660</v>
      </c>
      <c r="Q429" s="21">
        <f>K429*N429</f>
        <v>41322268.2006</v>
      </c>
      <c r="R429" s="21">
        <f>L429*O429</f>
        <v>39020833.800000004</v>
      </c>
      <c r="S429" s="21">
        <f>R429-Q429</f>
        <v>-2301434.4005999938</v>
      </c>
      <c r="T429" t="str">
        <f>IF(R429&lt;= Q429,"No Monetizar","Monetizar")</f>
        <v>No Monetizar</v>
      </c>
      <c r="V429" s="1">
        <v>46066</v>
      </c>
      <c r="W429" t="str">
        <v>Alfonso Fonseca A</v>
      </c>
      <c r="X429" t="str">
        <v>Alfonso Fonseca A</v>
      </c>
      <c r="Y429"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29" s="21">
        <f>K429*O429</f>
        <v>39075733.800000004</v>
      </c>
      <c r="AA429" s="21">
        <f>Z429-Q429</f>
        <v>-2246534.4005999938</v>
      </c>
    </row>
    <row r="430" ht="30" customHeight="1" outlineLevel="1">
      <c r="B430">
        <v>399</v>
      </c>
      <c r="C430" t="str">
        <v>Deel</v>
      </c>
      <c r="D430" t="str">
        <v>6415-6416-6417-6496-6497-6498-6499-126</v>
      </c>
      <c r="E430" s="1">
        <v>46013</v>
      </c>
      <c r="F430" s="1">
        <v>46073</v>
      </c>
      <c r="J430" s="20">
        <f>IFERROR(IF(TODAY()&gt;=E430,(TODAY()-E430)/I430,0),0)</f>
        <v>0</v>
      </c>
      <c r="K430" s="5">
        <v>3887.76</v>
      </c>
      <c r="L430" s="5">
        <v>3887.76</v>
      </c>
      <c r="M430" s="5">
        <f>K430-L430</f>
        <v>0</v>
      </c>
      <c r="N430" s="21">
        <f>(3773.6+3870.42)/2</f>
        <v>3822.01</v>
      </c>
      <c r="O430" s="21">
        <v>3660</v>
      </c>
      <c r="Q430" s="21">
        <f>K430*N430</f>
        <v>14859057.597600002</v>
      </c>
      <c r="R430" s="21">
        <f>L430*O430</f>
        <v>14229201.600000001</v>
      </c>
      <c r="S430" s="21">
        <f>R430-Q430</f>
        <v>-629855.9976000004</v>
      </c>
      <c r="T430" t="str">
        <f>IF(R430&lt;= Q430,"No Monetizar","Monetizar")</f>
        <v>No Monetizar</v>
      </c>
      <c r="V430" s="1">
        <v>46066</v>
      </c>
      <c r="W430" t="str">
        <v>Alfonso Fonseca A</v>
      </c>
      <c r="X430" t="str">
        <v>Alfonso Fonseca A</v>
      </c>
      <c r="Y430"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0" s="21">
        <f>K430*O430</f>
        <v>14229201.600000001</v>
      </c>
      <c r="AA430" s="21">
        <f>Z430-Q430</f>
        <v>-629855.9976000004</v>
      </c>
    </row>
    <row r="431" outlineLevel="1">
      <c r="B431">
        <v>400</v>
      </c>
      <c r="C431" t="str">
        <v>Deel</v>
      </c>
      <c r="D431" t="str">
        <v>6165-6166-6167-6168-6169-6170-6171-6172-6173-6174-6249-6250-6251-6252-6253-6254-6255-6256-6257-6486-6487-6488-6489-6490-6581-6582-6583-6586-6587-6588-6589</v>
      </c>
      <c r="E431" s="1">
        <v>46044</v>
      </c>
      <c r="F431" s="1">
        <v>46104</v>
      </c>
      <c r="J431" s="20">
        <f>IFERROR(IF(TODAY()&gt;=E431,(TODAY()-E431)/I431,0),0)</f>
        <v>0</v>
      </c>
      <c r="K431" s="5">
        <v>37704.08</v>
      </c>
      <c r="L431" s="5">
        <v>37689.08</v>
      </c>
      <c r="M431" s="5">
        <f>K431-L431</f>
        <v>15</v>
      </c>
      <c r="N431" s="21">
        <f>(4179.69+4019.09+3773.6+3706.97+3706.97)/5</f>
        <v>3877.264</v>
      </c>
      <c r="O431" s="21">
        <v>3660</v>
      </c>
      <c r="Q431" s="21">
        <f>K431*N431</f>
        <v>146188672.03712</v>
      </c>
      <c r="R431" s="21">
        <f>L431*O431</f>
        <v>137942032.8</v>
      </c>
      <c r="S431" s="21">
        <f>R431-Q431</f>
        <v>-8246639.2371200025</v>
      </c>
      <c r="T431" t="str">
        <f>IF(R431&lt;= Q431,"No Monetizar","Monetizar")</f>
        <v>No Monetizar</v>
      </c>
      <c r="V431" s="1">
        <v>46066</v>
      </c>
      <c r="W431" t="str">
        <v>Alfonso Fonseca A</v>
      </c>
      <c r="X431" t="str">
        <v>Alfonso Fonseca A</v>
      </c>
      <c r="Y431"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1" s="21">
        <f>K431*O431</f>
        <v>137996932.8</v>
      </c>
      <c r="AA431" s="21">
        <f>Z431-Q431</f>
        <v>-8191739.2371200025</v>
      </c>
    </row>
    <row r="432" ht="45" customHeight="1" outlineLevel="1">
      <c r="B432">
        <v>401</v>
      </c>
      <c r="C432" t="str">
        <v>Deel</v>
      </c>
      <c r="D432" t="str">
        <v>6175-6176-6177-6178-6179-6258-6259-6260-6261-6262-6500-6592-164-6593-6594</v>
      </c>
      <c r="E432" s="1">
        <v>46044</v>
      </c>
      <c r="F432" s="1">
        <v>46104</v>
      </c>
      <c r="J432" s="20">
        <f>IFERROR(IF(TODAY()&gt;=E432,(TODAY()-E432)/I432,0),0)</f>
        <v>0</v>
      </c>
      <c r="K432" s="5">
        <v>28920.49</v>
      </c>
      <c r="L432" s="5">
        <v>28920.49</v>
      </c>
      <c r="M432" s="5">
        <f>K432-L432</f>
        <v>0</v>
      </c>
      <c r="N432" s="21">
        <f>(4179.69+4019.09+3773.6+3706.97+3706.97)/5</f>
        <v>3877.264</v>
      </c>
      <c r="O432" s="21">
        <v>3660</v>
      </c>
      <c r="Q432" s="21">
        <f>K432*N432</f>
        <v>112132374.73936</v>
      </c>
      <c r="R432" s="21">
        <f>L432*O432</f>
        <v>105848993.4</v>
      </c>
      <c r="S432" s="21">
        <f>R432-Q432</f>
        <v>-6283381.339359999</v>
      </c>
      <c r="T432" t="str">
        <f>IF(R432&lt;= Q432,"No Monetizar","Monetizar")</f>
        <v>No Monetizar</v>
      </c>
      <c r="V432" s="1">
        <v>46066</v>
      </c>
      <c r="W432" t="str">
        <v>Alfonso Fonseca A</v>
      </c>
      <c r="X432" t="str">
        <v>Alfonso Fonseca A</v>
      </c>
      <c r="Y432"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2" s="21">
        <f>K432*O432</f>
        <v>105848993.4</v>
      </c>
      <c r="AA432" s="21">
        <f>Z432-Q432</f>
        <v>-6283381.339359999</v>
      </c>
    </row>
    <row r="433" outlineLevel="1">
      <c r="B433">
        <v>402</v>
      </c>
      <c r="C433" t="str">
        <v>Deel</v>
      </c>
      <c r="D433" t="str">
        <v>6584-6585</v>
      </c>
      <c r="E433" s="1">
        <v>46044</v>
      </c>
      <c r="F433" s="1">
        <v>46104</v>
      </c>
      <c r="J433" s="20">
        <f>IFERROR(IF(TODAY()&gt;=E433,(TODAY()-E433)/I433,0),0)</f>
        <v>0</v>
      </c>
      <c r="K433" s="5">
        <v>2153.04</v>
      </c>
      <c r="L433" s="5">
        <v>2143.04</v>
      </c>
      <c r="M433" s="5">
        <f>K433-L433</f>
        <v>10</v>
      </c>
      <c r="N433" s="21">
        <v>3706.97</v>
      </c>
      <c r="O433" s="21">
        <v>3660</v>
      </c>
      <c r="Q433" s="21">
        <f>K433*N433</f>
        <v>7981254.6888</v>
      </c>
      <c r="R433" s="21">
        <f>L433*O433</f>
        <v>7843526.399999999</v>
      </c>
      <c r="S433" s="21">
        <f>R433-Q433</f>
        <v>-137728.2888000002</v>
      </c>
      <c r="T433" t="str">
        <f>IF(R433&lt;= Q433,"No Monetizar","Monetizar")</f>
        <v>No Monetizar</v>
      </c>
      <c r="V433" s="1">
        <v>46066</v>
      </c>
      <c r="W433" t="str">
        <v>Alfonso Fonseca A</v>
      </c>
      <c r="X433" t="str">
        <v>Alfonso Fonseca A</v>
      </c>
      <c r="Y433"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3" s="21">
        <f>K433*O433</f>
        <v>7880126.399999999</v>
      </c>
      <c r="AA433" s="21">
        <f>Z433-Q433</f>
        <v>-101128.28880000021</v>
      </c>
    </row>
    <row r="434" outlineLevel="1">
      <c r="B434">
        <v>403</v>
      </c>
      <c r="C434" t="str">
        <v>Deel</v>
      </c>
      <c r="D434" t="str">
        <v>6590-6591</v>
      </c>
      <c r="E434" s="1">
        <v>46044</v>
      </c>
      <c r="F434" s="1">
        <v>46104</v>
      </c>
      <c r="J434" s="20">
        <f>IFERROR(IF(TODAY()&gt;=E434,(TODAY()-E434)/I434,0),0)</f>
        <v>0</v>
      </c>
      <c r="K434" s="5">
        <v>750.62</v>
      </c>
      <c r="L434" s="5">
        <v>750.62</v>
      </c>
      <c r="M434" s="5">
        <f>K434-L434</f>
        <v>0</v>
      </c>
      <c r="N434" s="21">
        <v>3706.97</v>
      </c>
      <c r="O434" s="21">
        <v>3660</v>
      </c>
      <c r="Q434" s="21">
        <f>K434*N434</f>
        <v>2782525.8214</v>
      </c>
      <c r="R434" s="21">
        <f>L434*O434</f>
        <v>2747269.2</v>
      </c>
      <c r="S434" s="21">
        <f>R434-Q434</f>
        <v>-35256.621399999596</v>
      </c>
      <c r="T434" t="str">
        <f>IF(R434&lt;= Q434,"No Monetizar","Monetizar")</f>
        <v>No Monetizar</v>
      </c>
      <c r="V434" s="1">
        <v>46066</v>
      </c>
      <c r="W434" t="str">
        <v>Alfonso Fonseca A</v>
      </c>
      <c r="X434" t="str">
        <v>Alfonso Fonseca A</v>
      </c>
      <c r="Y434"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4" s="21">
        <f>K434*O434</f>
        <v>2747269.2</v>
      </c>
      <c r="AA434" s="21">
        <f>Z434-Q434</f>
        <v>-35256.621399999596</v>
      </c>
    </row>
    <row r="435" outlineLevel="1">
      <c r="B435">
        <v>404</v>
      </c>
      <c r="C435" t="str">
        <v>Safeguard</v>
      </c>
      <c r="D435">
        <v>6482</v>
      </c>
      <c r="E435" s="1">
        <v>46052</v>
      </c>
      <c r="F435" s="1">
        <v>46112</v>
      </c>
      <c r="J435" s="20">
        <f>IFERROR(IF(TODAY()&gt;=E435,(TODAY()-E435)/I435,0),0)</f>
        <v>0</v>
      </c>
      <c r="K435" s="5">
        <v>3595.73</v>
      </c>
      <c r="L435" s="5">
        <v>3595.73</v>
      </c>
      <c r="M435" s="5">
        <f>K435-L435</f>
        <v>0</v>
      </c>
      <c r="N435" s="21">
        <v>3773.6</v>
      </c>
      <c r="O435" s="21">
        <v>3660</v>
      </c>
      <c r="Q435" s="21">
        <f>K435*N435</f>
        <v>13568846.728</v>
      </c>
      <c r="R435" s="21">
        <f>L435*O435</f>
        <v>13160371.8</v>
      </c>
      <c r="S435" s="21">
        <f>R435-Q435</f>
        <v>-408474.9279999994</v>
      </c>
      <c r="T435" t="str">
        <f>IF(R435&lt;= Q435,"No Monetizar","Monetizar")</f>
        <v>No Monetizar</v>
      </c>
      <c r="V435" s="1">
        <v>46066</v>
      </c>
      <c r="W435" t="str">
        <v>Alfonso Fonseca A</v>
      </c>
      <c r="X435" t="str">
        <v>Alfonso Fonseca A</v>
      </c>
      <c r="Y435"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5" s="21">
        <f>K435*O435</f>
        <v>13160371.8</v>
      </c>
      <c r="AA435" s="21">
        <f>Z435-Q435</f>
        <v>-408474.9279999994</v>
      </c>
    </row>
    <row r="436" outlineLevel="1">
      <c r="B436">
        <v>405</v>
      </c>
      <c r="C436" t="str">
        <v>Safeguard</v>
      </c>
      <c r="D436">
        <v>6483</v>
      </c>
      <c r="E436" s="1">
        <v>46052</v>
      </c>
      <c r="F436" s="1">
        <v>46112</v>
      </c>
      <c r="J436" s="20">
        <f>IFERROR(IF(TODAY()&gt;=E436,(TODAY()-E436)/I436,0),0)</f>
        <v>0</v>
      </c>
      <c r="K436" s="5">
        <v>1240.35</v>
      </c>
      <c r="L436" s="5">
        <v>1240.35</v>
      </c>
      <c r="M436" s="5">
        <f>K436-L436</f>
        <v>0</v>
      </c>
      <c r="N436" s="21">
        <v>3773.6</v>
      </c>
      <c r="O436" s="21">
        <v>3660</v>
      </c>
      <c r="Q436" s="21">
        <f>K436*N436</f>
        <v>4680584.76</v>
      </c>
      <c r="R436" s="21">
        <f>L436*O436</f>
        <v>4539681</v>
      </c>
      <c r="S436" s="21">
        <f>R436-Q436</f>
        <v>-140903.75999999978</v>
      </c>
      <c r="T436" t="str">
        <f>IF(R436&lt;= Q436,"No Monetizar","Monetizar")</f>
        <v>No Monetizar</v>
      </c>
      <c r="V436" s="1">
        <v>46066</v>
      </c>
      <c r="W436" t="str">
        <v>Alfonso Fonseca A</v>
      </c>
      <c r="X436" t="str">
        <v>Alfonso Fonseca A</v>
      </c>
      <c r="Y436"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6" s="21">
        <f>K436*O436</f>
        <v>4539681</v>
      </c>
      <c r="AA436" s="21">
        <f>Z436-Q436</f>
        <v>-140903.75999999978</v>
      </c>
    </row>
    <row r="437" outlineLevel="1">
      <c r="B437">
        <v>406</v>
      </c>
      <c r="C437" t="str">
        <v>Safeguard</v>
      </c>
      <c r="D437">
        <v>6484</v>
      </c>
      <c r="E437" s="1">
        <v>46052</v>
      </c>
      <c r="F437" s="1">
        <v>46112</v>
      </c>
      <c r="J437" s="20">
        <f>IFERROR(IF(TODAY()&gt;=E437,(TODAY()-E437)/I437,0),0)</f>
        <v>0</v>
      </c>
      <c r="K437" s="5">
        <v>2280</v>
      </c>
      <c r="L437" s="5">
        <v>2280</v>
      </c>
      <c r="M437" s="5">
        <f>K437-L437</f>
        <v>0</v>
      </c>
      <c r="N437" s="21">
        <v>3773.6</v>
      </c>
      <c r="O437" s="21">
        <v>3660</v>
      </c>
      <c r="Q437" s="21">
        <f>K437*N437</f>
        <v>8603808</v>
      </c>
      <c r="R437" s="21">
        <f>L437*O437</f>
        <v>8344800</v>
      </c>
      <c r="S437" s="21">
        <f>R437-Q437</f>
        <v>-259008</v>
      </c>
      <c r="T437" t="str">
        <f>IF(R437&lt;= Q437,"No Monetizar","Monetizar")</f>
        <v>No Monetizar</v>
      </c>
      <c r="V437" s="1">
        <v>46066</v>
      </c>
      <c r="W437" t="str">
        <v>Alfonso Fonseca A</v>
      </c>
      <c r="X437" t="str">
        <v>Alfonso Fonseca A</v>
      </c>
      <c r="Y437"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7" s="21">
        <f>K437*O437</f>
        <v>8344800</v>
      </c>
      <c r="AA437" s="21">
        <f>Z437-Q437</f>
        <v>-259008</v>
      </c>
    </row>
    <row r="438" outlineLevel="1">
      <c r="B438">
        <v>407</v>
      </c>
      <c r="C438" t="str">
        <v>Global Project</v>
      </c>
      <c r="D438">
        <v>6354</v>
      </c>
      <c r="E438" s="1">
        <v>46058</v>
      </c>
      <c r="F438" s="1">
        <v>46118</v>
      </c>
      <c r="J438" s="20">
        <f>IFERROR(IF(TODAY()&gt;=E438,(TODAY()-E438)/I438,0),0)</f>
        <v>0</v>
      </c>
      <c r="K438" s="5">
        <v>700</v>
      </c>
      <c r="L438" s="5">
        <v>695</v>
      </c>
      <c r="M438" s="5">
        <f>K438-L438</f>
        <v>5</v>
      </c>
      <c r="N438" s="21">
        <v>3913.24</v>
      </c>
      <c r="O438" s="21">
        <v>3660</v>
      </c>
      <c r="Q438" s="21">
        <f>K438*N438</f>
        <v>2739268</v>
      </c>
      <c r="R438" s="21">
        <f>L438*O438</f>
        <v>2543700</v>
      </c>
      <c r="S438" s="21">
        <f>R438-Q438</f>
        <v>-195568</v>
      </c>
      <c r="T438" t="str">
        <f>IF(R438&lt;= Q438,"No Monetizar","Monetizar")</f>
        <v>No Monetizar</v>
      </c>
      <c r="V438" s="1">
        <v>46066</v>
      </c>
      <c r="W438" t="str">
        <v>Alfonso Fonseca A</v>
      </c>
      <c r="X438" t="str">
        <v>Alfonso Fonseca A</v>
      </c>
      <c r="Y438"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8" s="21">
        <f>K438*O438</f>
        <v>2562000</v>
      </c>
      <c r="AA438" s="21">
        <f>Z438-Q438</f>
        <v>-177268</v>
      </c>
    </row>
    <row r="439" ht="30" customHeight="1" outlineLevel="1">
      <c r="B439">
        <v>408</v>
      </c>
      <c r="C439" t="str">
        <v>Hong kong yonyou xinfushe cloud technology co</v>
      </c>
      <c r="D439">
        <v>6559</v>
      </c>
      <c r="E439" s="1">
        <v>46015</v>
      </c>
      <c r="F439" s="1">
        <v>46075</v>
      </c>
      <c r="J439" s="20">
        <f>IFERROR(IF(TODAY()&gt;=E439,(TODAY()-E439)/I439,0),0)</f>
        <v>0</v>
      </c>
      <c r="K439" s="5">
        <v>749.7</v>
      </c>
      <c r="L439" s="5">
        <v>749.7</v>
      </c>
      <c r="M439" s="5">
        <f>K439-L439</f>
        <v>0</v>
      </c>
      <c r="N439" s="21">
        <v>3808.77</v>
      </c>
      <c r="O439" s="21">
        <v>3660</v>
      </c>
      <c r="Q439" s="21">
        <f>K439*N439</f>
        <v>2855434.869</v>
      </c>
      <c r="R439" s="21">
        <f>L439*O439</f>
        <v>2743902</v>
      </c>
      <c r="S439" s="21">
        <f>R439-Q439</f>
        <v>-111532.86899999995</v>
      </c>
      <c r="T439" t="str">
        <f>IF(R439&lt;= Q439,"No Monetizar","Monetizar")</f>
        <v>No Monetizar</v>
      </c>
      <c r="V439" s="1">
        <v>46066</v>
      </c>
      <c r="W439" t="str">
        <v>Alfonso Fonseca A</v>
      </c>
      <c r="X439" t="str">
        <v>Alfonso Fonseca A</v>
      </c>
      <c r="Y439"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39" s="21">
        <f>K439*O439</f>
        <v>2743902</v>
      </c>
      <c r="AA439" s="21">
        <f>Z439-Q439</f>
        <v>-111532.86899999995</v>
      </c>
    </row>
    <row r="440" ht="30" customHeight="1" outlineLevel="1">
      <c r="B440">
        <v>409</v>
      </c>
      <c r="C440" t="str">
        <v>Hong kong yonyou xinfushe cloud technology co</v>
      </c>
      <c r="D440" t="str">
        <v>FV-5-152</v>
      </c>
      <c r="E440" s="1">
        <v>46015</v>
      </c>
      <c r="F440" s="1">
        <v>46075</v>
      </c>
      <c r="J440" s="20">
        <f>IFERROR(IF(TODAY()&gt;=E440,(TODAY()-E440)/I440,0),0)</f>
        <v>0</v>
      </c>
      <c r="K440" s="5">
        <v>13987.83</v>
      </c>
      <c r="L440" s="5">
        <v>13987.83</v>
      </c>
      <c r="M440" s="5">
        <f>K440-L440</f>
        <v>0</v>
      </c>
      <c r="N440" s="21">
        <v>3808.77</v>
      </c>
      <c r="O440" s="21">
        <v>3660</v>
      </c>
      <c r="Q440" s="21">
        <f>K440*N440</f>
        <v>53276427.2691</v>
      </c>
      <c r="R440" s="21">
        <f>L440*O440</f>
        <v>51195457.8</v>
      </c>
      <c r="S440" s="21">
        <f>R440-Q440</f>
        <v>-2080969.469100006</v>
      </c>
      <c r="T440" t="str">
        <f>IF(R440&lt;= Q440,"No Monetizar","Monetizar")</f>
        <v>No Monetizar</v>
      </c>
      <c r="V440" s="1">
        <v>46066</v>
      </c>
      <c r="W440" t="str">
        <v>Alfonso Fonseca A</v>
      </c>
      <c r="X440" t="str">
        <v>Alfonso Fonseca A</v>
      </c>
      <c r="Y440"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0" s="21">
        <f>K440*O440</f>
        <v>51195457.8</v>
      </c>
      <c r="AA440" s="21">
        <f>Z440-Q440</f>
        <v>-2080969.469100006</v>
      </c>
    </row>
    <row r="441" outlineLevel="1">
      <c r="B441">
        <v>410</v>
      </c>
      <c r="C441" t="str">
        <v>Insider</v>
      </c>
      <c r="D441" t="str">
        <v>FV-5-160</v>
      </c>
      <c r="E441" s="1">
        <v>46020</v>
      </c>
      <c r="F441" s="1">
        <v>46080</v>
      </c>
      <c r="J441" s="20">
        <f>IFERROR(IF(TODAY()&gt;=E441,(TODAY()-E441)/I441,0),0)</f>
        <v>0</v>
      </c>
      <c r="K441" s="5">
        <v>1045.95</v>
      </c>
      <c r="L441" s="5">
        <v>1035.95</v>
      </c>
      <c r="M441" s="5">
        <f>K441-L441</f>
        <v>10</v>
      </c>
      <c r="N441" s="21">
        <v>3798.5</v>
      </c>
      <c r="O441" s="21">
        <v>3660</v>
      </c>
      <c r="Q441" s="21">
        <f>K441*N441</f>
        <v>3973041.075</v>
      </c>
      <c r="R441" s="21">
        <f>L441*O441</f>
        <v>3791577</v>
      </c>
      <c r="S441" s="21">
        <f>R441-Q441</f>
        <v>-181464.0750000002</v>
      </c>
      <c r="T441" t="str">
        <f>IF(R441&lt;= Q441,"No Monetizar","Monetizar")</f>
        <v>No Monetizar</v>
      </c>
      <c r="V441" s="1">
        <v>46066</v>
      </c>
      <c r="W441" t="str">
        <v>Alfonso Fonseca A</v>
      </c>
      <c r="X441" t="str">
        <v>Alfonso Fonseca A</v>
      </c>
      <c r="Y441"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1" s="21">
        <f>K441*O441</f>
        <v>3828177</v>
      </c>
      <c r="AA441" s="21">
        <f>Z441-Q441</f>
        <v>-144864.0750000002</v>
      </c>
    </row>
    <row r="442" outlineLevel="1">
      <c r="B442">
        <v>411</v>
      </c>
      <c r="C442" t="str">
        <v>Neo</v>
      </c>
      <c r="D442" t="str">
        <v>FV-4-6613</v>
      </c>
      <c r="E442" s="1">
        <v>46051</v>
      </c>
      <c r="F442" s="1">
        <v>46111</v>
      </c>
      <c r="J442" s="20">
        <f>IFERROR(IF(TODAY()&gt;=E442,(TODAY()-E442)/I442,0),0)</f>
        <v>0</v>
      </c>
      <c r="K442" s="5">
        <v>1507.63</v>
      </c>
      <c r="L442" s="5">
        <v>1502.7208305406516</v>
      </c>
      <c r="M442" s="5">
        <f>K442-L442</f>
        <v>4.9091694593485045</v>
      </c>
      <c r="N442" s="21">
        <v>3644.55</v>
      </c>
      <c r="O442" s="21">
        <v>3660</v>
      </c>
      <c r="Q442" s="21">
        <f>K442*N442</f>
        <v>5494632.9165</v>
      </c>
      <c r="R442" s="21">
        <f>L442*O442</f>
        <v>5499958.239778785</v>
      </c>
      <c r="S442" s="21">
        <f>R442-Q442</f>
        <v>5325.323278784752</v>
      </c>
      <c r="T442" t="str">
        <f>IF(R442&lt;= Q442,"No Monetizar","Monetizar")</f>
        <v>Monetizar</v>
      </c>
      <c r="V442" s="1">
        <v>46066</v>
      </c>
      <c r="W442" t="str">
        <v>Alfonso Fonseca A</v>
      </c>
      <c r="X442" t="str">
        <v>Alfonso Fonseca A</v>
      </c>
      <c r="Y442"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2" s="21">
        <f>K442*O442</f>
        <v>5517925.800000001</v>
      </c>
      <c r="AA442" s="21">
        <f>Z442-Q442</f>
        <v>23292.883500000462</v>
      </c>
    </row>
    <row r="443" outlineLevel="1">
      <c r="B443">
        <v>412</v>
      </c>
      <c r="C443" t="str">
        <v>Neo</v>
      </c>
      <c r="D443" t="str">
        <v>FV-5-181</v>
      </c>
      <c r="E443" s="1">
        <v>46051</v>
      </c>
      <c r="F443" s="1">
        <v>46111</v>
      </c>
      <c r="J443" s="20">
        <f>IFERROR(IF(TODAY()&gt;=E443,(TODAY()-E443)/I443,0),0)</f>
        <v>0</v>
      </c>
      <c r="K443" s="5">
        <v>16369.899999999998</v>
      </c>
      <c r="L443" s="5">
        <v>16316.596063933064</v>
      </c>
      <c r="M443" s="5">
        <f>K443-L443</f>
        <v>53.3039360669336</v>
      </c>
      <c r="N443" s="21">
        <v>3644.55</v>
      </c>
      <c r="O443" s="21">
        <v>3660</v>
      </c>
      <c r="Q443" s="21">
        <f>K443*N443</f>
        <v>59660919.044999994</v>
      </c>
      <c r="R443" s="21">
        <f>L443*O443</f>
        <v>59718741.59399501</v>
      </c>
      <c r="S443" s="21">
        <f>R443-Q443</f>
        <v>57822.548995018005</v>
      </c>
      <c r="T443" t="str">
        <f>IF(R443&lt;= Q443,"No Monetizar","Monetizar")</f>
        <v>Monetizar</v>
      </c>
      <c r="V443" s="1">
        <v>46066</v>
      </c>
      <c r="W443" t="str">
        <v>Alfonso Fonseca A</v>
      </c>
      <c r="X443" t="str">
        <v>Alfonso Fonseca A</v>
      </c>
      <c r="Y443"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43" s="21">
        <f>K443*O443</f>
        <v>59913833.99999999</v>
      </c>
      <c r="AA443" s="21">
        <f>Z443-Q443</f>
        <v>252914.9549999982</v>
      </c>
    </row>
    <row r="444" outlineLevel="1">
      <c r="B444">
        <v>413</v>
      </c>
      <c r="C444" t="str">
        <v>Neo</v>
      </c>
      <c r="D444" t="str">
        <v>FV-4-6638</v>
      </c>
      <c r="E444" s="1">
        <v>46051</v>
      </c>
      <c r="F444" s="1">
        <v>46111</v>
      </c>
      <c r="J444" s="20">
        <f>IFERROR(IF(TODAY()&gt;=E444,(TODAY()-E444)/I444,0),0)</f>
        <v>0</v>
      </c>
      <c r="K444" s="5">
        <v>63.63</v>
      </c>
      <c r="L444" s="5">
        <v>63.42280695349764</v>
      </c>
      <c r="M444" s="5">
        <f>K444-L444</f>
        <v>0.20719304650236126</v>
      </c>
      <c r="N444" s="21">
        <v>3644.55</v>
      </c>
      <c r="O444" s="21">
        <v>3660</v>
      </c>
      <c r="Q444" s="21">
        <f>K444*N444</f>
        <v>231902.7165</v>
      </c>
      <c r="R444" s="21">
        <f>L444*O444</f>
        <v>232127.47344980136</v>
      </c>
      <c r="S444" s="21">
        <f>R444-Q444</f>
        <v>224.75694980134722</v>
      </c>
      <c r="T444" t="str">
        <f>IF(R444&lt;= Q444,"No Monetizar","Monetizar")</f>
        <v>Monetizar</v>
      </c>
      <c r="V444" s="1">
        <v>46066</v>
      </c>
      <c r="W444" t="str">
        <v>Alfonso Fonseca A</v>
      </c>
      <c r="X444" t="str">
        <v>Alfonso Fonseca A</v>
      </c>
      <c r="Y444"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44" s="21">
        <f>K444*O444</f>
        <v>232885.80000000002</v>
      </c>
      <c r="AA444" s="21">
        <f>Z444-Q444</f>
        <v>983.0835000000079</v>
      </c>
    </row>
    <row r="445" outlineLevel="1">
      <c r="B445">
        <v>414</v>
      </c>
      <c r="C445" t="str">
        <v>Neo</v>
      </c>
      <c r="D445" t="str">
        <v>FV-5-196</v>
      </c>
      <c r="E445" s="1">
        <v>46051</v>
      </c>
      <c r="F445" s="1">
        <v>46111</v>
      </c>
      <c r="J445" s="20">
        <f>IFERROR(IF(TODAY()&gt;=E445,(TODAY()-E445)/I445,0),0)</f>
        <v>0</v>
      </c>
      <c r="K445" s="5">
        <v>795.31</v>
      </c>
      <c r="L445" s="5">
        <v>792.7202985727833</v>
      </c>
      <c r="M445" s="5">
        <f>K445-L445</f>
        <v>2.589701427216596</v>
      </c>
      <c r="N445" s="21">
        <v>3644.55</v>
      </c>
      <c r="O445" s="21">
        <v>3660</v>
      </c>
      <c r="Q445" s="21">
        <f>K445*N445</f>
        <v>2898547.0605</v>
      </c>
      <c r="R445" s="21">
        <f>L445*O445</f>
        <v>2901356.292776387</v>
      </c>
      <c r="S445" s="21">
        <f>R445-Q445</f>
        <v>2809.232276387047</v>
      </c>
      <c r="T445" t="str">
        <f>IF(R445&lt;= Q445,"No Monetizar","Monetizar")</f>
        <v>Monetizar</v>
      </c>
      <c r="V445" s="1">
        <v>46066</v>
      </c>
      <c r="W445" t="str">
        <v>Alfonso Fonseca A</v>
      </c>
      <c r="X445" t="str">
        <v>Alfonso Fonseca A</v>
      </c>
      <c r="Y445" t="str">
        <v>Se monetiza el dinero por debajo de un 2% frente a lo facturado que fue de $ 3697,32. en los últimos veintisiete (28) días, un período comprendido entre el 1 de enero de 2026, cuando el dólar se cotizaba a $3,757.08, y hoy  28 de enero de 2026, con una cotización de $3,678.59 , el valor del dólar frente al peso colombiano ha disminuido en $-78.49 pesos. adicional  el banco por dolar esta pagando $ 3,632,01 y se requiere el dinero para el pago de la nómina del mes de enero de 2026 es por esto que se decide ingresarlo.</v>
      </c>
      <c r="Z445" s="21">
        <f>K445*O445</f>
        <v>2910834.5999999996</v>
      </c>
      <c r="AA445" s="21">
        <f>Z445-Q445</f>
        <v>12287.53949999949</v>
      </c>
    </row>
    <row r="446" outlineLevel="1">
      <c r="B446">
        <v>415</v>
      </c>
      <c r="C446" t="str">
        <v>Bubble BPM</v>
      </c>
      <c r="D446" t="str">
        <v>FV-4-6609</v>
      </c>
      <c r="E446" s="1">
        <v>46052</v>
      </c>
      <c r="F446" s="1">
        <v>46112</v>
      </c>
      <c r="J446" s="20">
        <f>IFERROR(IF(TODAY()&gt;=E446,(TODAY()-E446)/I446,0),0)</f>
        <v>0</v>
      </c>
      <c r="K446" s="5">
        <v>123.08</v>
      </c>
      <c r="L446" s="5">
        <v>120.10710101286614</v>
      </c>
      <c r="M446" s="5">
        <f>K446-L446</f>
        <v>2.97289898713386</v>
      </c>
      <c r="N446" s="21">
        <v>3632.01</v>
      </c>
      <c r="O446" s="21">
        <v>3660</v>
      </c>
      <c r="Q446" s="21">
        <f>K446*N446</f>
        <v>447027.7908</v>
      </c>
      <c r="R446" s="21">
        <f>L446*O446</f>
        <v>439591.9897070901</v>
      </c>
      <c r="S446" s="21">
        <f>R446-Q446</f>
        <v>-7435.80109290994</v>
      </c>
      <c r="T446" t="str">
        <f>IF(R446&lt;= Q446,"No Monetizar","Monetizar")</f>
        <v>No Monetizar</v>
      </c>
      <c r="V446" s="1">
        <v>46066</v>
      </c>
      <c r="W446" t="str">
        <v>Alfonso Fonseca A</v>
      </c>
      <c r="X446" t="str">
        <v>Alfonso Fonseca A</v>
      </c>
      <c r="Y446"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6" s="21">
        <f>K446*O446</f>
        <v>450472.8</v>
      </c>
      <c r="AA446" s="21">
        <f>Z446-Q446</f>
        <v>3445.0091999999713</v>
      </c>
    </row>
    <row r="447" outlineLevel="1">
      <c r="B447">
        <v>416</v>
      </c>
      <c r="C447" t="str">
        <v>Bubble BPM</v>
      </c>
      <c r="D447" t="str">
        <v>FV-5-175</v>
      </c>
      <c r="E447" s="1">
        <v>46052</v>
      </c>
      <c r="F447" s="1">
        <v>46112</v>
      </c>
      <c r="J447" s="20">
        <f>IFERROR(IF(TODAY()&gt;=E447,(TODAY()-E447)/I447,0),0)</f>
        <v>0</v>
      </c>
      <c r="K447" s="5">
        <v>1118.94</v>
      </c>
      <c r="L447" s="5">
        <v>1091.912898987134</v>
      </c>
      <c r="M447" s="5">
        <f>K447-L447</f>
        <v>27.02710101286607</v>
      </c>
      <c r="N447" s="21">
        <v>3632.01</v>
      </c>
      <c r="O447" s="21">
        <v>3660</v>
      </c>
      <c r="Q447" s="21">
        <f>K447*N447</f>
        <v>4064001.2694000006</v>
      </c>
      <c r="R447" s="21">
        <f>L447*O447</f>
        <v>3996401.21029291</v>
      </c>
      <c r="S447" s="21">
        <f>R447-Q447</f>
        <v>-67600.05910709035</v>
      </c>
      <c r="T447" t="str">
        <f>IF(R447&lt;= Q447,"No Monetizar","Monetizar")</f>
        <v>No Monetizar</v>
      </c>
      <c r="V447" s="1">
        <v>46066</v>
      </c>
      <c r="W447" t="str">
        <v>Alfonso Fonseca A</v>
      </c>
      <c r="X447" t="str">
        <v>Alfonso Fonseca A</v>
      </c>
      <c r="Y447"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7" s="21">
        <f>K447*O447</f>
        <v>4095320.4000000004</v>
      </c>
      <c r="AA447" s="21">
        <f>Z447-Q447</f>
        <v>31319.1305999998</v>
      </c>
    </row>
    <row r="448" outlineLevel="1">
      <c r="B448">
        <v>417</v>
      </c>
      <c r="C448" t="str">
        <v>Insider</v>
      </c>
      <c r="D448">
        <v>188</v>
      </c>
      <c r="E448" s="1">
        <v>46066</v>
      </c>
      <c r="F448" s="1">
        <v>46126</v>
      </c>
      <c r="J448" s="20">
        <f>IFERROR(IF(TODAY()&gt;=E448,(TODAY()-E448)/I448,0),0)</f>
        <v>0</v>
      </c>
      <c r="K448" s="5">
        <v>1579.46</v>
      </c>
      <c r="L448" s="5">
        <v>1564.46</v>
      </c>
      <c r="M448" s="5">
        <f>K448-L448</f>
        <v>15</v>
      </c>
      <c r="N448" s="21">
        <v>3632.46</v>
      </c>
      <c r="O448" s="21">
        <v>3628</v>
      </c>
      <c r="Q448" s="21">
        <f>K448*N448</f>
        <v>5737325.271600001</v>
      </c>
      <c r="R448" s="21">
        <f>L448*O448</f>
        <v>5675860.88</v>
      </c>
      <c r="S448" s="21">
        <f>R448-Q448</f>
        <v>-61464.39160000067</v>
      </c>
      <c r="T448" t="str">
        <f>IF(R448&lt;= Q448,"No Monetizar","Monetizar")</f>
        <v>No Monetizar</v>
      </c>
      <c r="V448" s="1">
        <v>46066</v>
      </c>
      <c r="W448" t="str">
        <v>Alfonso Fonseca A</v>
      </c>
      <c r="X448" t="str">
        <v>Alfonso Fonseca A</v>
      </c>
      <c r="Y448"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8" s="21">
        <f>K448*O448</f>
        <v>5730280.88</v>
      </c>
      <c r="AA448" s="21">
        <f>Z448-Q448</f>
        <v>-7044.391600000672</v>
      </c>
    </row>
    <row r="449" outlineLevel="1">
      <c r="B449">
        <v>418</v>
      </c>
      <c r="C449" t="str">
        <v>Action</v>
      </c>
      <c r="D449" t="str">
        <v>FV-4-6664</v>
      </c>
      <c r="E449" s="1">
        <v>46070</v>
      </c>
      <c r="F449" s="1">
        <v>46130</v>
      </c>
      <c r="J449" s="20">
        <f>IFERROR(IF(TODAY()&gt;=E449,(TODAY()-E449)/I449,0),0)</f>
        <v>0</v>
      </c>
      <c r="K449" s="5">
        <v>341.18</v>
      </c>
      <c r="L449" s="5">
        <v>341.18</v>
      </c>
      <c r="M449" s="5">
        <f>K449-L449</f>
        <v>0</v>
      </c>
      <c r="N449" s="21">
        <v>3541.41</v>
      </c>
      <c r="O449" s="21">
        <v>3647</v>
      </c>
      <c r="Q449" s="21">
        <f>K449*N449</f>
        <v>1208258.2638</v>
      </c>
      <c r="R449" s="21">
        <f>L449*O449</f>
        <v>1244283.46</v>
      </c>
      <c r="S449" s="21">
        <f>R449-Q449</f>
        <v>36025.19619999989</v>
      </c>
      <c r="T449" t="str">
        <f>IF(R449&lt;= Q449,"No Monetizar","Monetizar")</f>
        <v>Monetizar</v>
      </c>
      <c r="V449" s="1">
        <v>46070</v>
      </c>
      <c r="W449" t="str">
        <v>Alfonso Fonseca A</v>
      </c>
      <c r="X449" t="str">
        <v>Alfonso Fonseca A</v>
      </c>
      <c r="Y449"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49" s="21">
        <f>K449*O449</f>
        <v>1244283.46</v>
      </c>
      <c r="AA449" s="21">
        <f>Z449-Q449</f>
        <v>36025.19619999989</v>
      </c>
    </row>
    <row r="450" outlineLevel="1">
      <c r="B450">
        <v>419</v>
      </c>
      <c r="C450" t="str">
        <v>Action</v>
      </c>
      <c r="D450" t="str">
        <v>FV-5-203</v>
      </c>
      <c r="E450" s="1">
        <v>46070</v>
      </c>
      <c r="F450" s="1">
        <v>46130</v>
      </c>
      <c r="J450" s="20">
        <f>IFERROR(IF(TODAY()&gt;=E450,(TODAY()-E450)/I450,0),0)</f>
        <v>0</v>
      </c>
      <c r="K450" s="5">
        <v>3101.72</v>
      </c>
      <c r="L450" s="5">
        <v>3101.72</v>
      </c>
      <c r="M450" s="5">
        <f>K450-L450</f>
        <v>0</v>
      </c>
      <c r="N450" s="21">
        <v>3541.41</v>
      </c>
      <c r="O450" s="21">
        <v>3647</v>
      </c>
      <c r="Q450" s="21">
        <f>K450*N450</f>
        <v>10984462.2252</v>
      </c>
      <c r="R450" s="21">
        <f>L450*O450</f>
        <v>11311972.84</v>
      </c>
      <c r="S450" s="21">
        <f>R450-Q450</f>
        <v>327510.61480000056</v>
      </c>
      <c r="T450" t="str">
        <f>IF(R450&lt;= Q450,"No Monetizar","Monetizar")</f>
        <v>Monetizar</v>
      </c>
      <c r="V450" s="1">
        <v>46070</v>
      </c>
      <c r="W450" t="str">
        <v>Alfonso Fonseca A</v>
      </c>
      <c r="X450" t="str">
        <v>Alfonso Fonseca A</v>
      </c>
      <c r="Y450"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0" s="21">
        <f>K450*O450</f>
        <v>11311972.84</v>
      </c>
      <c r="AA450" s="21">
        <f>Z450-Q450</f>
        <v>327510.61480000056</v>
      </c>
    </row>
    <row r="451" outlineLevel="1">
      <c r="B451">
        <v>420</v>
      </c>
      <c r="C451" t="str">
        <v>Hemmebarsch GMBH &amp; Co KG</v>
      </c>
      <c r="D451" t="str">
        <v>FV-4-6623</v>
      </c>
      <c r="E451" s="1">
        <v>46071</v>
      </c>
      <c r="F451" s="1">
        <v>46131</v>
      </c>
      <c r="J451" s="20">
        <f>IFERROR(IF(TODAY()&gt;=E451,(TODAY()-E451)/I451,0),0)</f>
        <v>0</v>
      </c>
      <c r="K451" s="5">
        <v>189.02</v>
      </c>
      <c r="L451" s="5">
        <v>189.02</v>
      </c>
      <c r="M451" s="5">
        <f>K451-L451</f>
        <v>0</v>
      </c>
      <c r="N451" s="21">
        <v>3779.41</v>
      </c>
      <c r="O451" s="21">
        <v>3648</v>
      </c>
      <c r="Q451" s="21">
        <f>K451*N451</f>
        <v>714384.0782</v>
      </c>
      <c r="R451" s="21">
        <f>L451*O451</f>
        <v>689544.9600000001</v>
      </c>
      <c r="S451" s="21">
        <f>R451-Q451</f>
        <v>-24839.11819999991</v>
      </c>
      <c r="T451" t="str">
        <f>IF(R451&lt;= Q451,"No Monetizar","Monetizar")</f>
        <v>No Monetizar</v>
      </c>
      <c r="V451" s="1">
        <v>46071</v>
      </c>
      <c r="W451" t="str">
        <v>Alfonso Fonseca A</v>
      </c>
      <c r="X451" t="str">
        <v>Alfonso Fonseca A</v>
      </c>
      <c r="Y451"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1" s="21">
        <f>K451*O451</f>
        <v>689544.9600000001</v>
      </c>
      <c r="AA451" s="21">
        <f>Z451-Q451</f>
        <v>-24839.11819999991</v>
      </c>
    </row>
    <row r="452" outlineLevel="1">
      <c r="B452">
        <v>421</v>
      </c>
      <c r="C452" t="str">
        <v>Hemmebarsch GMBH &amp; Co KG</v>
      </c>
      <c r="D452" t="str">
        <v>FV-4-6624</v>
      </c>
      <c r="E452" s="1">
        <v>46071</v>
      </c>
      <c r="F452" s="1">
        <v>46131</v>
      </c>
      <c r="J452" s="20">
        <f>IFERROR(IF(TODAY()&gt;=E452,(TODAY()-E452)/I452,0),0)</f>
        <v>0</v>
      </c>
      <c r="K452" s="5">
        <v>126.25</v>
      </c>
      <c r="L452" s="5">
        <v>126.25</v>
      </c>
      <c r="M452" s="5">
        <f>K452-L452</f>
        <v>0</v>
      </c>
      <c r="N452" s="21">
        <v>3779.41</v>
      </c>
      <c r="O452" s="21">
        <f>O451</f>
        <v>3648</v>
      </c>
      <c r="Q452" s="21">
        <f>K452*N452</f>
        <v>477150.51249999995</v>
      </c>
      <c r="R452" s="21">
        <f>L452*O452</f>
        <v>460560</v>
      </c>
      <c r="S452" s="21">
        <f>R452-Q452</f>
        <v>-16590.512499999953</v>
      </c>
      <c r="T452" t="str">
        <f>IF(R452&lt;= Q452,"No Monetizar","Monetizar")</f>
        <v>No Monetizar</v>
      </c>
      <c r="V452" s="1">
        <v>46071</v>
      </c>
      <c r="W452" t="str">
        <v>Alfonso Fonseca A</v>
      </c>
      <c r="X452" t="str">
        <v>Alfonso Fonseca A</v>
      </c>
      <c r="Y452"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2" s="21">
        <f>K452*O452</f>
        <v>460560</v>
      </c>
      <c r="AA452" s="21">
        <f>Z452-Q452</f>
        <v>-16590.512499999953</v>
      </c>
    </row>
    <row r="453" outlineLevel="1">
      <c r="B453">
        <v>422</v>
      </c>
      <c r="C453" t="str">
        <v>Hemmebarsch GMBH &amp; Co KG</v>
      </c>
      <c r="D453" t="str">
        <v>FV-5-189</v>
      </c>
      <c r="E453" s="1">
        <v>46071</v>
      </c>
      <c r="F453" s="1">
        <v>46131</v>
      </c>
      <c r="J453" s="20">
        <f>IFERROR(IF(TODAY()&gt;=E453,(TODAY()-E453)/I453,0),0)</f>
        <v>0</v>
      </c>
      <c r="K453" s="5">
        <v>1890.25</v>
      </c>
      <c r="L453" s="5">
        <v>1890.25</v>
      </c>
      <c r="M453" s="5">
        <f>K453-L453</f>
        <v>0</v>
      </c>
      <c r="N453" s="21">
        <v>3779.41</v>
      </c>
      <c r="O453" s="21">
        <f>O452</f>
        <v>3648</v>
      </c>
      <c r="Q453" s="21">
        <f>K453*N453</f>
        <v>7144029.7524999995</v>
      </c>
      <c r="R453" s="21">
        <f>L453*O453</f>
        <v>6895632</v>
      </c>
      <c r="S453" s="21">
        <f>R453-Q453</f>
        <v>-248397.75249999948</v>
      </c>
      <c r="T453" t="str">
        <f>IF(R453&lt;= Q453,"No Monetizar","Monetizar")</f>
        <v>No Monetizar</v>
      </c>
      <c r="V453" s="1">
        <v>46071</v>
      </c>
      <c r="W453" t="str">
        <v>Alfonso Fonseca A</v>
      </c>
      <c r="X453" t="str">
        <v>Alfonso Fonseca A</v>
      </c>
      <c r="Y453"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3" s="21">
        <f>K453*O453</f>
        <v>6895632</v>
      </c>
      <c r="AA453" s="21">
        <f>Z453-Q453</f>
        <v>-248397.75249999948</v>
      </c>
    </row>
    <row r="454" outlineLevel="1">
      <c r="B454">
        <v>423</v>
      </c>
      <c r="C454" t="str">
        <v>Hemmebarsch GMBH &amp; Co KG</v>
      </c>
      <c r="D454" t="str">
        <v>FV-5-190</v>
      </c>
      <c r="E454" s="1">
        <v>46071</v>
      </c>
      <c r="F454" s="1">
        <v>46131</v>
      </c>
      <c r="J454" s="20">
        <f>IFERROR(IF(TODAY()&gt;=E454,(TODAY()-E454)/I454,0),0)</f>
        <v>0</v>
      </c>
      <c r="K454" s="5">
        <v>1262.48</v>
      </c>
      <c r="L454" s="5">
        <v>1262.48</v>
      </c>
      <c r="M454" s="5">
        <f>K454-L454</f>
        <v>0</v>
      </c>
      <c r="N454" s="21">
        <v>3779.41</v>
      </c>
      <c r="O454" s="21">
        <f>O453</f>
        <v>3648</v>
      </c>
      <c r="Q454" s="21">
        <f>K454*N454</f>
        <v>4771429.5368</v>
      </c>
      <c r="R454" s="21">
        <f>L454*O454</f>
        <v>4605527.04</v>
      </c>
      <c r="S454" s="21">
        <f>R454-Q454</f>
        <v>-165902.49679999985</v>
      </c>
      <c r="T454" t="str">
        <f>IF(R454&lt;= Q454,"No Monetizar","Monetizar")</f>
        <v>No Monetizar</v>
      </c>
      <c r="V454" s="1">
        <v>46071</v>
      </c>
      <c r="W454" t="str">
        <v>Alfonso Fonseca A</v>
      </c>
      <c r="X454" t="str">
        <v>Alfonso Fonseca A</v>
      </c>
      <c r="Y454" t="str">
        <v>Se monetiza el dinero por debajo de lo facturado, ya que requiere para el pago de las cesantías.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4" s="21">
        <f>K454*O454</f>
        <v>4605527.04</v>
      </c>
      <c r="AA454" s="21">
        <f>Z454-Q454</f>
        <v>-165902.49679999985</v>
      </c>
    </row>
    <row r="455" outlineLevel="1">
      <c r="B455">
        <v>424</v>
      </c>
      <c r="C455" t="str">
        <v>Remofirst</v>
      </c>
      <c r="D455" t="str">
        <v>FV-5-162</v>
      </c>
      <c r="E455" s="1">
        <v>46071</v>
      </c>
      <c r="F455" s="1">
        <v>46131</v>
      </c>
      <c r="J455" s="20">
        <f>IFERROR(IF(TODAY()&gt;=E455,(TODAY()-E455)/I455,0),0)</f>
        <v>0</v>
      </c>
      <c r="K455" s="5">
        <v>6309.27</v>
      </c>
      <c r="L455" s="5">
        <v>6309.27</v>
      </c>
      <c r="M455" s="5">
        <f>K455-L455</f>
        <v>0</v>
      </c>
      <c r="N455" s="21">
        <v>3743.01</v>
      </c>
      <c r="O455" s="21">
        <v>3648.1</v>
      </c>
      <c r="Q455" s="21">
        <f>K455*N455</f>
        <v>23615660.702700004</v>
      </c>
      <c r="R455" s="21">
        <f>L455*O455</f>
        <v>23016847.887000002</v>
      </c>
      <c r="S455" s="21">
        <f>R455-Q455</f>
        <v>-598812.815700002</v>
      </c>
      <c r="T455" t="str">
        <f>IF(R455&lt;= Q455,"No Monetizar","Monetizar")</f>
        <v>No Monetizar</v>
      </c>
      <c r="V455" s="1">
        <v>46071</v>
      </c>
      <c r="W455" t="str">
        <v>Alfonso Fonseca A</v>
      </c>
      <c r="X455" t="str">
        <v>Alfonso Fonseca A</v>
      </c>
      <c r="Y455" t="str">
        <v>Se monetiza el dinero por debajo de lo facturado, ya que requiere para el pago de las cesantías. adicional la tasa facturada a la fecha no se ha vuelto a llegar a la cifra similar o superior para que se pueda obtener  punto de equilibro o ganancia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5" s="21">
        <f>K455*O455</f>
        <v>23016847.887000002</v>
      </c>
      <c r="AA455" s="21">
        <f>Z455-Q455</f>
        <v>-598812.815700002</v>
      </c>
    </row>
    <row r="456" outlineLevel="1">
      <c r="B456">
        <v>425</v>
      </c>
      <c r="C456" t="str">
        <v>Remofirst</v>
      </c>
      <c r="D456" t="str">
        <v>FV-4-6580</v>
      </c>
      <c r="E456" s="1">
        <v>46071</v>
      </c>
      <c r="F456" s="1">
        <v>46131</v>
      </c>
      <c r="J456" s="20">
        <f>IFERROR(IF(TODAY()&gt;=E456,(TODAY()-E456)/I456,0),0)</f>
        <v>0</v>
      </c>
      <c r="K456" s="5">
        <v>714</v>
      </c>
      <c r="L456" s="5">
        <v>714</v>
      </c>
      <c r="M456" s="5">
        <f>K456-L456</f>
        <v>0</v>
      </c>
      <c r="N456" s="21">
        <v>3743.01</v>
      </c>
      <c r="O456" s="21">
        <v>3648.1</v>
      </c>
      <c r="Q456" s="21">
        <f>K456*N456</f>
        <v>2672509.14</v>
      </c>
      <c r="R456" s="21">
        <f>L456*O456</f>
        <v>2604743.4</v>
      </c>
      <c r="S456" s="21">
        <f>R456-Q456</f>
        <v>-67765.74000000022</v>
      </c>
      <c r="T456" t="str">
        <f>IF(R456&lt;= Q456,"No Monetizar","Monetizar")</f>
        <v>No Monetizar</v>
      </c>
      <c r="V456" s="1">
        <v>46071</v>
      </c>
      <c r="W456" t="str">
        <v>Alfonso Fonseca A</v>
      </c>
      <c r="X456" t="str">
        <v>Alfonso Fonseca A</v>
      </c>
      <c r="Y456"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6" s="21">
        <f>K456*O456</f>
        <v>2604743.4</v>
      </c>
      <c r="AA456" s="21">
        <f>Z456-Q456</f>
        <v>-67765.74000000022</v>
      </c>
    </row>
    <row r="457" outlineLevel="1">
      <c r="B457">
        <v>426</v>
      </c>
      <c r="C457" t="str">
        <v xml:space="preserve">Deel </v>
      </c>
      <c r="D457" t="str">
        <v>6654-6655-6656-201-6657-6658</v>
      </c>
      <c r="E457" s="1">
        <v>46071</v>
      </c>
      <c r="F457" s="1">
        <v>46131</v>
      </c>
      <c r="J457" s="20">
        <f>IFERROR(IF(TODAY()&gt;=E457,(TODAY()-E457)/I457,0),0)</f>
        <v>0</v>
      </c>
      <c r="K457" s="5">
        <v>3827.76</v>
      </c>
      <c r="L457" s="5">
        <v>3827</v>
      </c>
      <c r="M457" s="5">
        <f>K457-L457</f>
        <v>0.7600000000002183</v>
      </c>
      <c r="N457" s="21">
        <v>3661.29</v>
      </c>
      <c r="O457" s="21">
        <v>3653.2</v>
      </c>
      <c r="Q457" s="21">
        <f>K457*N457</f>
        <v>14014539.410400001</v>
      </c>
      <c r="R457" s="21">
        <f>L457*O457</f>
        <v>13980796.399999999</v>
      </c>
      <c r="S457" s="21">
        <f>R457-Q457</f>
        <v>-33743.01040000282</v>
      </c>
      <c r="T457" t="str">
        <f>IF(R457&lt;= Q457,"No Monetizar","Monetizar")</f>
        <v>No Monetizar</v>
      </c>
      <c r="V457" s="1">
        <v>46071</v>
      </c>
      <c r="W457" t="str">
        <v>Alfonso Fonseca A</v>
      </c>
      <c r="X457" t="str">
        <v>Alfonso Fonseca A</v>
      </c>
      <c r="Y457"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7" s="21">
        <f>K457*O457</f>
        <v>13983572.832</v>
      </c>
      <c r="AA457" s="21">
        <f>Z457-Q457</f>
        <v>-30966.57840000093</v>
      </c>
    </row>
    <row r="458" outlineLevel="1">
      <c r="B458">
        <v>427</v>
      </c>
      <c r="C458" t="str">
        <v xml:space="preserve">Deel </v>
      </c>
      <c r="D458" t="str">
        <v>6645-6647-6648-6650-6651-6652-6653</v>
      </c>
      <c r="E458" s="1">
        <v>46071</v>
      </c>
      <c r="F458" s="1">
        <v>46131</v>
      </c>
      <c r="J458" s="20">
        <f>IFERROR(IF(TODAY()&gt;=E458,(TODAY()-E458)/I458,0),0)</f>
        <v>0</v>
      </c>
      <c r="K458" s="5">
        <f>8661.12+10</f>
        <v>8671.12</v>
      </c>
      <c r="L458" s="5">
        <v>8661.12</v>
      </c>
      <c r="M458" s="5">
        <f>K458-L458</f>
        <v>10</v>
      </c>
      <c r="N458" s="21">
        <v>3661.29</v>
      </c>
      <c r="O458" s="21">
        <v>3653.2</v>
      </c>
      <c r="Q458" s="21">
        <f>K458*N458</f>
        <v>31747484.944800004</v>
      </c>
      <c r="R458" s="21">
        <f>L458*O458</f>
        <v>31640803.584000003</v>
      </c>
      <c r="S458" s="21">
        <f>R458-Q458</f>
        <v>-106681.36080000177</v>
      </c>
      <c r="T458" t="str">
        <f>IF(R458&lt;= Q458,"No Monetizar","Monetizar")</f>
        <v>No Monetizar</v>
      </c>
      <c r="V458" s="1">
        <v>46071</v>
      </c>
      <c r="W458" t="str">
        <v>Alfonso Fonseca A</v>
      </c>
      <c r="X458" t="str">
        <v>Alfonso Fonseca A</v>
      </c>
      <c r="Y458" t="str">
        <v>Se monetiza el dinero por debajo de lo facturado, ya que requiere para el pago impuesto de retencion en la fuente que ya se encuentra vencido y esta generando intereses de mora. Esta operación se reviso con Eduard Forero el pasado 06 de febrero en la revisión de los flujos de caja. se acordo que se monetizaría estas divisas con un valor mínimo de $ 3,650 debido a que la divisa esta muy baja y no ha superado este valor ofrecido por el banco a pagar al momento de negociar.</v>
      </c>
      <c r="Z458" s="21">
        <f>K458*O458</f>
        <v>31677335.584000003</v>
      </c>
      <c r="AA458" s="21">
        <f>Z458-Q458</f>
        <v>-70149.36080000177</v>
      </c>
    </row>
    <row r="459" outlineLevel="1">
      <c r="B459">
        <v>428</v>
      </c>
      <c r="C459" t="str">
        <v>Root capital</v>
      </c>
      <c r="D459" t="str">
        <v>FV-4-6688</v>
      </c>
      <c r="E459" s="1">
        <v>46072</v>
      </c>
      <c r="F459" s="1">
        <v>46132</v>
      </c>
      <c r="J459" s="20">
        <f>IFERROR(IF(TODAY()&gt;=E459,(TODAY()-E459)/I459,0),0)</f>
        <v>0</v>
      </c>
      <c r="K459" s="5">
        <v>524.44</v>
      </c>
      <c r="L459" s="5">
        <v>524.44</v>
      </c>
      <c r="M459" s="5">
        <f>K459-L459</f>
        <v>0</v>
      </c>
      <c r="N459" s="21">
        <v>3543.31</v>
      </c>
      <c r="O459" s="21">
        <v>3694</v>
      </c>
      <c r="Q459" s="21">
        <f>K459*N459</f>
        <v>1858253.4964</v>
      </c>
      <c r="R459" s="21">
        <f>L459*O459</f>
        <v>1937281.36</v>
      </c>
      <c r="S459" s="21">
        <f>R459-Q459</f>
        <v>79027.86360000004</v>
      </c>
      <c r="T459" t="str">
        <f>IF(R459&lt;= Q459,"No Monetizar","Monetizar")</f>
        <v>Monetizar</v>
      </c>
      <c r="V459" s="1">
        <v>46077</v>
      </c>
      <c r="W459" t="str">
        <v>Alfonso Fonseca A</v>
      </c>
      <c r="X459" t="str">
        <v>Alfonso Fonseca A</v>
      </c>
      <c r="Y459" t="str">
        <v>Se monetiza ya que el valor ofrecido por el banco en cada divisa es superior al valor facturado</v>
      </c>
      <c r="Z459" s="21">
        <f>K459*O459</f>
        <v>1937281.36</v>
      </c>
      <c r="AA459" s="21">
        <f>Z459-Q459</f>
        <v>79027.86360000004</v>
      </c>
    </row>
    <row r="460" outlineLevel="1">
      <c r="B460">
        <v>429</v>
      </c>
      <c r="C460" t="str">
        <v>Root capital</v>
      </c>
      <c r="D460" t="str">
        <v>FV-5-217</v>
      </c>
      <c r="E460" s="1">
        <v>46072</v>
      </c>
      <c r="F460" s="1">
        <v>46132</v>
      </c>
      <c r="J460" s="20">
        <f>IFERROR(IF(TODAY()&gt;=E460,(TODAY()-E460)/I460,0),0)</f>
        <v>0</v>
      </c>
      <c r="K460" s="5">
        <v>5836.34</v>
      </c>
      <c r="L460" s="5">
        <v>5836.34</v>
      </c>
      <c r="M460" s="5">
        <f>K460-L460</f>
        <v>0</v>
      </c>
      <c r="N460" s="21">
        <v>3543.31</v>
      </c>
      <c r="O460" s="21">
        <v>3694</v>
      </c>
      <c r="Q460" s="21">
        <f>K460*N460</f>
        <v>20679961.8854</v>
      </c>
      <c r="R460" s="21">
        <f>L460*O460</f>
        <v>21559439.96</v>
      </c>
      <c r="S460" s="21">
        <f>R460-Q460</f>
        <v>879478.0745999999</v>
      </c>
      <c r="T460" t="str">
        <f>IF(R460&lt;= Q460,"No Monetizar","Monetizar")</f>
        <v>Monetizar</v>
      </c>
      <c r="V460" s="1">
        <v>46077</v>
      </c>
      <c r="W460" t="str">
        <v>Alfonso Fonseca A</v>
      </c>
      <c r="X460" t="str">
        <v>Alfonso Fonseca A</v>
      </c>
      <c r="Y460" t="str">
        <v>Se monetiza ya que el valor ofrecido por el banco en cada divisa es superior al valor facturado</v>
      </c>
      <c r="Z460" s="21">
        <f>K460*O460</f>
        <v>21559439.96</v>
      </c>
      <c r="AA460" s="21">
        <f>Z460-Q460</f>
        <v>879478.0745999999</v>
      </c>
    </row>
    <row r="461" outlineLevel="1">
      <c r="B461">
        <v>430</v>
      </c>
      <c r="C461" t="str">
        <v>Flexco</v>
      </c>
      <c r="D461" t="str">
        <v>FV-4-6680</v>
      </c>
      <c r="E461" s="1">
        <v>46072</v>
      </c>
      <c r="F461" s="1">
        <v>46132</v>
      </c>
      <c r="J461" s="20">
        <f>IFERROR(IF(TODAY()&gt;=E461,(TODAY()-E461)/I461,0),0)</f>
        <v>0</v>
      </c>
      <c r="K461" s="5">
        <v>352.69</v>
      </c>
      <c r="L461" s="5">
        <v>351.864310423134</v>
      </c>
      <c r="M461" s="5">
        <f>K461-L461</f>
        <v>0.8256895768660115</v>
      </c>
      <c r="N461" s="21">
        <v>3543.31</v>
      </c>
      <c r="O461" s="21">
        <v>3694</v>
      </c>
      <c r="Q461" s="21">
        <f>K461*N461</f>
        <v>1249690.0039</v>
      </c>
      <c r="R461" s="21">
        <f>L461*O461</f>
        <v>1299786.762703057</v>
      </c>
      <c r="S461" s="21">
        <f>R461-Q461</f>
        <v>50096.75880305702</v>
      </c>
      <c r="T461" t="str">
        <f>IF(R461&lt;= Q461,"No Monetizar","Monetizar")</f>
        <v>Monetizar</v>
      </c>
      <c r="V461" s="1">
        <v>46077</v>
      </c>
      <c r="W461" t="str">
        <v>Alfonso Fonseca A</v>
      </c>
      <c r="X461" t="str">
        <v>Alfonso Fonseca A</v>
      </c>
      <c r="Y461" t="str">
        <v>Se monetiza ya que el valor ofrecido por el banco en cada divisa es superior al valor facturado</v>
      </c>
      <c r="Z461" s="21">
        <f>K461*O461</f>
        <v>1302836.86</v>
      </c>
      <c r="AA461" s="21">
        <f>Z461-Q461</f>
        <v>53146.85610000021</v>
      </c>
    </row>
    <row r="462" outlineLevel="1">
      <c r="B462">
        <v>431</v>
      </c>
      <c r="C462" t="str">
        <v>Flexco</v>
      </c>
      <c r="D462" t="str">
        <v>FV-5-209</v>
      </c>
      <c r="E462" s="1">
        <v>46072</v>
      </c>
      <c r="F462" s="1">
        <v>46132</v>
      </c>
      <c r="J462" s="20">
        <f>IFERROR(IF(TODAY()&gt;=E462,(TODAY()-E462)/I462,0),0)</f>
        <v>0</v>
      </c>
      <c r="K462" s="5">
        <v>3918.77</v>
      </c>
      <c r="L462" s="5">
        <v>3909.595689576866</v>
      </c>
      <c r="M462" s="5">
        <f>K462-L462</f>
        <v>9.174310423134102</v>
      </c>
      <c r="N462" s="21">
        <v>3543.31</v>
      </c>
      <c r="O462" s="21">
        <v>3694</v>
      </c>
      <c r="Q462" s="21">
        <f>K462*N462</f>
        <v>13885416.9287</v>
      </c>
      <c r="R462" s="21">
        <f>L462*O462</f>
        <v>14442046.477296943</v>
      </c>
      <c r="S462" s="21">
        <f>R462-Q462</f>
        <v>556629.5485969428</v>
      </c>
      <c r="T462" t="str">
        <f>IF(R462&lt;= Q462,"No Monetizar","Monetizar")</f>
        <v>Monetizar</v>
      </c>
      <c r="V462" s="1">
        <v>46077</v>
      </c>
      <c r="W462" t="str">
        <v>Alfonso Fonseca A</v>
      </c>
      <c r="X462" t="str">
        <v>Alfonso Fonseca A</v>
      </c>
      <c r="Y462" t="str">
        <v>Se monetiza ya que el valor ofrecido por el banco en cada divisa es superior al valor facturado</v>
      </c>
      <c r="Z462" s="21">
        <f>K462*O462</f>
        <v>14475936.38</v>
      </c>
      <c r="AA462" s="21">
        <f>Z462-Q462</f>
        <v>590519.4513000008</v>
      </c>
    </row>
    <row r="463" outlineLevel="1">
      <c r="B463">
        <v>432</v>
      </c>
      <c r="C463" t="str">
        <v>Oncehub</v>
      </c>
      <c r="D463" t="str">
        <v>FV-4-6681</v>
      </c>
      <c r="E463" s="1">
        <v>46072</v>
      </c>
      <c r="F463" s="1">
        <v>46132</v>
      </c>
      <c r="J463" s="20">
        <f>IFERROR(IF(TODAY()&gt;=E463,(TODAY()-E463)/I463,0),0)</f>
        <v>0</v>
      </c>
      <c r="K463" s="5">
        <v>240</v>
      </c>
      <c r="L463" s="5">
        <v>238.6349598166296</v>
      </c>
      <c r="M463" s="5">
        <f>K463-L463</f>
        <v>1.3650401833704109</v>
      </c>
      <c r="N463" s="21">
        <v>3581.27</v>
      </c>
      <c r="O463" s="21">
        <v>3694</v>
      </c>
      <c r="Q463" s="21">
        <f>K463*N463</f>
        <v>859504.8</v>
      </c>
      <c r="R463" s="21">
        <f>L463*O463</f>
        <v>881517.5415626297</v>
      </c>
      <c r="S463" s="21">
        <f>R463-Q463</f>
        <v>22012.7415626297</v>
      </c>
      <c r="T463" t="str">
        <f>IF(R463&lt;= Q463,"No Monetizar","Monetizar")</f>
        <v>Monetizar</v>
      </c>
      <c r="V463" s="1">
        <v>46077</v>
      </c>
      <c r="W463" t="str">
        <v>Alfonso Fonseca A</v>
      </c>
      <c r="X463" t="str">
        <v>Alfonso Fonseca A</v>
      </c>
      <c r="Y463" t="str">
        <v>Se monetiza ya que el valor ofrecido por el banco en cada divisa es superior al valor facturado</v>
      </c>
      <c r="Z463" s="21">
        <f>K463*O463</f>
        <v>886560</v>
      </c>
      <c r="AA463" s="21">
        <f>Z463-Q463</f>
        <v>27055.199999999953</v>
      </c>
    </row>
    <row r="464" outlineLevel="1">
      <c r="B464">
        <v>433</v>
      </c>
      <c r="C464" t="str">
        <v>Oncehub</v>
      </c>
      <c r="D464" t="str">
        <v>FV-5-210</v>
      </c>
      <c r="E464" s="1">
        <v>46072</v>
      </c>
      <c r="F464" s="1">
        <v>46132</v>
      </c>
      <c r="J464" s="20">
        <f>IFERROR(IF(TODAY()&gt;=E464,(TODAY()-E464)/I464,0),0)</f>
        <v>0</v>
      </c>
      <c r="K464" s="5">
        <v>3276.38</v>
      </c>
      <c r="L464" s="5">
        <v>3257.7450401833703</v>
      </c>
      <c r="M464" s="5">
        <f>K464-L464</f>
        <v>18.634959816629816</v>
      </c>
      <c r="N464" s="21">
        <v>3581.27</v>
      </c>
      <c r="O464" s="21">
        <v>3694</v>
      </c>
      <c r="Q464" s="21">
        <f>K464*N464</f>
        <v>11733601.4026</v>
      </c>
      <c r="R464" s="21">
        <f>L464*O464</f>
        <v>12034110.178437369</v>
      </c>
      <c r="S464" s="21">
        <f>R464-Q464</f>
        <v>300508.77583736926</v>
      </c>
      <c r="T464" t="str">
        <f>IF(R464&lt;= Q464,"No Monetizar","Monetizar")</f>
        <v>Monetizar</v>
      </c>
      <c r="V464" s="1">
        <v>46077</v>
      </c>
      <c r="W464" t="str">
        <v>Alfonso Fonseca A</v>
      </c>
      <c r="X464" t="str">
        <v>Alfonso Fonseca A</v>
      </c>
      <c r="Y464" t="str">
        <v>Se monetiza ya que el valor ofrecido por el banco en cada divisa es superior al valor facturado</v>
      </c>
      <c r="Z464" s="21">
        <f>K464*O464</f>
        <v>12102947.72</v>
      </c>
      <c r="AA464" s="21">
        <f>Z464-Q464</f>
        <v>369346.317400001</v>
      </c>
    </row>
    <row r="465" outlineLevel="1">
      <c r="B465">
        <v>434</v>
      </c>
      <c r="C465" t="str">
        <v>MKD</v>
      </c>
      <c r="D465" t="str">
        <v>FV-4-6679</v>
      </c>
      <c r="E465" s="1">
        <v>46072</v>
      </c>
      <c r="F465" s="1">
        <v>46132</v>
      </c>
      <c r="J465" s="20">
        <f>IFERROR(IF(TODAY()&gt;=E465,(TODAY()-E465)/I465,0),0)</f>
        <v>0</v>
      </c>
      <c r="K465" s="5">
        <v>140.78</v>
      </c>
      <c r="L465" s="5">
        <v>140.78</v>
      </c>
      <c r="M465" s="5">
        <f>K465-L465</f>
        <v>0</v>
      </c>
      <c r="N465" s="21">
        <v>3543.31</v>
      </c>
      <c r="O465" s="21">
        <v>3694</v>
      </c>
      <c r="Q465" s="21">
        <f>K465*N465</f>
        <v>498827.1818</v>
      </c>
      <c r="R465" s="21">
        <f>L465*O465</f>
        <v>520041.32</v>
      </c>
      <c r="S465" s="21">
        <f>R465-Q465</f>
        <v>21214.138199999987</v>
      </c>
      <c r="T465" t="str">
        <f>IF(R465&lt;= Q465,"No Monetizar","Monetizar")</f>
        <v>Monetizar</v>
      </c>
      <c r="V465" s="1">
        <v>46077</v>
      </c>
      <c r="W465" t="str">
        <v>Alfonso Fonseca A</v>
      </c>
      <c r="X465" t="str">
        <v>Alfonso Fonseca A</v>
      </c>
      <c r="Y465" t="str">
        <v>Se monetiza ya que el valor ofrecido por el banco en cada divisa es superior al valor facturado</v>
      </c>
      <c r="Z465" s="21">
        <f>K465*O465</f>
        <v>520041.32</v>
      </c>
      <c r="AA465" s="21">
        <f>Z465-Q465</f>
        <v>21214.138199999987</v>
      </c>
    </row>
    <row r="466" outlineLevel="1">
      <c r="B466">
        <v>435</v>
      </c>
      <c r="C466" t="str">
        <v>MKD</v>
      </c>
      <c r="D466" t="str">
        <v>FV-5-208</v>
      </c>
      <c r="E466" s="1">
        <v>46072</v>
      </c>
      <c r="F466" s="1">
        <v>46132</v>
      </c>
      <c r="J466" s="20">
        <f>IFERROR(IF(TODAY()&gt;=E466,(TODAY()-E466)/I466,0),0)</f>
        <v>0</v>
      </c>
      <c r="K466" s="5">
        <v>1279.81</v>
      </c>
      <c r="L466" s="5">
        <v>1279.81</v>
      </c>
      <c r="M466" s="5">
        <f>K466-L466</f>
        <v>0</v>
      </c>
      <c r="N466" s="21">
        <v>3543.31</v>
      </c>
      <c r="O466" s="21">
        <v>3694</v>
      </c>
      <c r="Q466" s="21">
        <f>K466*N466</f>
        <v>4534763.571099999</v>
      </c>
      <c r="R466" s="21">
        <f>L466*O466</f>
        <v>4727618.14</v>
      </c>
      <c r="S466" s="21">
        <f>R466-Q466</f>
        <v>192854.5689000003</v>
      </c>
      <c r="T466" t="str">
        <f>IF(R466&lt;= Q466,"No Monetizar","Monetizar")</f>
        <v>Monetizar</v>
      </c>
      <c r="V466" s="1">
        <v>46077</v>
      </c>
      <c r="W466" t="str">
        <v>Alfonso Fonseca A</v>
      </c>
      <c r="X466" t="str">
        <v>Alfonso Fonseca A</v>
      </c>
      <c r="Y466" t="str">
        <v>Se monetiza ya que el valor ofrecido por el banco en cada divisa es superior al valor facturado</v>
      </c>
      <c r="Z466" s="21">
        <f>K466*O466</f>
        <v>4727618.14</v>
      </c>
      <c r="AA466" s="21">
        <f>Z466-Q466</f>
        <v>192854.5689000003</v>
      </c>
    </row>
    <row r="467" outlineLevel="1">
      <c r="B467">
        <v>436</v>
      </c>
      <c r="C467" t="str">
        <v>Neo</v>
      </c>
      <c r="D467" t="str">
        <v>FV-4-6682</v>
      </c>
      <c r="E467" s="1">
        <v>46073</v>
      </c>
      <c r="F467" s="1">
        <v>46133</v>
      </c>
      <c r="J467" s="20">
        <f>IFERROR(IF(TODAY()&gt;=E467,(TODAY()-E467)/I467,0),0)</f>
        <v>0</v>
      </c>
      <c r="K467" s="5">
        <v>1616.1</v>
      </c>
      <c r="L467" s="5">
        <v>1611.5814794104137</v>
      </c>
      <c r="M467" s="5">
        <f>K467-L467</f>
        <v>4.51852058958616</v>
      </c>
      <c r="N467" s="21">
        <v>3543.31</v>
      </c>
      <c r="O467" s="21">
        <v>3694</v>
      </c>
      <c r="Q467" s="21">
        <f>K467*N467</f>
        <v>5726343.290999999</v>
      </c>
      <c r="R467" s="21">
        <f>L467*O467</f>
        <v>5953181.984942068</v>
      </c>
      <c r="S467" s="21">
        <f>R467-Q467</f>
        <v>226838.69394206908</v>
      </c>
      <c r="T467" t="str">
        <f>IF(R467&lt;= Q467,"No Monetizar","Monetizar")</f>
        <v>Monetizar</v>
      </c>
      <c r="V467" s="1">
        <v>46077</v>
      </c>
      <c r="W467" t="str">
        <v>Alfonso Fonseca A</v>
      </c>
      <c r="X467" t="str">
        <v>Alfonso Fonseca A</v>
      </c>
      <c r="Y467" t="str">
        <v>Se monetiza ya que el valor ofrecido por el banco en cada divisa es superior al valor facturado</v>
      </c>
      <c r="Z467" s="21">
        <f>K467*O467</f>
        <v>5969873.399999999</v>
      </c>
      <c r="AA467" s="21">
        <f>Z467-Q467</f>
        <v>243530.10900000017</v>
      </c>
    </row>
    <row r="468" outlineLevel="1">
      <c r="B468">
        <v>437</v>
      </c>
      <c r="C468" t="str">
        <v>Neo</v>
      </c>
      <c r="D468" t="str">
        <v>FV-5-211</v>
      </c>
      <c r="E468" s="1">
        <v>46073</v>
      </c>
      <c r="F468" s="1">
        <v>46133</v>
      </c>
      <c r="J468" s="20">
        <f>IFERROR(IF(TODAY()&gt;=E468,(TODAY()-E468)/I468,0),0)</f>
        <v>0</v>
      </c>
      <c r="K468" s="5">
        <v>20201.24</v>
      </c>
      <c r="L468" s="5">
        <v>20144.75852058959</v>
      </c>
      <c r="M468" s="5">
        <f>K468-L468</f>
        <v>56.48147941041316</v>
      </c>
      <c r="N468" s="21">
        <v>3543.31</v>
      </c>
      <c r="O468" s="21">
        <v>3694</v>
      </c>
      <c r="Q468" s="21">
        <f>K468*N468</f>
        <v>71579255.7044</v>
      </c>
      <c r="R468" s="21">
        <f>L468*O468</f>
        <v>74414737.97505794</v>
      </c>
      <c r="S468" s="21">
        <f>R468-Q468</f>
        <v>2835482.2706579417</v>
      </c>
      <c r="T468" t="str">
        <f>IF(R468&lt;= Q468,"No Monetizar","Monetizar")</f>
        <v>Monetizar</v>
      </c>
      <c r="V468" s="1">
        <v>46077</v>
      </c>
      <c r="W468" t="str">
        <v>Alfonso Fonseca A</v>
      </c>
      <c r="X468" t="str">
        <v>Alfonso Fonseca A</v>
      </c>
      <c r="Y468" t="str">
        <v>Se monetiza ya que el valor ofrecido por el banco en cada divisa es superior al valor facturado</v>
      </c>
      <c r="Z468" s="21">
        <f>K468*O468</f>
        <v>74623380.56</v>
      </c>
      <c r="AA468" s="21">
        <f>Z468-Q468</f>
        <v>3044124.8555999994</v>
      </c>
    </row>
    <row r="469" outlineLevel="1">
      <c r="B469">
        <v>438</v>
      </c>
      <c r="C469" t="str">
        <v>Equus</v>
      </c>
      <c r="D469" t="str">
        <v>FV-4-6687</v>
      </c>
      <c r="E469" s="1">
        <v>46073</v>
      </c>
      <c r="F469" s="1">
        <v>46133</v>
      </c>
      <c r="J469" s="20">
        <f>IFERROR(IF(TODAY()&gt;=E469,(TODAY()-E469)/I469,0),0)</f>
        <v>0</v>
      </c>
      <c r="K469" s="5">
        <v>178.5</v>
      </c>
      <c r="L469" s="5">
        <v>177.95721683682874</v>
      </c>
      <c r="M469" s="5">
        <f>K469-L469</f>
        <v>0.542783163171265</v>
      </c>
      <c r="N469" s="21">
        <v>3543.31</v>
      </c>
      <c r="O469" s="21">
        <v>3694</v>
      </c>
      <c r="Q469" s="21">
        <f>K469*N469</f>
        <v>632480.835</v>
      </c>
      <c r="R469" s="21">
        <f>L469*O469</f>
        <v>657373.9589952454</v>
      </c>
      <c r="S469" s="21">
        <f>R469-Q469</f>
        <v>24893.123995245434</v>
      </c>
      <c r="T469" t="str">
        <f>IF(R469&lt;= Q469,"No Monetizar","Monetizar")</f>
        <v>Monetizar</v>
      </c>
      <c r="V469" s="1">
        <v>46077</v>
      </c>
      <c r="W469" t="str">
        <v>Alfonso Fonseca A</v>
      </c>
      <c r="X469" t="str">
        <v>Alfonso Fonseca A</v>
      </c>
      <c r="Y469" t="str">
        <v>Se monetiza ya que el valor ofrecido por el banco en cada divisa es superior al valor facturado</v>
      </c>
      <c r="Z469" s="21">
        <f>K469*O469</f>
        <v>659379</v>
      </c>
      <c r="AA469" s="21">
        <f>Z469-Q469</f>
        <v>26898.165000000037</v>
      </c>
    </row>
    <row r="470" outlineLevel="1">
      <c r="B470">
        <v>439</v>
      </c>
      <c r="C470" t="str">
        <v>Equus</v>
      </c>
      <c r="D470" t="str">
        <v>FV-5-216</v>
      </c>
      <c r="E470" s="1">
        <v>46073</v>
      </c>
      <c r="F470" s="1">
        <v>46133</v>
      </c>
      <c r="J470" s="20">
        <f>IFERROR(IF(TODAY()&gt;=E470,(TODAY()-E470)/I470,0),0)</f>
        <v>0</v>
      </c>
      <c r="K470" s="5">
        <v>1449.36</v>
      </c>
      <c r="L470" s="5">
        <v>1444.9527831631713</v>
      </c>
      <c r="M470" s="5">
        <f>K470-L470</f>
        <v>4.407216836828638</v>
      </c>
      <c r="N470" s="21">
        <v>3543.31</v>
      </c>
      <c r="O470" s="21">
        <v>3694</v>
      </c>
      <c r="Q470" s="21">
        <f>K470*N470</f>
        <v>5135531.781599999</v>
      </c>
      <c r="R470" s="21">
        <f>L470*O470</f>
        <v>5337655.581004755</v>
      </c>
      <c r="S470" s="21">
        <f>R470-Q470</f>
        <v>202123.79940475523</v>
      </c>
      <c r="T470" t="str">
        <f>IF(R470&lt;= Q470,"No Monetizar","Monetizar")</f>
        <v>Monetizar</v>
      </c>
      <c r="V470" s="1">
        <v>46077</v>
      </c>
      <c r="W470" t="str">
        <v>Alfonso Fonseca A</v>
      </c>
      <c r="X470" t="str">
        <v>Alfonso Fonseca A</v>
      </c>
      <c r="Y470" t="str">
        <v>Se monetiza ya que el valor ofrecido por el banco en cada divisa es superior al valor facturado</v>
      </c>
      <c r="Z470" s="21">
        <f>K470*O470</f>
        <v>5353935.84</v>
      </c>
      <c r="AA470" s="21">
        <f>Z470-Q470</f>
        <v>218404.05840000045</v>
      </c>
    </row>
    <row r="471" outlineLevel="1">
      <c r="B471">
        <v>440</v>
      </c>
      <c r="C471" t="str">
        <v>Insider</v>
      </c>
      <c r="D471" t="str">
        <v>FV-4-6722</v>
      </c>
      <c r="E471" s="1">
        <v>46078</v>
      </c>
      <c r="F471" s="1">
        <v>46138</v>
      </c>
      <c r="J471" s="20">
        <f>IFERROR(IF(TODAY()&gt;=E471,(TODAY()-E471)/I471,0),0)</f>
        <v>0</v>
      </c>
      <c r="K471" s="5">
        <v>5426.4</v>
      </c>
      <c r="L471" s="5">
        <v>5425.985990385858</v>
      </c>
      <c r="M471" s="5">
        <f>K471-L471</f>
        <v>0.41400961414183257</v>
      </c>
      <c r="N471" s="21">
        <v>3623.41</v>
      </c>
      <c r="O471" s="21">
        <v>3679.05</v>
      </c>
      <c r="Q471" s="21">
        <f>K471*N471</f>
        <v>19662072.023999996</v>
      </c>
      <c r="R471" s="21">
        <f>L471*O471</f>
        <v>19962473.75792909</v>
      </c>
      <c r="S471" s="21">
        <f>R471-Q471</f>
        <v>300401.7339290939</v>
      </c>
      <c r="T471" t="str">
        <f>IF(R471&lt;= Q471,"No Monetizar","Monetizar")</f>
        <v>Monetizar</v>
      </c>
      <c r="V471" s="1">
        <v>46078</v>
      </c>
      <c r="W471" t="str">
        <v>Alfonso Fonseca A</v>
      </c>
      <c r="X471" t="str">
        <v>Alfonso Fonseca A</v>
      </c>
      <c r="Y471" t="str">
        <v>Se monetiza ya que el valor ofrecido por el banco en cada divisa es superior al valor facturado</v>
      </c>
      <c r="Z471" s="21">
        <f>K471*O471</f>
        <v>19963996.919999998</v>
      </c>
      <c r="AA471" s="21">
        <f>Z471-Q471</f>
        <v>301924.8960000016</v>
      </c>
    </row>
    <row r="472" outlineLevel="1">
      <c r="B472">
        <v>441</v>
      </c>
      <c r="C472" t="str">
        <v>Insider</v>
      </c>
      <c r="D472" t="str">
        <v>FV-5-234</v>
      </c>
      <c r="E472" s="1">
        <v>46078</v>
      </c>
      <c r="F472" s="1">
        <v>46138</v>
      </c>
      <c r="J472" s="20">
        <f>IFERROR(IF(TODAY()&gt;=E472,(TODAY()-E472)/I472,0),0)</f>
        <v>0</v>
      </c>
      <c r="K472" s="5">
        <v>191177.73</v>
      </c>
      <c r="L472" s="5">
        <v>191163.14400961416</v>
      </c>
      <c r="M472" s="5">
        <f>K472-L472</f>
        <v>14.585990385850891</v>
      </c>
      <c r="N472" s="21">
        <v>3623.41</v>
      </c>
      <c r="O472" s="21">
        <v>3679.05</v>
      </c>
      <c r="Q472" s="21">
        <f>K472*N472</f>
        <v>692715298.6593</v>
      </c>
      <c r="R472" s="21">
        <f>L472*O472</f>
        <v>703298764.9685711</v>
      </c>
      <c r="S472" s="21">
        <f>R472-Q472</f>
        <v>10583466.309271097</v>
      </c>
      <c r="T472" t="str">
        <f>IF(R472&lt;= Q472,"No Monetizar","Monetizar")</f>
        <v>Monetizar</v>
      </c>
      <c r="V472" s="1">
        <v>46078</v>
      </c>
      <c r="W472" t="str">
        <v>Alfonso Fonseca A</v>
      </c>
      <c r="X472" t="str">
        <v>Alfonso Fonseca A</v>
      </c>
      <c r="Y472" t="str">
        <v>Se monetiza ya que el valor ofrecido por el banco en cada divisa es superior al valor facturado</v>
      </c>
      <c r="Z472" s="21">
        <f>K472*O472</f>
        <v>703352427.5565001</v>
      </c>
      <c r="AA472" s="21">
        <f>Z472-Q472</f>
        <v>10637128.897200108</v>
      </c>
    </row>
    <row r="473" ht="30" customHeight="1" outlineLevel="1">
      <c r="B473">
        <v>442</v>
      </c>
      <c r="C473" t="str">
        <v>Hong kong yonyou xinfushe cloud technology co</v>
      </c>
      <c r="D473" t="str">
        <v>FV-4-6702</v>
      </c>
      <c r="E473" s="1">
        <v>46078</v>
      </c>
      <c r="F473" s="1">
        <v>46138</v>
      </c>
      <c r="J473" s="20">
        <f>IFERROR(IF(TODAY()&gt;=E473,(TODAY()-E473)/I473,0),0)</f>
        <v>0</v>
      </c>
      <c r="K473" s="5">
        <v>749.7</v>
      </c>
      <c r="L473" s="5">
        <v>749.7</v>
      </c>
      <c r="M473" s="5">
        <f>K473-L473</f>
        <v>0</v>
      </c>
      <c r="N473" s="21">
        <v>3584.85</v>
      </c>
      <c r="O473" s="21">
        <v>3677.4</v>
      </c>
      <c r="Q473" s="21">
        <f>K473*N473</f>
        <v>2687562.045</v>
      </c>
      <c r="R473" s="21">
        <f>L473*O473</f>
        <v>2756946.7800000003</v>
      </c>
      <c r="S473" s="21">
        <f>R473-Q473</f>
        <v>69384.73500000034</v>
      </c>
      <c r="T473" t="str">
        <f>IF(R473&lt;= Q473,"No Monetizar","Monetizar")</f>
        <v>Monetizar</v>
      </c>
      <c r="V473" s="1">
        <v>46078</v>
      </c>
      <c r="W473" t="str">
        <v>Alfonso Fonseca A</v>
      </c>
      <c r="X473" t="str">
        <v>Alfonso Fonseca A</v>
      </c>
      <c r="Y473" t="str">
        <v>Se monetiza ya que el valor ofrecido por el banco en cada divisa es superior al valor facturado</v>
      </c>
      <c r="Z473" s="21">
        <f>K473*O473</f>
        <v>2756946.7800000003</v>
      </c>
      <c r="AA473" s="21">
        <f>Z473-Q473</f>
        <v>69384.73500000034</v>
      </c>
    </row>
    <row r="474" ht="30" customHeight="1" outlineLevel="1">
      <c r="B474">
        <v>443</v>
      </c>
      <c r="C474" t="str">
        <v>Hong kong yonyou xinfushe cloud technology co</v>
      </c>
      <c r="D474" t="str">
        <v>FV-5-226</v>
      </c>
      <c r="E474" s="1">
        <v>46078</v>
      </c>
      <c r="F474" s="1">
        <v>46138</v>
      </c>
      <c r="J474" s="20">
        <f>IFERROR(IF(TODAY()&gt;=E474,(TODAY()-E474)/I474,0),0)</f>
        <v>0</v>
      </c>
      <c r="K474" s="5">
        <v>13860.56</v>
      </c>
      <c r="L474" s="5">
        <v>13860.56</v>
      </c>
      <c r="M474" s="5">
        <f>K474-L474</f>
        <v>0</v>
      </c>
      <c r="N474" s="21">
        <v>3584.85</v>
      </c>
      <c r="O474" s="21">
        <v>3677.4</v>
      </c>
      <c r="Q474" s="21">
        <f>K474*N474</f>
        <v>49688028.515999995</v>
      </c>
      <c r="R474" s="21">
        <f>L474*O474</f>
        <v>50970823.344</v>
      </c>
      <c r="S474" s="21">
        <f>R474-Q474</f>
        <v>1282794.8280000016</v>
      </c>
      <c r="T474" t="str">
        <f>IF(R474&lt;= Q474,"No Monetizar","Monetizar")</f>
        <v>Monetizar</v>
      </c>
      <c r="V474" s="1">
        <v>46078</v>
      </c>
      <c r="W474" t="str">
        <v>Alfonso Fonseca A</v>
      </c>
      <c r="X474" t="str">
        <v>Alfonso Fonseca A</v>
      </c>
      <c r="Y474" t="str">
        <v>Se monetiza ya que el valor ofrecido por el banco en cada divisa es superior al valor facturado</v>
      </c>
      <c r="Z474" s="21">
        <f>K474*O474</f>
        <v>50970823.344</v>
      </c>
      <c r="AA474" s="21">
        <f>Z474-Q474</f>
        <v>1282794.8280000016</v>
      </c>
    </row>
    <row r="475" outlineLevel="1">
      <c r="B475">
        <v>444</v>
      </c>
      <c r="C475" t="str">
        <v>Endrington</v>
      </c>
      <c r="D475" t="str">
        <v>FV-4-6671</v>
      </c>
      <c r="E475" s="1">
        <v>46071</v>
      </c>
      <c r="F475" s="1">
        <v>46131</v>
      </c>
      <c r="J475" s="20">
        <f>IFERROR(IF(TODAY()&gt;=E475,(TODAY()-E475)/I475,0),0)</f>
        <v>0</v>
      </c>
      <c r="K475" s="5">
        <v>612.48</v>
      </c>
      <c r="L475" s="5">
        <v>612.48</v>
      </c>
      <c r="M475" s="5">
        <f>K475-L475</f>
        <v>0</v>
      </c>
      <c r="N475" s="21">
        <v>3541.41</v>
      </c>
      <c r="O475" s="21">
        <v>3645.44</v>
      </c>
      <c r="Q475" s="21">
        <f>K475*N475</f>
        <v>2169042.7968</v>
      </c>
      <c r="R475" s="21">
        <f>L475*O475</f>
        <v>2232759.0912</v>
      </c>
      <c r="S475" s="21">
        <f>R475-Q475</f>
        <v>63716.29440000001</v>
      </c>
      <c r="T475" t="str">
        <f>IF(R475&lt;= Q475,"No Monetizar","Monetizar")</f>
        <v>Monetizar</v>
      </c>
      <c r="V475" s="1">
        <v>46079</v>
      </c>
      <c r="W475" t="str">
        <v>Alfonso Fonseca A</v>
      </c>
      <c r="X475" t="str">
        <v>Alfonso Fonseca A</v>
      </c>
      <c r="Y475" t="str">
        <v>Se monetiza ya que el valor ofrecido por el banco en cada divisa es superior al valor facturado</v>
      </c>
      <c r="Z475" s="21">
        <f>K475*O475</f>
        <v>2232759.0912</v>
      </c>
      <c r="AA475" s="21">
        <f>Z475-Q475</f>
        <v>63716.29440000001</v>
      </c>
    </row>
    <row r="476" outlineLevel="1">
      <c r="B476">
        <v>445</v>
      </c>
      <c r="C476" t="str">
        <v>Endrington</v>
      </c>
      <c r="D476" t="str">
        <v>FV-5-205</v>
      </c>
      <c r="E476" s="1">
        <v>46071</v>
      </c>
      <c r="F476" s="1">
        <v>46131</v>
      </c>
      <c r="J476" s="20">
        <f>IFERROR(IF(TODAY()&gt;=E476,(TODAY()-E476)/I476,0),0)</f>
        <v>0</v>
      </c>
      <c r="K476" s="5">
        <v>11136.08</v>
      </c>
      <c r="L476" s="5">
        <v>11136.08</v>
      </c>
      <c r="M476" s="5">
        <f>K476-L476</f>
        <v>0</v>
      </c>
      <c r="N476" s="21">
        <v>3541.41</v>
      </c>
      <c r="O476" s="21">
        <v>3645.44</v>
      </c>
      <c r="Q476" s="21">
        <f>K476*N476</f>
        <v>39437425.072799996</v>
      </c>
      <c r="R476" s="21">
        <f>L476*O476</f>
        <v>40595911.4752</v>
      </c>
      <c r="S476" s="21">
        <f>R476-Q476</f>
        <v>1158486.4024000019</v>
      </c>
      <c r="T476" t="str">
        <f>IF(R476&lt;= Q476,"No Monetizar","Monetizar")</f>
        <v>Monetizar</v>
      </c>
      <c r="V476" s="1">
        <v>46079</v>
      </c>
      <c r="W476" t="str">
        <v>Alfonso Fonseca A</v>
      </c>
      <c r="X476" t="str">
        <v>Alfonso Fonseca A</v>
      </c>
      <c r="Y476" t="str">
        <v>Se monetiza ya que el valor ofrecido por el banco en cada divisa es superior al valor facturado</v>
      </c>
      <c r="Z476" s="21">
        <f>K476*O476</f>
        <v>40595911.4752</v>
      </c>
      <c r="AA476" s="21">
        <f>Z476-Q476</f>
        <v>1158486.4024000019</v>
      </c>
    </row>
    <row r="477" outlineLevel="1">
      <c r="B477">
        <v>446</v>
      </c>
      <c r="C477" t="str">
        <v>Remofisrt</v>
      </c>
      <c r="D477" t="str">
        <v>FV-4-6670</v>
      </c>
      <c r="E477" s="1">
        <v>46073</v>
      </c>
      <c r="F477" s="1">
        <v>46133</v>
      </c>
      <c r="J477" s="20">
        <f>IFERROR(IF(TODAY()&gt;=E477,(TODAY()-E477)/I477,0),0)</f>
        <v>0</v>
      </c>
      <c r="K477" s="5">
        <v>12852</v>
      </c>
      <c r="L477" s="5">
        <v>12852</v>
      </c>
      <c r="M477" s="5">
        <f>K477-L477</f>
        <v>0</v>
      </c>
      <c r="N477" s="21">
        <v>3541.41</v>
      </c>
      <c r="O477" s="21">
        <v>3645.44</v>
      </c>
      <c r="Q477" s="21">
        <f>K477*N477</f>
        <v>45514201.32</v>
      </c>
      <c r="R477" s="21">
        <f>L477*O477</f>
        <v>46851194.88</v>
      </c>
      <c r="S477" s="21">
        <f>R477-Q477</f>
        <v>1336993.5600000024</v>
      </c>
      <c r="T477" t="str">
        <f>IF(R477&lt;= Q477,"No Monetizar","Monetizar")</f>
        <v>Monetizar</v>
      </c>
      <c r="V477" s="1">
        <v>46079</v>
      </c>
      <c r="W477" t="str">
        <v>Alfonso Fonseca A</v>
      </c>
      <c r="X477" t="str">
        <v>Alfonso Fonseca A</v>
      </c>
      <c r="Y477" t="str">
        <v>Se monetiza ya que el valor ofrecido por el banco en cada divisa es superior al valor facturado</v>
      </c>
      <c r="Z477" s="21">
        <f>K477*O477</f>
        <v>46851194.88</v>
      </c>
      <c r="AA477" s="21">
        <f>Z477-Q477</f>
        <v>1336993.5600000024</v>
      </c>
    </row>
    <row r="478" outlineLevel="1">
      <c r="B478">
        <v>447</v>
      </c>
      <c r="C478" t="str">
        <v>Remofisrt</v>
      </c>
      <c r="D478" t="str">
        <v>FV-5-204</v>
      </c>
      <c r="E478" s="1">
        <v>46073</v>
      </c>
      <c r="F478" s="1">
        <v>46133</v>
      </c>
      <c r="J478" s="20">
        <f>IFERROR(IF(TODAY()&gt;=E478,(TODAY()-E478)/I478,0),0)</f>
        <v>0</v>
      </c>
      <c r="K478" s="5">
        <v>319895.88</v>
      </c>
      <c r="L478" s="5">
        <v>319895.88</v>
      </c>
      <c r="M478" s="5">
        <f>K478-L478</f>
        <v>0</v>
      </c>
      <c r="N478" s="21">
        <v>3541.41</v>
      </c>
      <c r="O478" s="21">
        <v>3645.44</v>
      </c>
      <c r="Q478" s="21">
        <f>K478*N478</f>
        <v>1132882468.3908</v>
      </c>
      <c r="R478" s="21">
        <f>L478*O478</f>
        <v>1166161236.7872</v>
      </c>
      <c r="S478" s="21">
        <f>R478-Q478</f>
        <v>33278768.396399975</v>
      </c>
      <c r="T478" t="str">
        <f>IF(R478&lt;= Q478,"No Monetizar","Monetizar")</f>
        <v>Monetizar</v>
      </c>
      <c r="V478" s="1">
        <v>46079</v>
      </c>
      <c r="W478" t="str">
        <v>Alfonso Fonseca A</v>
      </c>
      <c r="X478" t="str">
        <v>Alfonso Fonseca A</v>
      </c>
      <c r="Y478" t="str">
        <v>Se monetiza ya que el valor ofrecido por el banco en cada divisa es superior al valor facturado</v>
      </c>
      <c r="Z478" s="21">
        <f>K478*O478</f>
        <v>1166161236.7872</v>
      </c>
      <c r="AA478" s="21">
        <f>Z478-Q478</f>
        <v>33278768.396399975</v>
      </c>
    </row>
    <row r="479" outlineLevel="1">
      <c r="B479">
        <v>448</v>
      </c>
      <c r="C479" t="str">
        <v>Europortage</v>
      </c>
      <c r="D479" t="str">
        <v>FV-4-6673</v>
      </c>
      <c r="E479" s="1">
        <v>46078</v>
      </c>
      <c r="F479" s="1">
        <v>46138</v>
      </c>
      <c r="J479" s="20">
        <f>IFERROR(IF(TODAY()&gt;=E479,(TODAY()-E479)/I479,0),0)</f>
        <v>0</v>
      </c>
      <c r="K479" s="5">
        <v>825.96</v>
      </c>
      <c r="L479" s="5">
        <v>825.1641821687982</v>
      </c>
      <c r="M479" s="5">
        <f>K479-L479</f>
        <v>0.7958178312018163</v>
      </c>
      <c r="N479" s="21">
        <v>3549.42</v>
      </c>
      <c r="O479" s="21">
        <v>3645.44</v>
      </c>
      <c r="Q479" s="21">
        <f>K479*N479</f>
        <v>2931678.9432</v>
      </c>
      <c r="R479" s="21">
        <f>L479*O479</f>
        <v>3008086.516245424</v>
      </c>
      <c r="S479" s="21">
        <f>R479-Q479</f>
        <v>76407.57304542372</v>
      </c>
      <c r="T479" t="str">
        <f>IF(R479&lt;= Q479,"No Monetizar","Monetizar")</f>
        <v>Monetizar</v>
      </c>
      <c r="V479" s="1">
        <v>46079</v>
      </c>
      <c r="W479" t="str">
        <v>Alfonso Fonseca A</v>
      </c>
      <c r="X479" t="str">
        <v>Alfonso Fonseca A</v>
      </c>
      <c r="Y479" t="str">
        <v>Se monetiza ya que el valor ofrecido por el banco en cada divisa es superior al valor facturado</v>
      </c>
      <c r="Z479" s="21">
        <f>K479*O479</f>
        <v>3010987.6224</v>
      </c>
      <c r="AA479" s="21">
        <f>Z479-Q479</f>
        <v>79308.67920000013</v>
      </c>
    </row>
    <row r="480" outlineLevel="1">
      <c r="B480">
        <v>449</v>
      </c>
      <c r="C480" t="str">
        <v>Europortage</v>
      </c>
      <c r="D480" t="str">
        <v>FV-5-207</v>
      </c>
      <c r="E480" s="1">
        <v>46078</v>
      </c>
      <c r="F480" s="1">
        <v>46138</v>
      </c>
      <c r="J480" s="20">
        <f>IFERROR(IF(TODAY()&gt;=E480,(TODAY()-E480)/I480,0),0)</f>
        <v>0</v>
      </c>
      <c r="K480" s="5">
        <v>13704.3</v>
      </c>
      <c r="L480" s="5">
        <v>13691.095817831203</v>
      </c>
      <c r="M480" s="5">
        <f>K480-L480</f>
        <v>13.204182168796251</v>
      </c>
      <c r="N480" s="21">
        <v>3549.42</v>
      </c>
      <c r="O480" s="21">
        <v>3645.44</v>
      </c>
      <c r="Q480" s="21">
        <f>K480*N480</f>
        <v>48642316.506</v>
      </c>
      <c r="R480" s="21">
        <f>L480*O480</f>
        <v>49910068.338154584</v>
      </c>
      <c r="S480" s="21">
        <f>R480-Q480</f>
        <v>1267751.832154587</v>
      </c>
      <c r="T480" t="str">
        <f>IF(R480&lt;= Q480,"No Monetizar","Monetizar")</f>
        <v>Monetizar</v>
      </c>
      <c r="V480" s="1">
        <v>46079</v>
      </c>
      <c r="W480" t="str">
        <v>Alfonso Fonseca A</v>
      </c>
      <c r="X480" t="str">
        <v>Alfonso Fonseca A</v>
      </c>
      <c r="Y480" t="str">
        <v>Se monetiza ya que el valor ofrecido por el banco en cada divisa es superior al valor facturado</v>
      </c>
      <c r="Z480" s="21">
        <f>K480*O480</f>
        <v>49958203.392</v>
      </c>
      <c r="AA480" s="21">
        <f>Z480-Q480</f>
        <v>1315886.886</v>
      </c>
    </row>
    <row r="481" outlineLevel="1">
      <c r="B481">
        <v>450</v>
      </c>
      <c r="C481" t="str">
        <v>Poc Pharma Limited</v>
      </c>
      <c r="D481" t="str">
        <v>FV-4-6706</v>
      </c>
      <c r="E481" s="1">
        <v>46078</v>
      </c>
      <c r="F481" s="1">
        <v>46138</v>
      </c>
      <c r="J481" s="20">
        <f>IFERROR(IF(TODAY()&gt;=E481,(TODAY()-E481)/I481,0),0)</f>
        <v>0</v>
      </c>
      <c r="K481" s="5">
        <f>800-320</f>
        <v>480</v>
      </c>
      <c r="L481" s="5">
        <f>800-320</f>
        <v>480</v>
      </c>
      <c r="M481" s="5">
        <f>K481-L481</f>
        <v>0</v>
      </c>
      <c r="N481" s="21">
        <v>3580.82</v>
      </c>
      <c r="O481" s="21">
        <v>3645.02</v>
      </c>
      <c r="Q481" s="21">
        <f>K481*N481</f>
        <v>1718793.6</v>
      </c>
      <c r="R481" s="21">
        <f>L481*O481</f>
        <v>1749609.6</v>
      </c>
      <c r="S481" s="21">
        <f>R481-Q481</f>
        <v>30816</v>
      </c>
      <c r="T481" t="str">
        <f>IF(R481&lt;= Q481,"No Monetizar","Monetizar")</f>
        <v>Monetizar</v>
      </c>
      <c r="V481" s="1">
        <v>46079</v>
      </c>
      <c r="W481" t="str">
        <v>Alfonso Fonseca A</v>
      </c>
      <c r="X481" t="str">
        <v>Alfonso Fonseca A</v>
      </c>
      <c r="Y481" t="str">
        <v>Se monetiza ya que el valor ofrecido por el banco en cada divisa es superior al valor facturado</v>
      </c>
      <c r="Z481" s="21">
        <f>K481*O481</f>
        <v>1749609.6</v>
      </c>
      <c r="AA481" s="21">
        <f>Z481-Q481</f>
        <v>30816</v>
      </c>
    </row>
    <row r="482" outlineLevel="1">
      <c r="B482">
        <v>451</v>
      </c>
      <c r="C482" t="str">
        <v>Poc Pharma Limited</v>
      </c>
      <c r="D482" t="str">
        <v>FV-5-230</v>
      </c>
      <c r="E482" s="1">
        <v>46078</v>
      </c>
      <c r="F482" s="1">
        <v>46138</v>
      </c>
      <c r="J482" s="20">
        <f>IFERROR(IF(TODAY()&gt;=E482,(TODAY()-E482)/I482,0),0)</f>
        <v>0</v>
      </c>
      <c r="K482" s="5">
        <v>2199.95</v>
      </c>
      <c r="L482" s="5">
        <v>2199.95</v>
      </c>
      <c r="M482" s="5">
        <f>K482-L482</f>
        <v>0</v>
      </c>
      <c r="N482" s="21">
        <v>3580.82</v>
      </c>
      <c r="O482" s="21">
        <v>3645.02</v>
      </c>
      <c r="Q482" s="21">
        <f>K482*N482</f>
        <v>7877624.959</v>
      </c>
      <c r="R482" s="21">
        <f>L482*O482</f>
        <v>8018861.748999999</v>
      </c>
      <c r="S482" s="21">
        <f>R482-Q482</f>
        <v>141236.7899999991</v>
      </c>
      <c r="T482" t="str">
        <f>IF(R482&lt;= Q482,"No Monetizar","Monetizar")</f>
        <v>Monetizar</v>
      </c>
      <c r="V482" s="1">
        <v>46079</v>
      </c>
      <c r="W482" t="str">
        <v>Alfonso Fonseca A</v>
      </c>
      <c r="X482" t="str">
        <v>Alfonso Fonseca A</v>
      </c>
      <c r="Y482" t="str">
        <v>Se monetiza ya que el valor ofrecido por el banco en cada divisa es superior al valor facturado</v>
      </c>
      <c r="Z482" s="21">
        <f>K482*O482</f>
        <v>8018861.748999999</v>
      </c>
      <c r="AA482" s="21">
        <f>Z482-Q482</f>
        <v>141236.7899999991</v>
      </c>
    </row>
    <row r="483" outlineLevel="1">
      <c r="B483">
        <v>452</v>
      </c>
      <c r="C483" t="str">
        <v>Poc Pharma Limited</v>
      </c>
      <c r="D483" t="str">
        <v>FV-5-231</v>
      </c>
      <c r="E483" s="1">
        <v>46078</v>
      </c>
      <c r="F483" s="1">
        <v>46138</v>
      </c>
      <c r="J483" s="20">
        <f>IFERROR(IF(TODAY()&gt;=E483,(TODAY()-E483)/I483,0),0)</f>
        <v>0</v>
      </c>
      <c r="K483" s="5">
        <v>329</v>
      </c>
      <c r="L483" s="5">
        <v>329</v>
      </c>
      <c r="M483" s="5">
        <f>K483-L483</f>
        <v>0</v>
      </c>
      <c r="N483" s="21">
        <v>3580.82</v>
      </c>
      <c r="O483" s="21">
        <v>3645.02</v>
      </c>
      <c r="Q483" s="21">
        <f>K483*N483</f>
        <v>1178089.78</v>
      </c>
      <c r="R483" s="21">
        <f>L483*O483</f>
        <v>1199211.58</v>
      </c>
      <c r="S483" s="21">
        <f>R483-Q483</f>
        <v>21121.800000000047</v>
      </c>
      <c r="T483" t="str">
        <f>IF(R483&lt;= Q483,"No Monetizar","Monetizar")</f>
        <v>Monetizar</v>
      </c>
      <c r="V483" s="1">
        <v>46079</v>
      </c>
      <c r="W483" t="str">
        <v>Alfonso Fonseca A</v>
      </c>
      <c r="X483" t="str">
        <v>Alfonso Fonseca A</v>
      </c>
      <c r="Y483" t="str">
        <v>Se monetiza ya que el valor ofrecido por el banco en cada divisa es superior al valor facturado</v>
      </c>
      <c r="Z483" s="21">
        <f>K483*O483</f>
        <v>1199211.58</v>
      </c>
      <c r="AA483" s="21">
        <f>Z483-Q483</f>
        <v>21121.800000000047</v>
      </c>
    </row>
    <row r="484" outlineLevel="1">
      <c r="B484">
        <v>453</v>
      </c>
      <c r="C484" t="str">
        <v>Nazdar ink technologies</v>
      </c>
      <c r="D484" t="str">
        <v>FV-4-6701</v>
      </c>
      <c r="E484" s="1">
        <v>46079</v>
      </c>
      <c r="F484" s="1">
        <v>46139</v>
      </c>
      <c r="J484" s="20">
        <f>IFERROR(IF(TODAY()&gt;=E484,(TODAY()-E484)/I484,0),0)</f>
        <v>0</v>
      </c>
      <c r="K484" s="5">
        <v>987.19</v>
      </c>
      <c r="L484" s="5">
        <v>986.3409411243266</v>
      </c>
      <c r="M484" s="5">
        <f>K484-L484</f>
        <v>0.8490588756734496</v>
      </c>
      <c r="N484" s="21">
        <v>3584.85</v>
      </c>
      <c r="O484" s="21">
        <v>3731</v>
      </c>
      <c r="Q484" s="21">
        <f>K484*N484</f>
        <v>3538928.0715</v>
      </c>
      <c r="R484" s="21">
        <f>L484*O484</f>
        <v>3680038.0513348626</v>
      </c>
      <c r="S484" s="21">
        <f>R484-Q484</f>
        <v>141109.97983486252</v>
      </c>
      <c r="T484" t="str">
        <f>IF(R484&lt;= Q484,"No Monetizar","Monetizar")</f>
        <v>Monetizar</v>
      </c>
      <c r="V484" s="1">
        <v>46080</v>
      </c>
      <c r="W484" t="str">
        <v>Alfonso Fonseca A</v>
      </c>
      <c r="X484" t="str">
        <v>Alfonso Fonseca A</v>
      </c>
      <c r="Y484" t="str">
        <v>Se monetiza ya que el valor ofrecido por el banco en cada divisa es superior al valor facturado</v>
      </c>
      <c r="Z484" s="21">
        <f>K484*O484</f>
        <v>3683205.89</v>
      </c>
      <c r="AA484" s="21">
        <f>Z484-Q484</f>
        <v>144277.81850000005</v>
      </c>
    </row>
    <row r="485" outlineLevel="1">
      <c r="B485">
        <v>454</v>
      </c>
      <c r="C485" t="str">
        <v>Nazdar ink technologies</v>
      </c>
      <c r="D485" t="str">
        <v>FV-5-225</v>
      </c>
      <c r="E485" s="1">
        <v>46079</v>
      </c>
      <c r="F485" s="1">
        <v>46139</v>
      </c>
      <c r="J485" s="20">
        <f>IFERROR(IF(TODAY()&gt;=E485,(TODAY()-E485)/I485,0),0)</f>
        <v>0</v>
      </c>
      <c r="K485" s="5">
        <v>16453.12</v>
      </c>
      <c r="L485" s="5">
        <v>16438.969058875675</v>
      </c>
      <c r="M485" s="5">
        <f>K485-L485</f>
        <v>14.150941124324163</v>
      </c>
      <c r="N485" s="21">
        <v>3584.85</v>
      </c>
      <c r="O485" s="21">
        <v>3731</v>
      </c>
      <c r="Q485" s="21">
        <f>K485*N485</f>
        <v>58981967.23199999</v>
      </c>
      <c r="R485" s="21">
        <f>L485*O485</f>
        <v>61333793.55866514</v>
      </c>
      <c r="S485" s="21">
        <f>R485-Q485</f>
        <v>2351826.326665148</v>
      </c>
      <c r="T485" t="str">
        <f>IF(R485&lt;= Q485,"No Monetizar","Monetizar")</f>
        <v>Monetizar</v>
      </c>
      <c r="V485" s="1">
        <v>46080</v>
      </c>
      <c r="W485" t="str">
        <v>Alfonso Fonseca A</v>
      </c>
      <c r="X485" t="str">
        <v>Alfonso Fonseca A</v>
      </c>
      <c r="Y485" t="str">
        <v>Se monetiza ya que el valor ofrecido por el banco en cada divisa es superior al valor facturado</v>
      </c>
      <c r="Z485" s="21">
        <f>K485*O485</f>
        <v>61386590.72</v>
      </c>
      <c r="AA485" s="21">
        <f>Z485-Q485</f>
        <v>2404623.4880000055</v>
      </c>
    </row>
    <row r="486" outlineLevel="1">
      <c r="B486">
        <v>455</v>
      </c>
      <c r="C486" t="str">
        <v>Minudoc OÜ - Siffi</v>
      </c>
      <c r="D486" t="str">
        <v>FV-4-6689</v>
      </c>
      <c r="E486" s="1">
        <v>46079</v>
      </c>
      <c r="F486" s="1">
        <v>46139</v>
      </c>
      <c r="J486" s="20">
        <f>IFERROR(IF(TODAY()&gt;=E486,(TODAY()-E486)/I486,0),0)</f>
        <v>0</v>
      </c>
      <c r="K486" s="5">
        <v>574.4</v>
      </c>
      <c r="L486" s="5">
        <v>573.199370182584</v>
      </c>
      <c r="M486" s="5">
        <f>K486-L486</f>
        <v>1.2006298174160293</v>
      </c>
      <c r="N486" s="21">
        <v>3646.66</v>
      </c>
      <c r="O486" s="21">
        <v>3731</v>
      </c>
      <c r="Q486" s="21">
        <f>K486*N486</f>
        <v>2094641.5039999997</v>
      </c>
      <c r="R486" s="21">
        <f>L486*O486</f>
        <v>2138606.850151221</v>
      </c>
      <c r="S486" s="21">
        <f>R486-Q486</f>
        <v>43965.34615122108</v>
      </c>
      <c r="T486" t="str">
        <f>IF(R486&lt;= Q486,"No Monetizar","Monetizar")</f>
        <v>Monetizar</v>
      </c>
      <c r="V486" s="1">
        <v>46080</v>
      </c>
      <c r="W486" t="str">
        <v>Alfonso Fonseca A</v>
      </c>
      <c r="X486" t="str">
        <v>Alfonso Fonseca A</v>
      </c>
      <c r="Y486" t="str">
        <v>Se monetiza ya que el valor ofrecido por el banco en cada divisa es superior al valor facturado</v>
      </c>
      <c r="Z486" s="21">
        <f>K486*O486</f>
        <v>2143086.4</v>
      </c>
      <c r="AA486" s="21">
        <f>Z486-Q486</f>
        <v>48444.89600000018</v>
      </c>
    </row>
    <row r="487" outlineLevel="1">
      <c r="B487">
        <v>456</v>
      </c>
      <c r="C487" t="str">
        <v>Minudoc OÜ - Siffi</v>
      </c>
      <c r="D487" t="str">
        <v>FV-5-218</v>
      </c>
      <c r="E487" s="1">
        <v>46079</v>
      </c>
      <c r="F487" s="1">
        <v>46139</v>
      </c>
      <c r="J487" s="20">
        <f>IFERROR(IF(TODAY()&gt;=E487,(TODAY()-E487)/I487,0),0)</f>
        <v>0</v>
      </c>
      <c r="K487" s="5">
        <v>1626.26</v>
      </c>
      <c r="L487" s="5">
        <v>1622.8607377317699</v>
      </c>
      <c r="M487" s="5">
        <f>K487-L487</f>
        <v>3.3992622682301317</v>
      </c>
      <c r="N487" s="21">
        <v>3646.66</v>
      </c>
      <c r="O487" s="21">
        <v>3731</v>
      </c>
      <c r="Q487" s="21">
        <f>K487*N487</f>
        <v>5930417.2916</v>
      </c>
      <c r="R487" s="21">
        <f>L487*O487</f>
        <v>6054893.412477233</v>
      </c>
      <c r="S487" s="21">
        <f>R487-Q487</f>
        <v>124476.12087723333</v>
      </c>
      <c r="T487" t="str">
        <f>IF(R487&lt;= Q487,"No Monetizar","Monetizar")</f>
        <v>Monetizar</v>
      </c>
      <c r="V487" s="1">
        <v>46080</v>
      </c>
      <c r="W487" t="str">
        <v>Alfonso Fonseca A</v>
      </c>
      <c r="X487" t="str">
        <v>Alfonso Fonseca A</v>
      </c>
      <c r="Y487" t="str">
        <v>Se monetiza ya que el valor ofrecido por el banco en cada divisa es superior al valor facturado</v>
      </c>
      <c r="Z487" s="21">
        <f>K487*O487</f>
        <v>6067576.06</v>
      </c>
      <c r="AA487" s="21">
        <f>Z487-Q487</f>
        <v>137158.76839999948</v>
      </c>
    </row>
    <row r="488" outlineLevel="1">
      <c r="B488">
        <v>457</v>
      </c>
      <c r="C488" t="str">
        <v>Minudoc OÜ - Siffi</v>
      </c>
      <c r="D488" t="str">
        <v>FV-5-219</v>
      </c>
      <c r="E488" s="1">
        <v>46079</v>
      </c>
      <c r="F488" s="1">
        <v>46139</v>
      </c>
      <c r="J488" s="20">
        <f>IFERROR(IF(TODAY()&gt;=E488,(TODAY()-E488)/I488,0),0)</f>
        <v>0</v>
      </c>
      <c r="K488" s="5">
        <v>2530.87</v>
      </c>
      <c r="L488" s="5">
        <v>2525.5798920856473</v>
      </c>
      <c r="M488" s="5">
        <f>K488-L488</f>
        <v>5.290107914352575</v>
      </c>
      <c r="N488" s="21">
        <v>3646.66</v>
      </c>
      <c r="O488" s="21">
        <v>3731</v>
      </c>
      <c r="Q488" s="21">
        <f>K488*N488</f>
        <v>9229222.394199999</v>
      </c>
      <c r="R488" s="21">
        <f>L488*O488</f>
        <v>9422938.57737155</v>
      </c>
      <c r="S488" s="21">
        <f>R488-Q488</f>
        <v>193716.18317155167</v>
      </c>
      <c r="T488" t="str">
        <f>IF(R488&lt;= Q488,"No Monetizar","Monetizar")</f>
        <v>Monetizar</v>
      </c>
      <c r="V488" s="1">
        <v>46080</v>
      </c>
      <c r="W488" t="str">
        <v>Alfonso Fonseca A</v>
      </c>
      <c r="X488" t="str">
        <v>Alfonso Fonseca A</v>
      </c>
      <c r="Y488" t="str">
        <v>Se monetiza ya que el valor ofrecido por el banco en cada divisa es superior al valor facturado</v>
      </c>
      <c r="Z488" s="21">
        <f>K488*O488</f>
        <v>9442675.969999999</v>
      </c>
      <c r="AA488" s="21">
        <f>Z488-Q488</f>
        <v>213453.57579999976</v>
      </c>
    </row>
    <row r="489" outlineLevel="1">
      <c r="B489">
        <v>458</v>
      </c>
      <c r="C489" t="str">
        <v>Bubble BPM</v>
      </c>
      <c r="D489" t="str">
        <v>FV-4-6686</v>
      </c>
      <c r="E489" s="1">
        <v>46079</v>
      </c>
      <c r="F489" s="1">
        <v>46139</v>
      </c>
      <c r="J489" s="20">
        <f>IFERROR(IF(TODAY()&gt;=E489,(TODAY()-E489)/I489,0),0)</f>
        <v>0</v>
      </c>
      <c r="K489" s="5">
        <v>126.29</v>
      </c>
      <c r="L489" s="5">
        <v>123.31702490622895</v>
      </c>
      <c r="M489" s="5">
        <f>K489-L489</f>
        <v>2.972975093771055</v>
      </c>
      <c r="N489" s="21">
        <v>3543.31</v>
      </c>
      <c r="O489" s="21">
        <v>3731</v>
      </c>
      <c r="Q489" s="21">
        <f>K489*N489</f>
        <v>447484.6199</v>
      </c>
      <c r="R489" s="21">
        <f>L489*O489</f>
        <v>460095.81992514024</v>
      </c>
      <c r="S489" s="21">
        <f>R489-Q489</f>
        <v>12611.20002514025</v>
      </c>
      <c r="T489" t="str">
        <f>IF(R489&lt;= Q489,"No Monetizar","Monetizar")</f>
        <v>Monetizar</v>
      </c>
      <c r="V489" s="1">
        <v>46080</v>
      </c>
      <c r="W489" t="str">
        <v>Alfonso Fonseca A</v>
      </c>
      <c r="X489" t="str">
        <v>Alfonso Fonseca A</v>
      </c>
      <c r="Y489" t="str">
        <v>Se monetiza ya que el valor ofrecido por el banco en cada divisa es superior al valor facturado</v>
      </c>
      <c r="Z489" s="21">
        <f>K489*O489</f>
        <v>471187.99000000005</v>
      </c>
      <c r="AA489" s="21">
        <f>Z489-Q489</f>
        <v>23703.37010000006</v>
      </c>
    </row>
    <row r="490" outlineLevel="1">
      <c r="B490">
        <v>459</v>
      </c>
      <c r="C490" t="str">
        <v>Bubble BPM</v>
      </c>
      <c r="D490" t="str">
        <v>FV-5-215</v>
      </c>
      <c r="E490" s="1">
        <v>46079</v>
      </c>
      <c r="F490" s="1">
        <v>46139</v>
      </c>
      <c r="J490" s="20">
        <f>IFERROR(IF(TODAY()&gt;=E490,(TODAY()-E490)/I490,0),0)</f>
        <v>0</v>
      </c>
      <c r="K490" s="5">
        <v>1148.09</v>
      </c>
      <c r="L490" s="5">
        <v>1121.0629750937712</v>
      </c>
      <c r="M490" s="5">
        <f>K490-L490</f>
        <v>27.02702490622869</v>
      </c>
      <c r="N490" s="21">
        <v>3543.31</v>
      </c>
      <c r="O490" s="21">
        <v>3731</v>
      </c>
      <c r="Q490" s="21">
        <f>K490*N490</f>
        <v>4068038.7778999996</v>
      </c>
      <c r="R490" s="21">
        <f>L490*O490</f>
        <v>4182685.9600748606</v>
      </c>
      <c r="S490" s="21">
        <f>R490-Q490</f>
        <v>114647.18217486097</v>
      </c>
      <c r="T490" t="str">
        <f>IF(R490&lt;= Q490,"No Monetizar","Monetizar")</f>
        <v>Monetizar</v>
      </c>
      <c r="V490" s="1">
        <v>46080</v>
      </c>
      <c r="W490" t="str">
        <v>Alfonso Fonseca A</v>
      </c>
      <c r="X490" t="str">
        <v>Alfonso Fonseca A</v>
      </c>
      <c r="Y490" t="str">
        <v>Se monetiza ya que el valor ofrecido por el banco en cada divisa es superior al valor facturado</v>
      </c>
      <c r="Z490" s="21">
        <f>K490*O490</f>
        <v>4283523.79</v>
      </c>
      <c r="AA490" s="21">
        <f>Z490-Q490</f>
        <v>215485.0121000004</v>
      </c>
    </row>
    <row r="491" outlineLevel="1">
      <c r="B491">
        <v>460</v>
      </c>
      <c r="C491" t="str">
        <v>Hemmebarsch GMBH &amp; Co KG</v>
      </c>
      <c r="D491" t="str">
        <v>FV-4-6684</v>
      </c>
      <c r="E491" s="1">
        <v>46086</v>
      </c>
      <c r="F491" s="1">
        <v>46146</v>
      </c>
      <c r="J491" s="20">
        <f>IFERROR(IF(TODAY()&gt;=E491,(TODAY()-E491)/I491,0),0)</f>
        <v>0</v>
      </c>
      <c r="K491" s="5">
        <v>191</v>
      </c>
      <c r="L491" s="5">
        <v>191</v>
      </c>
      <c r="M491" s="5">
        <f>K491-L491</f>
        <v>0</v>
      </c>
      <c r="N491" s="21">
        <v>3543.31</v>
      </c>
      <c r="O491" s="21">
        <v>3757.15</v>
      </c>
      <c r="Q491" s="21">
        <f>K491*N491</f>
        <v>676772.21</v>
      </c>
      <c r="R491" s="21">
        <f>L491*O491</f>
        <v>717615.65</v>
      </c>
      <c r="S491" s="21">
        <f>R491-Q491</f>
        <v>40843.44000000006</v>
      </c>
      <c r="T491" t="str">
        <f>IF(R491&lt;= Q491,"No Monetizar","Monetizar")</f>
        <v>Monetizar</v>
      </c>
      <c r="V491" s="1">
        <v>46086</v>
      </c>
      <c r="W491" t="str">
        <v>Alfonso Fonseca A</v>
      </c>
      <c r="X491" t="str">
        <v>Alfonso Fonseca A</v>
      </c>
      <c r="Y491" t="str">
        <v>Se monetiza ya que el valor ofrecido por el banco en cada divisa es superior al valor facturado</v>
      </c>
      <c r="Z491" s="21">
        <f>K491*O491</f>
        <v>717615.65</v>
      </c>
      <c r="AA491" s="21">
        <f>Z491-Q491</f>
        <v>40843.44000000006</v>
      </c>
    </row>
    <row r="492" outlineLevel="1">
      <c r="B492">
        <v>461</v>
      </c>
      <c r="C492" t="str">
        <v>Hemmebarsch GMBH &amp; Co KG</v>
      </c>
      <c r="D492" t="str">
        <v>FV-5-213</v>
      </c>
      <c r="E492" s="1">
        <v>46086</v>
      </c>
      <c r="F492" s="1">
        <v>46146</v>
      </c>
      <c r="J492" s="20">
        <f>IFERROR(IF(TODAY()&gt;=E492,(TODAY()-E492)/I492,0),0)</f>
        <v>0</v>
      </c>
      <c r="K492" s="5">
        <v>1909.97</v>
      </c>
      <c r="L492" s="5">
        <v>1909.97</v>
      </c>
      <c r="M492" s="5">
        <f>K492-L492</f>
        <v>0</v>
      </c>
      <c r="N492" s="21">
        <v>3543.31</v>
      </c>
      <c r="O492" s="21">
        <v>3757.15</v>
      </c>
      <c r="Q492" s="21">
        <f>K492*N492</f>
        <v>6767615.8007</v>
      </c>
      <c r="R492" s="21">
        <f>L492*O492</f>
        <v>7176043.7855</v>
      </c>
      <c r="S492" s="21">
        <f>R492-Q492</f>
        <v>408427.9848000007</v>
      </c>
      <c r="T492" t="str">
        <f>IF(R492&lt;= Q492,"No Monetizar","Monetizar")</f>
        <v>Monetizar</v>
      </c>
      <c r="V492" s="1">
        <v>46086</v>
      </c>
      <c r="W492" t="str">
        <v>Alfonso Fonseca A</v>
      </c>
      <c r="X492" t="str">
        <v>Alfonso Fonseca A</v>
      </c>
      <c r="Y492" t="str">
        <v>Se monetiza ya que el valor ofrecido por el banco en cada divisa es superior al valor facturado</v>
      </c>
      <c r="Z492" s="21">
        <f>K492*O492</f>
        <v>7176043.7855</v>
      </c>
      <c r="AA492" s="21">
        <f>Z492-Q492</f>
        <v>408427.9848000007</v>
      </c>
    </row>
    <row r="493" outlineLevel="1">
      <c r="B493">
        <v>462</v>
      </c>
      <c r="C493" t="str">
        <v>Hemmebarsch GMBH &amp; Co KG</v>
      </c>
      <c r="D493" t="str">
        <v>FV-4-6685</v>
      </c>
      <c r="E493" s="1">
        <v>46086</v>
      </c>
      <c r="F493" s="1">
        <v>46146</v>
      </c>
      <c r="J493" s="20">
        <f>IFERROR(IF(TODAY()&gt;=E493,(TODAY()-E493)/I493,0),0)</f>
        <v>0</v>
      </c>
      <c r="K493" s="5">
        <v>127.57</v>
      </c>
      <c r="L493" s="5">
        <v>127.57</v>
      </c>
      <c r="M493" s="5">
        <f>K493-L493</f>
        <v>0</v>
      </c>
      <c r="N493" s="21">
        <v>3543.31</v>
      </c>
      <c r="O493" s="21">
        <v>3757.15</v>
      </c>
      <c r="Q493" s="21">
        <f>K493*N493</f>
        <v>452020.05669999996</v>
      </c>
      <c r="R493" s="21">
        <f>L493*O493</f>
        <v>479299.62549999997</v>
      </c>
      <c r="S493" s="21">
        <f>R493-Q493</f>
        <v>27279.56880000001</v>
      </c>
      <c r="T493" t="str">
        <f>IF(R493&lt;= Q493,"No Monetizar","Monetizar")</f>
        <v>Monetizar</v>
      </c>
      <c r="V493" s="1">
        <v>46086</v>
      </c>
      <c r="W493" t="str">
        <v>Alfonso Fonseca A</v>
      </c>
      <c r="X493" t="str">
        <v>Alfonso Fonseca A</v>
      </c>
      <c r="Y493" t="str">
        <v>Se monetiza ya que el valor ofrecido por el banco en cada divisa es superior al valor facturado</v>
      </c>
      <c r="Z493" s="21">
        <f>K493*O493</f>
        <v>479299.62549999997</v>
      </c>
      <c r="AA493" s="21">
        <f>Z493-Q493</f>
        <v>27279.56880000001</v>
      </c>
    </row>
    <row r="494" outlineLevel="1">
      <c r="B494">
        <v>463</v>
      </c>
      <c r="C494" t="str">
        <v>Hemmebarsch GMBH &amp; Co KG</v>
      </c>
      <c r="D494" t="str">
        <v>FV-5-214</v>
      </c>
      <c r="E494" s="1">
        <v>46086</v>
      </c>
      <c r="F494" s="1">
        <v>46146</v>
      </c>
      <c r="J494" s="20">
        <f>IFERROR(IF(TODAY()&gt;=E494,(TODAY()-E494)/I494,0),0)</f>
        <v>0</v>
      </c>
      <c r="K494" s="5">
        <v>1275.67</v>
      </c>
      <c r="L494" s="5">
        <v>1275.67</v>
      </c>
      <c r="M494" s="5">
        <f>K494-L494</f>
        <v>0</v>
      </c>
      <c r="N494" s="21">
        <v>3543.31</v>
      </c>
      <c r="O494" s="21">
        <v>3757.15</v>
      </c>
      <c r="Q494" s="21">
        <f>K494*N494</f>
        <v>4520094.2677</v>
      </c>
      <c r="R494" s="21">
        <f>L494*O494</f>
        <v>4792883.5405</v>
      </c>
      <c r="S494" s="21">
        <f>R494-Q494</f>
        <v>272789.2728000004</v>
      </c>
      <c r="T494" t="str">
        <f>IF(R494&lt;= Q494,"No Monetizar","Monetizar")</f>
        <v>Monetizar</v>
      </c>
      <c r="V494" s="1">
        <v>46086</v>
      </c>
      <c r="W494" t="str">
        <v>Alfonso Fonseca A</v>
      </c>
      <c r="X494" t="str">
        <v>Alfonso Fonseca A</v>
      </c>
      <c r="Y494" t="str">
        <v>Se monetiza ya que el valor ofrecido por el banco en cada divisa es superior al valor facturado</v>
      </c>
      <c r="Z494" s="21">
        <f>K494*O494</f>
        <v>4792883.5405</v>
      </c>
      <c r="AA494" s="21">
        <f>Z494-Q494</f>
        <v>272789.2728000004</v>
      </c>
    </row>
    <row r="495" outlineLevel="1">
      <c r="B495">
        <v>464</v>
      </c>
      <c r="C495" t="str">
        <v>Solutions &amp; Payroll Panamá</v>
      </c>
      <c r="D495" t="str">
        <v>S/N</v>
      </c>
      <c r="E495" s="1">
        <v>46085</v>
      </c>
      <c r="F495" s="1">
        <v>46147</v>
      </c>
      <c r="J495" s="20">
        <f>IFERROR(IF(TODAY()&gt;=E495,(TODAY()-E495)/I495,0),0)</f>
        <v>0</v>
      </c>
      <c r="K495" s="5">
        <v>15784.99</v>
      </c>
      <c r="L495" s="5">
        <v>15784.99</v>
      </c>
      <c r="M495" s="5">
        <f>K495-L495</f>
        <v>0</v>
      </c>
      <c r="N495" s="21">
        <v>3768.73</v>
      </c>
      <c r="O495" s="21">
        <v>3782</v>
      </c>
      <c r="Q495" s="21">
        <f>K495*N495</f>
        <v>59489365.3627</v>
      </c>
      <c r="R495" s="21">
        <f>L495*O495</f>
        <v>59698832.18</v>
      </c>
      <c r="S495" s="21">
        <f>R495-Q495</f>
        <v>209466.8172999993</v>
      </c>
      <c r="T495" t="str">
        <f>IF(R495&lt;= Q495,"No Monetizar","Monetizar")</f>
        <v>Monetizar</v>
      </c>
      <c r="V495" s="1">
        <v>46087</v>
      </c>
      <c r="W495" t="str">
        <v>Alfonso Fonseca A</v>
      </c>
      <c r="X495" t="str">
        <v>Alfonso Fonseca A</v>
      </c>
      <c r="Y495" t="str">
        <v>Se monetiza ya que el valor ofrecido por el banco en cada divisa es superior al valor facturado</v>
      </c>
      <c r="Z495" s="21">
        <f>K495*O495</f>
        <v>59698832.18</v>
      </c>
      <c r="AA495" s="21">
        <f>Z495-Q495</f>
        <v>209466.8172999993</v>
      </c>
    </row>
    <row r="496" outlineLevel="1">
      <c r="B496">
        <v>474</v>
      </c>
      <c r="C496" t="str">
        <v xml:space="preserve">Deel </v>
      </c>
      <c r="D496" t="str">
        <v>FV-4-6658</v>
      </c>
      <c r="E496" s="1">
        <v>46087</v>
      </c>
      <c r="F496" s="1">
        <v>46147</v>
      </c>
      <c r="J496" s="20">
        <f>IFERROR(IF(TODAY()&gt;=E496,(TODAY()-E496)/I496,0),0)</f>
        <v>0</v>
      </c>
      <c r="K496" s="5">
        <v>11437.18</v>
      </c>
      <c r="L496" s="5">
        <v>11437.18</v>
      </c>
      <c r="M496" s="5">
        <f>K496-L496</f>
        <v>0</v>
      </c>
      <c r="N496" s="21">
        <v>3661.29</v>
      </c>
      <c r="O496" s="21">
        <v>3719.05</v>
      </c>
      <c r="Q496" s="21">
        <f>K496*N496</f>
        <v>41874832.7622</v>
      </c>
      <c r="R496" s="21">
        <f>L496*O496</f>
        <v>42535444.27900001</v>
      </c>
      <c r="S496" s="21">
        <f>R496-Q496</f>
        <v>660611.5168000087</v>
      </c>
      <c r="T496" t="str">
        <f>IF(R496&lt;= Q496,"No Monetizar","Monetizar")</f>
        <v>Monetizar</v>
      </c>
      <c r="V496" s="1">
        <v>46090</v>
      </c>
      <c r="W496" t="str">
        <v>Alfonso Fonseca A</v>
      </c>
      <c r="X496" t="str">
        <v>Alfonso Fonseca A</v>
      </c>
      <c r="Y496" t="str">
        <v>Se monetiza ya que el valor ofrecido por el banco en cada divisa es superior al valor facturado</v>
      </c>
      <c r="Z496" s="21">
        <f>K496*O496</f>
        <v>42535444.27900001</v>
      </c>
      <c r="AA496" s="21">
        <f>Z496-Q496</f>
        <v>660611.5168000087</v>
      </c>
    </row>
    <row r="497" outlineLevel="1">
      <c r="B497">
        <v>475</v>
      </c>
      <c r="C497" t="str">
        <v xml:space="preserve">Deel </v>
      </c>
      <c r="D497" t="str">
        <v>FV-4-6646-6649</v>
      </c>
      <c r="E497" s="1">
        <v>46087</v>
      </c>
      <c r="F497" s="1">
        <v>46147</v>
      </c>
      <c r="J497" s="20">
        <f>IFERROR(IF(TODAY()&gt;=E497,(TODAY()-E497)/I497,0),0)</f>
        <v>0</v>
      </c>
      <c r="K497" s="5">
        <v>10705.7</v>
      </c>
      <c r="L497" s="5">
        <v>10690.7</v>
      </c>
      <c r="M497" s="5">
        <f>K497-L497</f>
        <v>15</v>
      </c>
      <c r="N497" s="21">
        <v>3661.29</v>
      </c>
      <c r="O497" s="21">
        <v>3719.05</v>
      </c>
      <c r="Q497" s="21">
        <f>K497*N497</f>
        <v>39196672.353</v>
      </c>
      <c r="R497" s="21">
        <f>L497*O497</f>
        <v>39759247.83500001</v>
      </c>
      <c r="S497" s="21">
        <f>R497-Q497</f>
        <v>562575.4820000082</v>
      </c>
      <c r="T497" t="str">
        <f>IF(R497&lt;= Q497,"No Monetizar","Monetizar")</f>
        <v>Monetizar</v>
      </c>
      <c r="V497" s="1">
        <v>46090</v>
      </c>
      <c r="W497" t="str">
        <v>Alfonso Fonseca A</v>
      </c>
      <c r="X497" t="str">
        <v>Alfonso Fonseca A</v>
      </c>
      <c r="Y497" t="str">
        <v>Se monetiza ya que el valor ofrecido por el banco en cada divisa es superior al valor facturado</v>
      </c>
      <c r="Z497" s="21">
        <f>K497*O497</f>
        <v>39815033.58500001</v>
      </c>
      <c r="AA497" s="21">
        <f>Z497-Q497</f>
        <v>618361.2320000082</v>
      </c>
    </row>
    <row r="498" outlineLevel="1">
      <c r="B498">
        <v>476</v>
      </c>
      <c r="C498" t="str">
        <v>Insider</v>
      </c>
      <c r="D498" t="str">
        <v>FV-5-243</v>
      </c>
      <c r="E498" s="1">
        <v>46094</v>
      </c>
      <c r="F498" s="1">
        <v>46154</v>
      </c>
      <c r="J498" s="20">
        <f>IFERROR(IF(TODAY()&gt;=E498,(TODAY()-E498)/I498,0),0)</f>
        <v>0</v>
      </c>
      <c r="K498" s="5">
        <v>2101.5</v>
      </c>
      <c r="L498" s="5">
        <v>2086.5</v>
      </c>
      <c r="M498" s="5">
        <f>K498-L498</f>
        <v>15</v>
      </c>
      <c r="N498" s="21">
        <v>3650.99</v>
      </c>
      <c r="O498" s="21">
        <v>3692.55</v>
      </c>
      <c r="Q498" s="21">
        <f>K498*N498</f>
        <v>7672555.484999999</v>
      </c>
      <c r="R498" s="21">
        <f>L498*O498</f>
        <v>7704505.575</v>
      </c>
      <c r="S498" s="21">
        <f>R498-Q498</f>
        <v>31950.090000000782</v>
      </c>
      <c r="T498" t="str">
        <f>IF(R498&lt;= Q498,"No Monetizar","Monetizar")</f>
        <v>Monetizar</v>
      </c>
      <c r="V498" s="1">
        <v>46090</v>
      </c>
      <c r="W498" t="str">
        <v>Alfonso Fonseca A</v>
      </c>
      <c r="X498" t="str">
        <v>Alfonso Fonseca A</v>
      </c>
      <c r="Y498" t="str">
        <v>Se monetiza ya que el valor ofrecido por el banco en cada divisa es superior al valor facturado</v>
      </c>
      <c r="Z498" s="21">
        <f>K498*O498</f>
        <v>7759893.825</v>
      </c>
      <c r="AA498" s="21">
        <f>Z498-Q498</f>
        <v>87338.34000000078</v>
      </c>
    </row>
    <row r="499" outlineLevel="1">
      <c r="B499">
        <v>477</v>
      </c>
      <c r="C499" t="str">
        <v>Global Project</v>
      </c>
      <c r="D499" t="str">
        <v>FV-4-6403</v>
      </c>
      <c r="E499" s="1">
        <v>46094</v>
      </c>
      <c r="F499" s="1">
        <v>46154</v>
      </c>
      <c r="J499" s="20">
        <f>IFERROR(IF(TODAY()&gt;=E499,(TODAY()-E499)/I499,0),0)</f>
        <v>0</v>
      </c>
      <c r="K499" s="5">
        <v>700</v>
      </c>
      <c r="L499" s="5">
        <v>699.1709186694902</v>
      </c>
      <c r="M499" s="5">
        <f>K499-L499</f>
        <v>0.82908133050978</v>
      </c>
      <c r="N499" s="21">
        <v>3870.42</v>
      </c>
      <c r="O499" s="21">
        <v>3671.5</v>
      </c>
      <c r="Q499" s="21">
        <f>K499*N499</f>
        <v>2709294</v>
      </c>
      <c r="R499" s="21">
        <f>L499*O499</f>
        <v>2567006.0278950334</v>
      </c>
      <c r="S499" s="21">
        <f>R499-Q499</f>
        <v>-142287.97210496664</v>
      </c>
      <c r="T499" t="str">
        <f>IF(R499&lt;= Q499,"No Monetizar","Monetizar")</f>
        <v>No Monetizar</v>
      </c>
      <c r="V499" s="1">
        <v>46097</v>
      </c>
      <c r="W499" t="str">
        <v>Alfonso Fonseca A</v>
      </c>
      <c r="X499" t="str">
        <v>Alfonso Fonseca A</v>
      </c>
      <c r="Y499"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499" s="21">
        <f>K499*O499</f>
        <v>2570050</v>
      </c>
      <c r="AA499" s="21">
        <f>Z499-Q499</f>
        <v>-139244</v>
      </c>
    </row>
    <row r="500" outlineLevel="1">
      <c r="B500">
        <v>478</v>
      </c>
      <c r="C500" t="str">
        <v>Global Project</v>
      </c>
      <c r="D500" t="str">
        <v>FV-4-6505</v>
      </c>
      <c r="E500" s="1">
        <v>46094</v>
      </c>
      <c r="F500" s="1">
        <v>46154</v>
      </c>
      <c r="J500" s="20">
        <f>IFERROR(IF(TODAY()&gt;=E500,(TODAY()-E500)/I500,0),0)</f>
        <v>0</v>
      </c>
      <c r="K500" s="5">
        <v>700</v>
      </c>
      <c r="L500" s="5">
        <v>699.1709186694902</v>
      </c>
      <c r="M500" s="5">
        <f>K500-L500</f>
        <v>0.82908133050978</v>
      </c>
      <c r="N500" s="21">
        <v>3817.66</v>
      </c>
      <c r="O500" s="21">
        <v>3671.5</v>
      </c>
      <c r="Q500" s="21">
        <f>K500*N500</f>
        <v>2672362</v>
      </c>
      <c r="R500" s="21">
        <f>L500*O500</f>
        <v>2567006.0278950334</v>
      </c>
      <c r="S500" s="21">
        <f>R500-Q500</f>
        <v>-105355.97210496664</v>
      </c>
      <c r="T500" t="str">
        <f>IF(R500&lt;= Q500,"No Monetizar","Monetizar")</f>
        <v>No Monetizar</v>
      </c>
      <c r="V500" s="1">
        <v>46097</v>
      </c>
      <c r="W500" t="str">
        <v>Alfonso Fonseca A</v>
      </c>
      <c r="X500" t="str">
        <v>Alfonso Fonseca A</v>
      </c>
      <c r="Y500"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0" s="21">
        <f>K500*O500</f>
        <v>2570050</v>
      </c>
      <c r="AA500" s="21">
        <f>Z500-Q500</f>
        <v>-102312</v>
      </c>
    </row>
    <row r="501" outlineLevel="1">
      <c r="B501">
        <v>479</v>
      </c>
      <c r="C501" t="str">
        <v>Global Project</v>
      </c>
      <c r="D501" t="str">
        <v>FV-5-85</v>
      </c>
      <c r="E501" s="1">
        <v>46094</v>
      </c>
      <c r="F501" s="1">
        <v>46154</v>
      </c>
      <c r="J501" s="20">
        <f>IFERROR(IF(TODAY()&gt;=E501,(TODAY()-E501)/I501,0),0)</f>
        <v>0</v>
      </c>
      <c r="K501" s="5">
        <v>1282.24</v>
      </c>
      <c r="L501" s="5">
        <v>1280.7213125068104</v>
      </c>
      <c r="M501" s="5">
        <f>K501-L501</f>
        <v>1.5186874931896455</v>
      </c>
      <c r="N501" s="21">
        <v>3933.31</v>
      </c>
      <c r="O501" s="21">
        <v>3671.5</v>
      </c>
      <c r="Q501" s="21">
        <f>K501*N501</f>
        <v>5043447.4144</v>
      </c>
      <c r="R501" s="21">
        <f>L501*O501</f>
        <v>4702168.298868754</v>
      </c>
      <c r="S501" s="21">
        <f>R501-Q501</f>
        <v>-341279.1155312462</v>
      </c>
      <c r="T501" t="str">
        <f>IF(R501&lt;= Q501,"No Monetizar","Monetizar")</f>
        <v>No Monetizar</v>
      </c>
      <c r="V501" s="1">
        <v>46097</v>
      </c>
      <c r="W501" t="str">
        <v>Alfonso Fonseca A</v>
      </c>
      <c r="X501" t="str">
        <v>Alfonso Fonseca A</v>
      </c>
      <c r="Y501"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1" s="21">
        <f>K501*O501</f>
        <v>4707744.16</v>
      </c>
      <c r="AA501" s="21">
        <f>Z501-Q501</f>
        <v>-335703.2544</v>
      </c>
    </row>
    <row r="502" outlineLevel="1">
      <c r="B502">
        <v>480</v>
      </c>
      <c r="C502" t="str">
        <v>Global Project</v>
      </c>
      <c r="D502" t="str">
        <v>FV-5-123</v>
      </c>
      <c r="E502" s="1">
        <v>46094</v>
      </c>
      <c r="F502" s="1">
        <v>46154</v>
      </c>
      <c r="J502" s="20">
        <f>IFERROR(IF(TODAY()&gt;=E502,(TODAY()-E502)/I502,0),0)</f>
        <v>0</v>
      </c>
      <c r="K502" s="5">
        <v>697.19</v>
      </c>
      <c r="L502" s="5">
        <v>696.3642468388314</v>
      </c>
      <c r="M502" s="5">
        <f>K502-L502</f>
        <v>0.8257531611686773</v>
      </c>
      <c r="N502" s="21">
        <v>3808.77</v>
      </c>
      <c r="O502" s="21">
        <v>3671.5</v>
      </c>
      <c r="Q502" s="21">
        <f>K502*N502</f>
        <v>2655436.3563</v>
      </c>
      <c r="R502" s="21">
        <f>L502*O502</f>
        <v>2556701.3322687694</v>
      </c>
      <c r="S502" s="21">
        <f>R502-Q502</f>
        <v>-98735.02403123071</v>
      </c>
      <c r="T502" t="str">
        <f>IF(R502&lt;= Q502,"No Monetizar","Monetizar")</f>
        <v>No Monetizar</v>
      </c>
      <c r="V502" s="1">
        <v>46097</v>
      </c>
      <c r="W502" t="str">
        <v>Alfonso Fonseca A</v>
      </c>
      <c r="X502" t="str">
        <v>Alfonso Fonseca A</v>
      </c>
      <c r="Y502"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2" s="21">
        <f>K502*O502</f>
        <v>2559733.0850000004</v>
      </c>
      <c r="AA502" s="21">
        <f>Z502-Q502</f>
        <v>-95703.27129999967</v>
      </c>
    </row>
    <row r="503" outlineLevel="1">
      <c r="B503">
        <v>481</v>
      </c>
      <c r="C503" t="str">
        <v>Global Project</v>
      </c>
      <c r="D503" t="str">
        <v>FV-5-158</v>
      </c>
      <c r="E503" s="1">
        <v>46094</v>
      </c>
      <c r="F503" s="1">
        <v>46154</v>
      </c>
      <c r="J503" s="20">
        <f>IFERROR(IF(TODAY()&gt;=E503,(TODAY()-E503)/I503,0),0)</f>
        <v>0</v>
      </c>
      <c r="K503" s="5">
        <v>376.72</v>
      </c>
      <c r="L503" s="5">
        <v>376.2738121159577</v>
      </c>
      <c r="M503" s="5">
        <f>K503-L503</f>
        <v>0.446187884042331</v>
      </c>
      <c r="N503" s="21">
        <v>3792.59</v>
      </c>
      <c r="O503" s="21">
        <v>3671.5</v>
      </c>
      <c r="Q503" s="21">
        <f>K503*N503</f>
        <v>1428744.5048000002</v>
      </c>
      <c r="R503" s="21">
        <f>L503*O503</f>
        <v>1381489.3011837387</v>
      </c>
      <c r="S503" s="21">
        <f>R503-Q503</f>
        <v>-47255.20361626148</v>
      </c>
      <c r="T503" t="str">
        <f>IF(R503&lt;= Q503,"No Monetizar","Monetizar")</f>
        <v>No Monetizar</v>
      </c>
      <c r="V503" s="1">
        <v>46097</v>
      </c>
      <c r="W503" t="str">
        <v>Alfonso Fonseca A</v>
      </c>
      <c r="X503" t="str">
        <v>Alfonso Fonseca A</v>
      </c>
      <c r="Y503"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3" s="21">
        <f>K503*O503</f>
        <v>1383127.4800000002</v>
      </c>
      <c r="AA503" s="21">
        <f>Z503-Q503</f>
        <v>-45617.024800000014</v>
      </c>
    </row>
    <row r="504" outlineLevel="1">
      <c r="B504">
        <v>482</v>
      </c>
      <c r="C504" t="str">
        <v>Global Project</v>
      </c>
      <c r="D504" t="str">
        <v>FV-5-198</v>
      </c>
      <c r="E504" s="1">
        <v>46094</v>
      </c>
      <c r="F504" s="1">
        <v>46154</v>
      </c>
      <c r="J504" s="20">
        <f>IFERROR(IF(TODAY()&gt;=E504,(TODAY()-E504)/I504,0),0)</f>
        <v>0</v>
      </c>
      <c r="K504" s="5">
        <v>4686.93</v>
      </c>
      <c r="L504" s="5">
        <v>4681.37879119942</v>
      </c>
      <c r="M504" s="5">
        <f>K504-L504</f>
        <v>5.551208800579843</v>
      </c>
      <c r="N504" s="21">
        <v>3678.59</v>
      </c>
      <c r="O504" s="21">
        <v>3671.5</v>
      </c>
      <c r="Q504" s="21">
        <f>K504*N504</f>
        <v>17241293.828700002</v>
      </c>
      <c r="R504" s="21">
        <f>L504*O504</f>
        <v>17187682.23188867</v>
      </c>
      <c r="S504" s="21">
        <f>R504-Q504</f>
        <v>-53611.59681133181</v>
      </c>
      <c r="T504" t="str">
        <f>IF(R504&lt;= Q504,"No Monetizar","Monetizar")</f>
        <v>No Monetizar</v>
      </c>
      <c r="V504" s="1">
        <v>46097</v>
      </c>
      <c r="W504" t="str">
        <v>Alfonso Fonseca A</v>
      </c>
      <c r="X504" t="str">
        <v>Alfonso Fonseca A</v>
      </c>
      <c r="Y504" t="str">
        <v>Se monetiza este dinero por debajo de lo facturado dado el valor que paga el banco no esta superando la barrera de los 3,700 actualmente. adicional se debe pagar el 16/03/2026 impuestos de retencion en la fuente e IVA por lo que se requiere este dinero para completar el pago de estas obligaciones.</v>
      </c>
      <c r="Z504" s="21">
        <f>K504*O504</f>
        <v>17208063.495</v>
      </c>
      <c r="AA504" s="21">
        <f>Z504-Q504</f>
        <v>-33230.33370000124</v>
      </c>
    </row>
    <row r="505" outlineLevel="1">
      <c r="B505">
        <v>483</v>
      </c>
      <c r="C505" t="str">
        <v>Action</v>
      </c>
      <c r="D505">
        <v>6783</v>
      </c>
      <c r="E505" s="1">
        <v>46098</v>
      </c>
      <c r="F505" s="1">
        <v>46158</v>
      </c>
      <c r="J505" s="20">
        <f>IFERROR(IF(TODAY()&gt;=E505,(TODAY()-E505)/I505,0),0)</f>
        <v>0</v>
      </c>
      <c r="K505" s="5">
        <v>350.74</v>
      </c>
      <c r="L505" s="5">
        <v>350.74</v>
      </c>
      <c r="M505" s="5">
        <f>K505-L505</f>
        <v>0</v>
      </c>
      <c r="N505" s="21">
        <v>3646.68</v>
      </c>
      <c r="O505" s="21">
        <v>3670</v>
      </c>
      <c r="Q505" s="21">
        <f>K505*N505</f>
        <v>1279036.5432</v>
      </c>
      <c r="R505" s="21">
        <f>L505*O505</f>
        <v>1287215.8</v>
      </c>
      <c r="S505" s="21">
        <f>R505-Q505</f>
        <v>8179.25680000009</v>
      </c>
      <c r="T505" t="str">
        <f>IF(R505&lt;= Q505,"No Monetizar","Monetizar")</f>
        <v>Monetizar</v>
      </c>
      <c r="V505" s="1">
        <v>46098</v>
      </c>
      <c r="W505" t="str">
        <v>Alfonso Fonseca A</v>
      </c>
      <c r="X505" t="str">
        <v>Alfonso Fonseca A</v>
      </c>
      <c r="Y505" t="str">
        <v>Se monetiza ya que el valor ofrecido por el banco en cada divisa es superior al valor facturado</v>
      </c>
      <c r="Z505" s="21">
        <f>K505*O505</f>
        <v>1287215.8</v>
      </c>
      <c r="AA505" s="21">
        <f>Z505-Q505</f>
        <v>8179.25680000009</v>
      </c>
    </row>
    <row r="506" outlineLevel="1">
      <c r="B506">
        <v>484</v>
      </c>
      <c r="C506" t="str">
        <v>Action</v>
      </c>
      <c r="D506" t="str">
        <v>FV-5-255</v>
      </c>
      <c r="E506" s="1">
        <v>46098</v>
      </c>
      <c r="F506" s="1">
        <v>46158</v>
      </c>
      <c r="J506" s="20">
        <f>IFERROR(IF(TODAY()&gt;=E506,(TODAY()-E506)/I506,0),0)</f>
        <v>0</v>
      </c>
      <c r="K506" s="5">
        <v>3188.52</v>
      </c>
      <c r="L506" s="5">
        <v>3188.52</v>
      </c>
      <c r="M506" s="5">
        <f>K506-L506</f>
        <v>0</v>
      </c>
      <c r="N506" s="21">
        <v>3646.68</v>
      </c>
      <c r="O506" s="21">
        <v>3670</v>
      </c>
      <c r="Q506" s="21">
        <f>K506*N506</f>
        <v>11627512.113599999</v>
      </c>
      <c r="R506" s="21">
        <f>L506*O506</f>
        <v>11701868.4</v>
      </c>
      <c r="S506" s="21">
        <f>R506-Q506</f>
        <v>74356.2864000015</v>
      </c>
      <c r="T506" t="str">
        <f>IF(R506&lt;= Q506,"No Monetizar","Monetizar")</f>
        <v>Monetizar</v>
      </c>
      <c r="V506" s="1">
        <v>46098</v>
      </c>
      <c r="W506" t="str">
        <v>Alfonso Fonseca A</v>
      </c>
      <c r="X506" t="str">
        <v>Alfonso Fonseca A</v>
      </c>
      <c r="Y506" t="str">
        <v>Se monetiza ya que el valor ofrecido por el banco en cada divisa es superior al valor facturado</v>
      </c>
      <c r="Z506" s="21">
        <f>K506*O506</f>
        <v>11701868.4</v>
      </c>
      <c r="AA506" s="21">
        <f>Z506-Q506</f>
        <v>74356.2864000015</v>
      </c>
    </row>
    <row r="507" outlineLevel="1">
      <c r="B507">
        <v>485</v>
      </c>
      <c r="C507" t="str">
        <v>Root Capital</v>
      </c>
      <c r="D507" t="str">
        <v>FV-4-6775</v>
      </c>
      <c r="E507" s="1">
        <v>46099</v>
      </c>
      <c r="F507" s="1">
        <v>46159</v>
      </c>
      <c r="J507" s="20">
        <f>IFERROR(IF(TODAY()&gt;=E507,(TODAY()-E507)/I507,0),0)</f>
        <v>0</v>
      </c>
      <c r="K507" s="5">
        <v>509.61</v>
      </c>
      <c r="L507" s="5">
        <v>509.61</v>
      </c>
      <c r="M507" s="5">
        <f>K507-L507</f>
        <v>0</v>
      </c>
      <c r="N507" s="21">
        <v>3650.99</v>
      </c>
      <c r="O507" s="21">
        <v>3671.55</v>
      </c>
      <c r="Q507" s="21">
        <f>K507*N507</f>
        <v>1860581.0139</v>
      </c>
      <c r="R507" s="21">
        <f>L507*O507</f>
        <v>1871058.5955</v>
      </c>
      <c r="S507" s="21">
        <f>R507-Q507</f>
        <v>10477.58160000015</v>
      </c>
      <c r="T507" t="str">
        <f>IF(R507&lt;= Q507,"No Monetizar","Monetizar")</f>
        <v>Monetizar</v>
      </c>
      <c r="V507" s="1">
        <v>46100</v>
      </c>
      <c r="W507" t="str">
        <v>Alfonso Fonseca A</v>
      </c>
      <c r="X507" t="str">
        <v>Alfonso Fonseca A</v>
      </c>
      <c r="Y507" t="str">
        <v>Se monetiza ya que el valor ofrecido por el banco en cada divisa es superior al valor facturado</v>
      </c>
      <c r="Z507" s="21">
        <f>K507*O507</f>
        <v>1871058.5955</v>
      </c>
      <c r="AA507" s="21">
        <f>Z507-Q507</f>
        <v>10477.58160000015</v>
      </c>
    </row>
    <row r="508" outlineLevel="1">
      <c r="B508">
        <v>486</v>
      </c>
      <c r="C508" t="str">
        <v>Root Capital</v>
      </c>
      <c r="D508" t="str">
        <v>FV-5-250</v>
      </c>
      <c r="E508" s="1">
        <v>46099</v>
      </c>
      <c r="F508" s="1">
        <v>46159</v>
      </c>
      <c r="J508" s="20">
        <f>IFERROR(IF(TODAY()&gt;=E508,(TODAY()-E508)/I508,0),0)</f>
        <v>0</v>
      </c>
      <c r="K508" s="5">
        <v>5671.47</v>
      </c>
      <c r="L508" s="5">
        <v>5671.47</v>
      </c>
      <c r="M508" s="5">
        <f>K508-L508</f>
        <v>0</v>
      </c>
      <c r="N508" s="21">
        <v>3650.99</v>
      </c>
      <c r="O508" s="21">
        <v>3671.55</v>
      </c>
      <c r="Q508" s="21">
        <f>K508*N508</f>
        <v>20706480.2553</v>
      </c>
      <c r="R508" s="21">
        <f>L508*O508</f>
        <v>20823085.6785</v>
      </c>
      <c r="S508" s="21">
        <f>R508-Q508</f>
        <v>116605.42320000008</v>
      </c>
      <c r="T508" t="str">
        <f>IF(R508&lt;= Q508,"No Monetizar","Monetizar")</f>
        <v>Monetizar</v>
      </c>
      <c r="V508" s="1">
        <v>46100</v>
      </c>
      <c r="W508" t="str">
        <v>Alfonso Fonseca A</v>
      </c>
      <c r="X508" t="str">
        <v>Alfonso Fonseca A</v>
      </c>
      <c r="Y508" t="str">
        <v>Se monetiza ya que el valor ofrecido por el banco en cada divisa es superior al valor facturado</v>
      </c>
      <c r="Z508" s="21">
        <f>K508*O508</f>
        <v>20823085.6785</v>
      </c>
      <c r="AA508" s="21">
        <f>Z508-Q508</f>
        <v>116605.42320000008</v>
      </c>
    </row>
    <row r="509" outlineLevel="1">
      <c r="B509">
        <v>487</v>
      </c>
      <c r="C509" t="str">
        <v>Oncehub</v>
      </c>
      <c r="D509" t="str">
        <v>FV-4-6786</v>
      </c>
      <c r="E509" s="1">
        <v>46105</v>
      </c>
      <c r="F509" s="1">
        <v>46165</v>
      </c>
      <c r="J509" s="20">
        <f>IFERROR(IF(TODAY()&gt;=E509,(TODAY()-E509)/I509,0),0)</f>
        <v>0</v>
      </c>
      <c r="K509" s="5">
        <v>240</v>
      </c>
      <c r="L509" s="5">
        <v>238.6389388259713</v>
      </c>
      <c r="M509" s="5">
        <f>K509-L509</f>
        <v>1.3610611740286913</v>
      </c>
      <c r="N509" s="21">
        <v>3615.56</v>
      </c>
      <c r="O509" s="21">
        <v>3677</v>
      </c>
      <c r="Q509" s="21">
        <f>K509*N509</f>
        <v>867734.4</v>
      </c>
      <c r="R509" s="21">
        <f>L509*O509</f>
        <v>877475.3780630965</v>
      </c>
      <c r="S509" s="21">
        <f>R509-Q509</f>
        <v>9740.978063096525</v>
      </c>
      <c r="T509" t="str">
        <f>IF(R509&lt;= Q509,"No Monetizar","Monetizar")</f>
        <v>Monetizar</v>
      </c>
      <c r="V509" s="1">
        <v>46105</v>
      </c>
      <c r="W509" t="str">
        <v>Alfonso Fonseca A</v>
      </c>
      <c r="X509" t="str">
        <v>Alfonso Fonseca A</v>
      </c>
      <c r="Y509" t="str">
        <v>Se monetiza ya que el valor ofrecido por el banco en cada divisa es superior al valor facturado</v>
      </c>
      <c r="Z509" s="21">
        <f>K509*O509</f>
        <v>882480</v>
      </c>
      <c r="AA509" s="21">
        <f>Z509-Q509</f>
        <v>14745.599999999977</v>
      </c>
    </row>
    <row r="510" outlineLevel="1">
      <c r="B510">
        <v>488</v>
      </c>
      <c r="C510" t="str">
        <v>Oncehub</v>
      </c>
      <c r="D510" t="str">
        <v>FV-5-257</v>
      </c>
      <c r="E510" s="1">
        <v>46105</v>
      </c>
      <c r="F510" s="1">
        <v>46165</v>
      </c>
      <c r="J510" s="20">
        <f>IFERROR(IF(TODAY()&gt;=E510,(TODAY()-E510)/I510,0),0)</f>
        <v>0</v>
      </c>
      <c r="K510" s="5">
        <v>3286.66</v>
      </c>
      <c r="L510" s="5">
        <v>3268.0210611740285</v>
      </c>
      <c r="M510" s="5">
        <f>K510-L510</f>
        <v>18.63893882597131</v>
      </c>
      <c r="N510" s="21">
        <v>3615.56</v>
      </c>
      <c r="O510" s="21">
        <v>3677</v>
      </c>
      <c r="Q510" s="21">
        <f>K510*N510</f>
        <v>11883116.429599999</v>
      </c>
      <c r="R510" s="21">
        <f>L510*O510</f>
        <v>12016513.441936903</v>
      </c>
      <c r="S510" s="21">
        <f>R510-Q510</f>
        <v>133397.01233690418</v>
      </c>
      <c r="T510" t="str">
        <f>IF(R510&lt;= Q510,"No Monetizar","Monetizar")</f>
        <v>Monetizar</v>
      </c>
      <c r="V510" s="1">
        <v>46105</v>
      </c>
      <c r="W510" t="str">
        <v>Alfonso Fonseca A</v>
      </c>
      <c r="X510" t="str">
        <v>Alfonso Fonseca A</v>
      </c>
      <c r="Y510" t="str">
        <v>Se monetiza ya que el valor ofrecido por el banco en cada divisa es superior al valor facturado</v>
      </c>
      <c r="Z510" s="21">
        <f>K510*O510</f>
        <v>12085048.82</v>
      </c>
      <c r="AA510" s="21">
        <f>Z510-Q510</f>
        <v>201932.39040000178</v>
      </c>
    </row>
    <row r="511" outlineLevel="1">
      <c r="B511">
        <v>489</v>
      </c>
      <c r="C511" t="str">
        <v>Equus Global Expansion, LLC</v>
      </c>
      <c r="D511" t="str">
        <v>FV-4-6801</v>
      </c>
      <c r="E511" s="1">
        <v>46105</v>
      </c>
      <c r="F511" s="1">
        <v>46165</v>
      </c>
      <c r="J511" s="20">
        <f>IFERROR(IF(TODAY()&gt;=E511,(TODAY()-E511)/I511,0),0)</f>
        <v>0</v>
      </c>
      <c r="K511" s="5">
        <v>178.5</v>
      </c>
      <c r="L511" s="5">
        <v>178.5</v>
      </c>
      <c r="M511" s="5">
        <f>K511-L511</f>
        <v>0</v>
      </c>
      <c r="N511" s="21">
        <v>3633.4</v>
      </c>
      <c r="O511" s="21">
        <v>3671.66</v>
      </c>
      <c r="Q511" s="21">
        <f>K511*N511</f>
        <v>648561.9</v>
      </c>
      <c r="R511" s="21">
        <f>L511*O511</f>
        <v>655391.3099999999</v>
      </c>
      <c r="S511" s="21">
        <f>R511-Q511</f>
        <v>6829.409999999916</v>
      </c>
      <c r="T511" t="str">
        <f>IF(R511&lt;= Q511,"No Monetizar","Monetizar")</f>
        <v>Monetizar</v>
      </c>
      <c r="V511" s="1">
        <v>46106</v>
      </c>
      <c r="W511" t="str">
        <v>Alfonso Fonseca A</v>
      </c>
      <c r="X511" t="str">
        <v>Alfonso Fonseca A</v>
      </c>
      <c r="Y511" t="str">
        <v>Se monetiza ya que el valor ofrecido por el banco en cada divisa es superior al valor facturado</v>
      </c>
      <c r="Z511" s="21">
        <f>K511*O511</f>
        <v>655391.3099999999</v>
      </c>
      <c r="AA511" s="21">
        <f>Z511-Q511</f>
        <v>6829.409999999916</v>
      </c>
    </row>
    <row r="512" outlineLevel="1">
      <c r="B512">
        <v>490</v>
      </c>
      <c r="C512" t="str">
        <v>Equus Global Expansion, LLC</v>
      </c>
      <c r="D512" t="str">
        <v>FV-5-267</v>
      </c>
      <c r="E512" s="1">
        <v>46105</v>
      </c>
      <c r="F512" s="1">
        <v>46165</v>
      </c>
      <c r="J512" s="20">
        <f>IFERROR(IF(TODAY()&gt;=E512,(TODAY()-E512)/I512,0),0)</f>
        <v>0</v>
      </c>
      <c r="K512" s="5">
        <v>445.95</v>
      </c>
      <c r="L512" s="5">
        <v>445.95</v>
      </c>
      <c r="M512" s="5">
        <f>K512-L512</f>
        <v>0</v>
      </c>
      <c r="N512" s="21">
        <v>3633.4</v>
      </c>
      <c r="O512" s="21">
        <v>3671.66</v>
      </c>
      <c r="Q512" s="21">
        <f>K512*N512</f>
        <v>1620314.73</v>
      </c>
      <c r="R512" s="21">
        <f>L512*O512</f>
        <v>1637376.777</v>
      </c>
      <c r="S512" s="21">
        <f>R512-Q512</f>
        <v>17062.04700000002</v>
      </c>
      <c r="T512" t="str">
        <f>IF(R512&lt;= Q512,"No Monetizar","Monetizar")</f>
        <v>Monetizar</v>
      </c>
      <c r="V512" s="1">
        <v>46106</v>
      </c>
      <c r="W512" t="str">
        <v>Alfonso Fonseca A</v>
      </c>
      <c r="X512" t="str">
        <v>Alfonso Fonseca A</v>
      </c>
      <c r="Y512" t="str">
        <v>Se monetiza ya que el valor ofrecido por el banco en cada divisa es superior al valor facturado</v>
      </c>
      <c r="Z512" s="21">
        <f>K512*O512</f>
        <v>1637376.777</v>
      </c>
      <c r="AA512" s="21">
        <f>Z512-Q512</f>
        <v>17062.04700000002</v>
      </c>
    </row>
    <row r="513" outlineLevel="1">
      <c r="B513">
        <v>491</v>
      </c>
      <c r="C513" t="str">
        <v>Remofirst</v>
      </c>
      <c r="D513" t="str">
        <v>FV-4-6763</v>
      </c>
      <c r="E513" s="1">
        <v>46105</v>
      </c>
      <c r="F513" s="1">
        <v>46165</v>
      </c>
      <c r="J513" s="20">
        <f>IFERROR(IF(TODAY()&gt;=E513,(TODAY()-E513)/I513,0),0)</f>
        <v>0</v>
      </c>
      <c r="K513" s="5">
        <v>9520</v>
      </c>
      <c r="L513" s="5">
        <v>9520</v>
      </c>
      <c r="M513" s="5">
        <f>K513-L513</f>
        <v>0</v>
      </c>
      <c r="N513" s="21">
        <v>3671.4</v>
      </c>
      <c r="O513" s="21">
        <v>3691.92</v>
      </c>
      <c r="Q513" s="21">
        <f>K513*N513</f>
        <v>34951728</v>
      </c>
      <c r="R513" s="21">
        <f>L513*O513</f>
        <v>35147078.4</v>
      </c>
      <c r="S513" s="21">
        <f>R513-Q513</f>
        <v>195350.3999999985</v>
      </c>
      <c r="T513" t="str">
        <f>IF(R513&lt;= Q513,"No Monetizar","Monetizar")</f>
        <v>Monetizar</v>
      </c>
      <c r="V513" s="1">
        <v>46107</v>
      </c>
      <c r="W513" t="str">
        <v>Alfonso Fonseca A</v>
      </c>
      <c r="X513" t="str">
        <v>Alfonso Fonseca A</v>
      </c>
      <c r="Y513" t="str">
        <v>Se monetiza ya que el valor ofrecido por el banco en cada divisa es superior al valor facturado</v>
      </c>
      <c r="Z513" s="21">
        <f>K513*O513</f>
        <v>35147078.4</v>
      </c>
      <c r="AA513" s="21">
        <f>Z513-Q513</f>
        <v>195350.3999999985</v>
      </c>
    </row>
    <row r="514" outlineLevel="1">
      <c r="B514">
        <v>492</v>
      </c>
      <c r="C514" t="str">
        <v>Remofirst</v>
      </c>
      <c r="D514" t="str">
        <v>FV-5-236</v>
      </c>
      <c r="E514" s="1">
        <v>46105</v>
      </c>
      <c r="F514" s="1">
        <v>46165</v>
      </c>
      <c r="J514" s="20">
        <f>IFERROR(IF(TODAY()&gt;=E514,(TODAY()-E514)/I514,0),0)</f>
        <v>0</v>
      </c>
      <c r="K514" s="5">
        <v>338469</v>
      </c>
      <c r="L514" s="5">
        <v>338469</v>
      </c>
      <c r="M514" s="5">
        <f>K514-L514</f>
        <v>0</v>
      </c>
      <c r="N514" s="21">
        <v>3671.4</v>
      </c>
      <c r="O514" s="21">
        <v>3691.92</v>
      </c>
      <c r="Q514" s="21">
        <f>K514*N514</f>
        <v>1242655086.6000001</v>
      </c>
      <c r="R514" s="21">
        <f>L514*O514</f>
        <v>1249600470.48</v>
      </c>
      <c r="S514" s="21">
        <f>R514-Q514</f>
        <v>6945383.879999876</v>
      </c>
      <c r="T514" t="str">
        <f>IF(R514&lt;= Q514,"No Monetizar","Monetizar")</f>
        <v>Monetizar</v>
      </c>
      <c r="V514" s="1">
        <v>46107</v>
      </c>
      <c r="W514" t="str">
        <v>Alfonso Fonseca A</v>
      </c>
      <c r="X514" t="str">
        <v>Alfonso Fonseca A</v>
      </c>
      <c r="Y514" t="str">
        <v>Se monetiza ya que el valor ofrecido por el banco en cada divisa es superior al valor facturado</v>
      </c>
      <c r="Z514" s="21">
        <f>K514*O514</f>
        <v>1249600470.48</v>
      </c>
      <c r="AA514" s="21">
        <f>Z514-Q514</f>
        <v>6945383.879999876</v>
      </c>
    </row>
    <row r="515" outlineLevel="1">
      <c r="B515">
        <v>493</v>
      </c>
      <c r="C515" t="str">
        <v>Remofirst</v>
      </c>
      <c r="D515" t="str">
        <v>FV-4-6764</v>
      </c>
      <c r="E515" s="1">
        <v>46105</v>
      </c>
      <c r="F515" s="1">
        <v>46165</v>
      </c>
      <c r="J515" s="20">
        <f>IFERROR(IF(TODAY()&gt;=E515,(TODAY()-E515)/I515,0),0)</f>
        <v>0</v>
      </c>
      <c r="K515" s="5">
        <v>714</v>
      </c>
      <c r="L515" s="5">
        <v>714</v>
      </c>
      <c r="M515" s="5">
        <f>K515-L515</f>
        <v>0</v>
      </c>
      <c r="N515" s="21">
        <v>3671.4</v>
      </c>
      <c r="O515" s="21">
        <v>3691.92</v>
      </c>
      <c r="Q515" s="21">
        <f>K515*N515</f>
        <v>2621379.6</v>
      </c>
      <c r="R515" s="21">
        <f>L515*O515</f>
        <v>2636030.88</v>
      </c>
      <c r="S515" s="21">
        <f>R515-Q515</f>
        <v>14651.279999999795</v>
      </c>
      <c r="T515" t="str">
        <f>IF(R515&lt;= Q515,"No Monetizar","Monetizar")</f>
        <v>Monetizar</v>
      </c>
      <c r="V515" s="1">
        <v>46107</v>
      </c>
      <c r="W515" t="str">
        <v>Alfonso Fonseca A</v>
      </c>
      <c r="X515" t="str">
        <v>Alfonso Fonseca A</v>
      </c>
      <c r="Y515" t="str">
        <v>Se monetiza ya que el valor ofrecido por el banco en cada divisa es superior al valor facturado</v>
      </c>
      <c r="Z515" s="21">
        <f>K515*O515</f>
        <v>2636030.88</v>
      </c>
      <c r="AA515" s="21">
        <f>Z515-Q515</f>
        <v>14651.279999999795</v>
      </c>
    </row>
    <row r="516" outlineLevel="1">
      <c r="B516">
        <v>494</v>
      </c>
      <c r="C516" t="str">
        <v>Remofirst</v>
      </c>
      <c r="D516" t="str">
        <v>FV-5-237</v>
      </c>
      <c r="E516" s="1">
        <v>46105</v>
      </c>
      <c r="F516" s="1">
        <v>46165</v>
      </c>
      <c r="J516" s="20">
        <f>IFERROR(IF(TODAY()&gt;=E516,(TODAY()-E516)/I516,0),0)</f>
        <v>0</v>
      </c>
      <c r="K516" s="5">
        <v>10073.64</v>
      </c>
      <c r="L516" s="5">
        <v>10073.64</v>
      </c>
      <c r="M516" s="5">
        <f>K516-L516</f>
        <v>0</v>
      </c>
      <c r="N516" s="21">
        <v>3671.4</v>
      </c>
      <c r="O516" s="21">
        <v>3691.92</v>
      </c>
      <c r="Q516" s="21">
        <f>K516*N516</f>
        <v>36984361.896</v>
      </c>
      <c r="R516" s="21">
        <f>L516*O516</f>
        <v>37191072.9888</v>
      </c>
      <c r="S516" s="21">
        <f>R516-Q516</f>
        <v>206711.09279999882</v>
      </c>
      <c r="T516" t="str">
        <f>IF(R516&lt;= Q516,"No Monetizar","Monetizar")</f>
        <v>Monetizar</v>
      </c>
      <c r="V516" s="1">
        <v>46107</v>
      </c>
      <c r="W516" t="str">
        <v>Alfonso Fonseca A</v>
      </c>
      <c r="X516" t="str">
        <v>Alfonso Fonseca A</v>
      </c>
      <c r="Y516" t="str">
        <v>Se monetiza ya que el valor ofrecido por el banco en cada divisa es superior al valor facturado</v>
      </c>
      <c r="Z516" s="21">
        <f>K516*O516</f>
        <v>37191072.9888</v>
      </c>
      <c r="AA516" s="21">
        <f>Z516-Q516</f>
        <v>206711.09279999882</v>
      </c>
    </row>
    <row r="517" outlineLevel="1">
      <c r="B517">
        <v>495</v>
      </c>
      <c r="C517" t="str">
        <v>Nazdar</v>
      </c>
      <c r="D517" t="str">
        <v>FV-4-6767</v>
      </c>
      <c r="E517" s="1">
        <v>46100</v>
      </c>
      <c r="F517" s="1">
        <v>46160</v>
      </c>
      <c r="J517" s="20">
        <f>IFERROR(IF(TODAY()&gt;=E517,(TODAY()-E517)/I517,0),0)</f>
        <v>0</v>
      </c>
      <c r="K517" s="5">
        <v>979.52</v>
      </c>
      <c r="L517" s="5">
        <v>978.6709397981367</v>
      </c>
      <c r="M517" s="5">
        <f>K517-L517</f>
        <v>0.8490602018632671</v>
      </c>
      <c r="N517" s="21">
        <v>3614.1</v>
      </c>
      <c r="O517" s="21">
        <v>3691.92</v>
      </c>
      <c r="Q517" s="21">
        <f>K517*N517</f>
        <v>3540083.232</v>
      </c>
      <c r="R517" s="21">
        <f>L517*O517</f>
        <v>3613174.8160595368</v>
      </c>
      <c r="S517" s="21">
        <f>R517-Q517</f>
        <v>73091.58405953692</v>
      </c>
      <c r="T517" t="str">
        <f>IF(R517&lt;= Q517,"No Monetizar","Monetizar")</f>
        <v>Monetizar</v>
      </c>
      <c r="V517" s="1">
        <v>46107</v>
      </c>
      <c r="W517" t="str">
        <v>Alfonso Fonseca A</v>
      </c>
      <c r="X517" t="str">
        <v>Alfonso Fonseca A</v>
      </c>
      <c r="Y517" t="str">
        <v>Se monetiza ya que el valor ofrecido por el banco en cada divisa es superior al valor facturado</v>
      </c>
      <c r="Z517" s="21">
        <f>K517*O517</f>
        <v>3616309.4784</v>
      </c>
      <c r="AA517" s="21">
        <f>Z517-Q517</f>
        <v>76226.24640000006</v>
      </c>
    </row>
    <row r="518" outlineLevel="1">
      <c r="B518">
        <v>496</v>
      </c>
      <c r="C518" t="str">
        <v>Nazdar</v>
      </c>
      <c r="D518" t="str">
        <v>FV-5-240</v>
      </c>
      <c r="E518" s="1">
        <v>46100</v>
      </c>
      <c r="F518" s="1">
        <v>46160</v>
      </c>
      <c r="J518" s="20">
        <f>IFERROR(IF(TODAY()&gt;=E518,(TODAY()-E518)/I518,0),0)</f>
        <v>0</v>
      </c>
      <c r="K518" s="5">
        <v>16325.26</v>
      </c>
      <c r="L518" s="5">
        <v>16311.109060201863</v>
      </c>
      <c r="M518" s="5">
        <f>K518-L518</f>
        <v>14.150939798137188</v>
      </c>
      <c r="N518" s="21">
        <v>3614.1</v>
      </c>
      <c r="O518" s="21">
        <v>3691.92</v>
      </c>
      <c r="Q518" s="21">
        <f>K518*N518</f>
        <v>59001122.166</v>
      </c>
      <c r="R518" s="21">
        <f>L518*O518</f>
        <v>60219309.761540465</v>
      </c>
      <c r="S518" s="21">
        <f>R518-Q518</f>
        <v>1218187.595540464</v>
      </c>
      <c r="T518" t="str">
        <f>IF(R518&lt;= Q518,"No Monetizar","Monetizar")</f>
        <v>Monetizar</v>
      </c>
      <c r="V518" s="1">
        <v>46107</v>
      </c>
      <c r="W518" t="str">
        <v>Alfonso Fonseca A</v>
      </c>
      <c r="X518" t="str">
        <v>Alfonso Fonseca A</v>
      </c>
      <c r="Y518" t="str">
        <v>Se monetiza ya que el valor ofrecido por el banco en cada divisa es superior al valor facturado</v>
      </c>
      <c r="Z518" s="21">
        <f>K518*O518</f>
        <v>60271553.8992</v>
      </c>
      <c r="AA518" s="21">
        <f>Z518-Q518</f>
        <v>1270431.7331999987</v>
      </c>
    </row>
    <row r="519" outlineLevel="1">
      <c r="B519">
        <v>497</v>
      </c>
      <c r="C519" t="str">
        <v>MKD</v>
      </c>
      <c r="D519" t="str">
        <v>FV-4-6765</v>
      </c>
      <c r="E519" s="1">
        <v>46099</v>
      </c>
      <c r="F519" s="1">
        <v>46159</v>
      </c>
      <c r="J519" s="20">
        <f>IFERROR(IF(TODAY()&gt;=E519,(TODAY()-E519)/I519,0),0)</f>
        <v>0</v>
      </c>
      <c r="K519" s="5">
        <v>138.19</v>
      </c>
      <c r="L519" s="5">
        <v>138.19</v>
      </c>
      <c r="M519" s="5">
        <f>K519-L519</f>
        <v>0</v>
      </c>
      <c r="N519" s="21">
        <v>3614.1</v>
      </c>
      <c r="O519" s="21">
        <v>3691.92</v>
      </c>
      <c r="Q519" s="21">
        <f>K519*N519</f>
        <v>499432.479</v>
      </c>
      <c r="R519" s="21">
        <f>L519*O519</f>
        <v>510186.4248</v>
      </c>
      <c r="S519" s="21">
        <f>R519-Q519</f>
        <v>10753.945799999987</v>
      </c>
      <c r="T519" t="str">
        <f>IF(R519&lt;= Q519,"No Monetizar","Monetizar")</f>
        <v>Monetizar</v>
      </c>
      <c r="V519" s="1">
        <v>46107</v>
      </c>
      <c r="W519" t="str">
        <v>Alfonso Fonseca A</v>
      </c>
      <c r="X519" t="str">
        <v>Alfonso Fonseca A</v>
      </c>
      <c r="Y519" t="str">
        <v>Se monetiza ya que el valor ofrecido por el banco en cada divisa es superior al valor facturado</v>
      </c>
      <c r="Z519" s="21">
        <f>K519*O519</f>
        <v>510186.4248</v>
      </c>
      <c r="AA519" s="21">
        <f>Z519-Q519</f>
        <v>10753.945799999987</v>
      </c>
    </row>
    <row r="520" outlineLevel="1">
      <c r="B520">
        <v>498</v>
      </c>
      <c r="C520" t="str">
        <v>MKD</v>
      </c>
      <c r="D520" t="str">
        <v>FV-5-238</v>
      </c>
      <c r="E520" s="1">
        <v>46099</v>
      </c>
      <c r="F520" s="1">
        <v>46159</v>
      </c>
      <c r="J520" s="20">
        <f>IFERROR(IF(TODAY()&gt;=E520,(TODAY()-E520)/I520,0),0)</f>
        <v>0</v>
      </c>
      <c r="K520" s="5">
        <v>1256.28</v>
      </c>
      <c r="L520" s="5">
        <v>1256.28</v>
      </c>
      <c r="M520" s="5">
        <f>K520-L520</f>
        <v>0</v>
      </c>
      <c r="N520" s="21">
        <v>3614.1</v>
      </c>
      <c r="O520" s="21">
        <v>3691.92</v>
      </c>
      <c r="Q520" s="21">
        <f>K520*N520</f>
        <v>4540321.5479999995</v>
      </c>
      <c r="R520" s="21">
        <f>L520*O520</f>
        <v>4638085.2576</v>
      </c>
      <c r="S520" s="21">
        <f>R520-Q520</f>
        <v>97763.70960000064</v>
      </c>
      <c r="T520" t="str">
        <f>IF(R520&lt;= Q520,"No Monetizar","Monetizar")</f>
        <v>Monetizar</v>
      </c>
      <c r="V520" s="1">
        <v>46107</v>
      </c>
      <c r="W520" t="str">
        <v>Alfonso Fonseca A</v>
      </c>
      <c r="X520" t="str">
        <v>Alfonso Fonseca A</v>
      </c>
      <c r="Y520" t="str">
        <v>Se monetiza ya que el valor ofrecido por el banco en cada divisa es superior al valor facturado</v>
      </c>
      <c r="Z520" s="21">
        <f>K520*O520</f>
        <v>4638085.2576</v>
      </c>
      <c r="AA520" s="21">
        <f>Z520-Q520</f>
        <v>97763.70960000064</v>
      </c>
    </row>
    <row r="521" outlineLevel="1">
      <c r="B521">
        <v>499</v>
      </c>
      <c r="C521" t="str">
        <v>Flexco</v>
      </c>
      <c r="D521" t="str">
        <v>FV-4-6766</v>
      </c>
      <c r="E521" s="1">
        <v>46104</v>
      </c>
      <c r="F521" s="1">
        <v>46164</v>
      </c>
      <c r="J521" s="20">
        <f>IFERROR(IF(TODAY()&gt;=E521,(TODAY()-E521)/I521,0),0)</f>
        <v>0</v>
      </c>
      <c r="K521" s="5">
        <v>363.46</v>
      </c>
      <c r="L521" s="5">
        <v>362.634316720166</v>
      </c>
      <c r="M521" s="5">
        <f>K521-L521</f>
        <v>0.8256832798339815</v>
      </c>
      <c r="N521" s="21">
        <v>3614.1</v>
      </c>
      <c r="O521" s="21">
        <v>3691.92</v>
      </c>
      <c r="Q521" s="21">
        <f>K521*N521</f>
        <v>1313580.7859999998</v>
      </c>
      <c r="R521" s="21">
        <f>L521*O521</f>
        <v>1338816.8865855152</v>
      </c>
      <c r="S521" s="21">
        <f>R521-Q521</f>
        <v>25236.100585515378</v>
      </c>
      <c r="T521" t="str">
        <f>IF(R521&lt;= Q521,"No Monetizar","Monetizar")</f>
        <v>Monetizar</v>
      </c>
      <c r="V521" s="1">
        <v>46107</v>
      </c>
      <c r="W521" t="str">
        <v>Alfonso Fonseca A</v>
      </c>
      <c r="X521" t="str">
        <v>Alfonso Fonseca A</v>
      </c>
      <c r="Y521" t="str">
        <v>Se monetiza ya que el valor ofrecido por el banco en cada divisa es superior al valor facturado</v>
      </c>
      <c r="Z521" s="21">
        <f>K521*O521</f>
        <v>1341865.2432</v>
      </c>
      <c r="AA521" s="21">
        <f>Z521-Q521</f>
        <v>28284.457200000063</v>
      </c>
    </row>
    <row r="522" outlineLevel="1">
      <c r="B522">
        <v>500</v>
      </c>
      <c r="C522" t="str">
        <v>Flexco</v>
      </c>
      <c r="D522" t="str">
        <v>FV-5-239</v>
      </c>
      <c r="E522" s="1">
        <v>46104</v>
      </c>
      <c r="F522" s="1">
        <v>46164</v>
      </c>
      <c r="J522" s="20">
        <f>IFERROR(IF(TODAY()&gt;=E522,(TODAY()-E522)/I522,0),0)</f>
        <v>0</v>
      </c>
      <c r="K522" s="5">
        <v>4038.47</v>
      </c>
      <c r="L522" s="5">
        <v>4029.2956832798345</v>
      </c>
      <c r="M522" s="5">
        <f>K522-L522</f>
        <v>9.17431672016528</v>
      </c>
      <c r="N522" s="21">
        <v>3614.1</v>
      </c>
      <c r="O522" s="21">
        <v>3691.92</v>
      </c>
      <c r="Q522" s="21">
        <f>K522*N522</f>
        <v>14595434.427</v>
      </c>
      <c r="R522" s="21">
        <f>L522*O522</f>
        <v>14875837.319014488</v>
      </c>
      <c r="S522" s="21">
        <f>R522-Q522</f>
        <v>280402.8920144886</v>
      </c>
      <c r="T522" t="str">
        <f>IF(R522&lt;= Q522,"No Monetizar","Monetizar")</f>
        <v>Monetizar</v>
      </c>
      <c r="V522" s="1">
        <v>46107</v>
      </c>
      <c r="W522" t="str">
        <v>Alfonso Fonseca A</v>
      </c>
      <c r="X522" t="str">
        <v>Alfonso Fonseca A</v>
      </c>
      <c r="Y522" t="str">
        <v>Se monetiza ya que el valor ofrecido por el banco en cada divisa es superior al valor facturado</v>
      </c>
      <c r="Z522" s="21">
        <f>K522*O522</f>
        <v>14909708.1624</v>
      </c>
      <c r="AA522" s="21">
        <f>Z522-Q522</f>
        <v>314273.7354000006</v>
      </c>
    </row>
    <row r="523" outlineLevel="1">
      <c r="B523">
        <v>501</v>
      </c>
      <c r="C523" t="str">
        <v>Endrington</v>
      </c>
      <c r="D523" t="str">
        <v>FV-4-6774</v>
      </c>
      <c r="E523" s="1">
        <v>46098</v>
      </c>
      <c r="F523" s="1">
        <v>46158</v>
      </c>
      <c r="J523" s="20">
        <f>IFERROR(IF(TODAY()&gt;=E523,(TODAY()-E523)/I523,0),0)</f>
        <v>0</v>
      </c>
      <c r="K523" s="5">
        <v>652.85</v>
      </c>
      <c r="L523" s="5">
        <v>652.85</v>
      </c>
      <c r="M523" s="5">
        <f>K523-L523</f>
        <v>0</v>
      </c>
      <c r="N523" s="21">
        <v>3650.99</v>
      </c>
      <c r="O523" s="21">
        <v>3696.37</v>
      </c>
      <c r="Q523" s="21">
        <f>K523*N523</f>
        <v>2383548.8215</v>
      </c>
      <c r="R523" s="21">
        <f>L523*O523</f>
        <v>2413175.1545</v>
      </c>
      <c r="S523" s="21">
        <f>R523-Q523</f>
        <v>29626.3330000001</v>
      </c>
      <c r="T523" t="str">
        <f>IF(R523&lt;= Q523,"No Monetizar","Monetizar")</f>
        <v>Monetizar</v>
      </c>
      <c r="V523" s="1">
        <v>46107</v>
      </c>
      <c r="W523" t="str">
        <v>Alfonso Fonseca A</v>
      </c>
      <c r="X523" t="str">
        <v>Alfonso Fonseca A</v>
      </c>
      <c r="Y523" t="str">
        <v>Se monetiza ya que el valor ofrecido por el banco en cada divisa es superior al valor facturado</v>
      </c>
      <c r="Z523" s="21">
        <f>K523*O523</f>
        <v>2413175.1545</v>
      </c>
      <c r="AA523" s="21">
        <f>Z523-Q523</f>
        <v>29626.3330000001</v>
      </c>
    </row>
    <row r="524" outlineLevel="1">
      <c r="B524">
        <v>502</v>
      </c>
      <c r="C524" t="str">
        <v>Endrington</v>
      </c>
      <c r="D524" t="str">
        <v>FV-5-249</v>
      </c>
      <c r="E524" s="1">
        <v>46098</v>
      </c>
      <c r="F524" s="1">
        <v>46158</v>
      </c>
      <c r="J524" s="20">
        <f>IFERROR(IF(TODAY()&gt;=E524,(TODAY()-E524)/I524,0),0)</f>
        <v>0</v>
      </c>
      <c r="K524" s="5">
        <v>11870.01</v>
      </c>
      <c r="L524" s="5">
        <v>11870.01</v>
      </c>
      <c r="M524" s="5">
        <f>K524-L524</f>
        <v>0</v>
      </c>
      <c r="N524" s="21">
        <v>3650.99</v>
      </c>
      <c r="O524" s="21">
        <v>3696.37</v>
      </c>
      <c r="Q524" s="21">
        <f>K524*N524</f>
        <v>43337287.8099</v>
      </c>
      <c r="R524" s="21">
        <f>L524*O524</f>
        <v>43875948.8637</v>
      </c>
      <c r="S524" s="21">
        <f>R524-Q524</f>
        <v>538661.0538000017</v>
      </c>
      <c r="T524" t="str">
        <f>IF(R524&lt;= Q524,"No Monetizar","Monetizar")</f>
        <v>Monetizar</v>
      </c>
      <c r="V524" s="1">
        <v>46107</v>
      </c>
      <c r="W524" t="str">
        <v>Alfonso Fonseca A</v>
      </c>
      <c r="X524" t="str">
        <v>Alfonso Fonseca A</v>
      </c>
      <c r="Y524" t="str">
        <v>Se monetiza ya que el valor ofrecido por el banco en cada divisa es superior al valor facturado</v>
      </c>
      <c r="Z524" s="21">
        <f>K524*O524</f>
        <v>43875948.8637</v>
      </c>
      <c r="AA524" s="21">
        <f>Z524-Q524</f>
        <v>538661.0538000017</v>
      </c>
    </row>
    <row r="525" outlineLevel="1">
      <c r="B525">
        <v>503</v>
      </c>
      <c r="C525" t="str">
        <v xml:space="preserve">Neo </v>
      </c>
      <c r="D525" t="str">
        <v>FV-4-6769</v>
      </c>
      <c r="E525" s="1">
        <v>46105</v>
      </c>
      <c r="F525" s="1">
        <v>46165</v>
      </c>
      <c r="J525" s="20">
        <f>IFERROR(IF(TODAY()&gt;=E525,(TODAY()-E525)/I525,0),0)</f>
        <v>0</v>
      </c>
      <c r="K525" s="5">
        <v>1569.87</v>
      </c>
      <c r="L525" s="5">
        <v>1565.3514676230748</v>
      </c>
      <c r="M525" s="5">
        <f>K525-L525</f>
        <v>4.518532376925123</v>
      </c>
      <c r="N525" s="21">
        <v>3650.99</v>
      </c>
      <c r="O525" s="21">
        <v>3696.37</v>
      </c>
      <c r="Q525" s="21">
        <f>K525*N525</f>
        <v>5731579.6713</v>
      </c>
      <c r="R525" s="21">
        <f>L525*O525</f>
        <v>5786118.204377905</v>
      </c>
      <c r="S525" s="21">
        <f>R525-Q525</f>
        <v>54538.533077904955</v>
      </c>
      <c r="T525" t="str">
        <f>IF(R525&lt;= Q525,"No Monetizar","Monetizar")</f>
        <v>Monetizar</v>
      </c>
      <c r="V525" s="1">
        <v>46107</v>
      </c>
      <c r="W525" t="str">
        <v>Alfonso Fonseca A</v>
      </c>
      <c r="X525" t="str">
        <v>Alfonso Fonseca A</v>
      </c>
      <c r="Y525" t="str">
        <v>Se monetiza ya que el valor ofrecido por el banco en cada divisa es superior al valor facturado</v>
      </c>
      <c r="Z525" s="21">
        <f>K525*O525</f>
        <v>5802820.3719</v>
      </c>
      <c r="AA525" s="21">
        <f>Z525-Q525</f>
        <v>71240.7006000001</v>
      </c>
    </row>
    <row r="526" outlineLevel="1">
      <c r="B526">
        <v>504</v>
      </c>
      <c r="C526" t="str">
        <v xml:space="preserve">Neo </v>
      </c>
      <c r="D526" t="str">
        <v>FV-5-244</v>
      </c>
      <c r="E526" s="1">
        <v>46105</v>
      </c>
      <c r="F526" s="1">
        <v>46165</v>
      </c>
      <c r="J526" s="20">
        <f>IFERROR(IF(TODAY()&gt;=E526,(TODAY()-E526)/I526,0),0)</f>
        <v>0</v>
      </c>
      <c r="K526" s="5">
        <v>19623.31</v>
      </c>
      <c r="L526" s="5">
        <v>19566.828532376927</v>
      </c>
      <c r="M526" s="5">
        <f>K526-L526</f>
        <v>56.48146762307442</v>
      </c>
      <c r="N526" s="21">
        <v>3650.99</v>
      </c>
      <c r="O526" s="21">
        <v>3696.37</v>
      </c>
      <c r="Q526" s="21">
        <f>K526*N526</f>
        <v>71644508.5769</v>
      </c>
      <c r="R526" s="21">
        <f>L526*O526</f>
        <v>72326237.9822221</v>
      </c>
      <c r="S526" s="21">
        <f>R526-Q526</f>
        <v>681729.4053220898</v>
      </c>
      <c r="T526" t="str">
        <f>IF(R526&lt;= Q526,"No Monetizar","Monetizar")</f>
        <v>Monetizar</v>
      </c>
      <c r="V526" s="1">
        <v>46107</v>
      </c>
      <c r="W526" t="str">
        <v>Alfonso Fonseca A</v>
      </c>
      <c r="X526" t="str">
        <v>Alfonso Fonseca A</v>
      </c>
      <c r="Y526" t="str">
        <v>Se monetiza ya que el valor ofrecido por el banco en cada divisa es superior al valor facturado</v>
      </c>
      <c r="Z526" s="21">
        <f>K526*O526</f>
        <v>72535014.3847</v>
      </c>
      <c r="AA526" s="21">
        <f>Z526-Q526</f>
        <v>890505.807799995</v>
      </c>
    </row>
    <row r="527" outlineLevel="1">
      <c r="B527">
        <v>505</v>
      </c>
      <c r="C527" t="str">
        <v>Europortage</v>
      </c>
      <c r="D527" t="str">
        <v>FV-4-6788</v>
      </c>
      <c r="E527" s="1">
        <v>46107</v>
      </c>
      <c r="F527" s="1">
        <v>46169</v>
      </c>
      <c r="J527" s="20">
        <f>IFERROR(IF(TODAY()&gt;=E527,(TODAY()-E527)/I527,0),0)</f>
        <v>0</v>
      </c>
      <c r="K527" s="5">
        <v>1063.98</v>
      </c>
      <c r="L527" s="5">
        <v>1062.4952982966913</v>
      </c>
      <c r="M527" s="5">
        <f>K527-L527</f>
        <v>1.4847017033087013</v>
      </c>
      <c r="N527" s="21">
        <v>3634.62</v>
      </c>
      <c r="O527" s="21">
        <v>3696.37</v>
      </c>
      <c r="Q527" s="21">
        <f>K527*N527</f>
        <v>3867162.9876</v>
      </c>
      <c r="R527" s="21">
        <f>L527*O527</f>
        <v>3927375.745764941</v>
      </c>
      <c r="S527" s="21">
        <f>R527-Q527</f>
        <v>60212.75816494087</v>
      </c>
      <c r="T527" t="str">
        <f>IF(R527&lt;= Q527,"No Monetizar","Monetizar")</f>
        <v>Monetizar</v>
      </c>
      <c r="V527" s="1">
        <v>46107</v>
      </c>
      <c r="W527" t="str">
        <v>Alfonso Fonseca A</v>
      </c>
      <c r="X527" t="str">
        <v>Alfonso Fonseca A</v>
      </c>
      <c r="Y527" t="str">
        <v>Se monetiza ya que el valor ofrecido por el banco en cada divisa es superior al valor facturado</v>
      </c>
      <c r="Z527" s="21">
        <f>K527*O527</f>
        <v>3932863.7526</v>
      </c>
      <c r="AA527" s="21">
        <f>Z527-Q527</f>
        <v>65700.76499999966</v>
      </c>
    </row>
    <row r="528" outlineLevel="1">
      <c r="B528">
        <v>506</v>
      </c>
      <c r="C528" t="str">
        <v>Europortage</v>
      </c>
      <c r="D528" t="str">
        <v>FV-5-260</v>
      </c>
      <c r="E528" s="1">
        <v>46107</v>
      </c>
      <c r="F528" s="1">
        <v>46169</v>
      </c>
      <c r="J528" s="20">
        <f>IFERROR(IF(TODAY()&gt;=E528,(TODAY()-E528)/I528,0),0)</f>
        <v>0</v>
      </c>
      <c r="K528" s="5">
        <v>16851.74</v>
      </c>
      <c r="L528" s="5">
        <v>16828.22470170331</v>
      </c>
      <c r="M528" s="5">
        <f>K528-L528</f>
        <v>23.515298296690162</v>
      </c>
      <c r="N528" s="21">
        <v>3634.62</v>
      </c>
      <c r="O528" s="21">
        <v>3696.37</v>
      </c>
      <c r="Q528" s="21">
        <f>K528*N528</f>
        <v>61249671.238800004</v>
      </c>
      <c r="R528" s="21">
        <f>L528*O528</f>
        <v>62203344.94063507</v>
      </c>
      <c r="S528" s="21">
        <f>R528-Q528</f>
        <v>953673.7018350661</v>
      </c>
      <c r="T528" t="str">
        <f>IF(R528&lt;= Q528,"No Monetizar","Monetizar")</f>
        <v>Monetizar</v>
      </c>
      <c r="V528" s="1">
        <v>46107</v>
      </c>
      <c r="W528" t="str">
        <v>Alfonso Fonseca A</v>
      </c>
      <c r="X528" t="str">
        <v>Alfonso Fonseca A</v>
      </c>
      <c r="Y528" t="str">
        <v>Se monetiza ya que el valor ofrecido por el banco en cada divisa es superior al valor facturado</v>
      </c>
      <c r="Z528" s="21">
        <f>K528*O528</f>
        <v>62290266.183800004</v>
      </c>
      <c r="AA528" s="21">
        <f>Z528-Q528</f>
        <v>1040594.9450000003</v>
      </c>
    </row>
    <row r="529" outlineLevel="1">
      <c r="B529">
        <v>507</v>
      </c>
      <c r="C529" t="str">
        <v>Hemmebarsch GMBH &amp; Co KG</v>
      </c>
      <c r="D529" t="str">
        <v>FV-4-6700</v>
      </c>
      <c r="E529" s="1">
        <v>46104</v>
      </c>
      <c r="F529" s="1">
        <v>46164</v>
      </c>
      <c r="J529" s="20">
        <f>IFERROR(IF(TODAY()&gt;=E529,(TODAY()-E529)/I529,0),0)</f>
        <v>0</v>
      </c>
      <c r="K529" s="5">
        <v>95.35</v>
      </c>
      <c r="L529" s="5">
        <v>95.35</v>
      </c>
      <c r="M529" s="5">
        <f>K529-L529</f>
        <v>0</v>
      </c>
      <c r="N529" s="21">
        <v>3543.31</v>
      </c>
      <c r="O529" s="21">
        <v>3696.37</v>
      </c>
      <c r="Q529" s="21">
        <f>K529*N529</f>
        <v>337854.6085</v>
      </c>
      <c r="R529" s="21">
        <f>L529*O529</f>
        <v>352448.8795</v>
      </c>
      <c r="S529" s="21">
        <f>R529-Q529</f>
        <v>14594.271000000008</v>
      </c>
      <c r="T529" t="str">
        <f>IF(R529&lt;= Q529,"No Monetizar","Monetizar")</f>
        <v>Monetizar</v>
      </c>
      <c r="V529" s="1">
        <v>46107</v>
      </c>
      <c r="W529" t="str">
        <v>Alfonso Fonseca A</v>
      </c>
      <c r="X529" t="str">
        <v>Alfonso Fonseca A</v>
      </c>
      <c r="Y529" t="str">
        <v>Se monetiza ya que el valor ofrecido por el banco en cada divisa es superior al valor facturado</v>
      </c>
      <c r="Z529" s="21">
        <f>K529*O529</f>
        <v>352448.8795</v>
      </c>
      <c r="AA529" s="21">
        <f>Z529-Q529</f>
        <v>14594.271000000008</v>
      </c>
    </row>
    <row r="530" outlineLevel="1">
      <c r="B530">
        <v>508</v>
      </c>
      <c r="C530" t="str">
        <v>Hemmebarsch GMBH &amp; Co KG</v>
      </c>
      <c r="D530" t="str">
        <v>FV-5-224</v>
      </c>
      <c r="E530" s="1">
        <v>46104</v>
      </c>
      <c r="F530" s="1">
        <v>46164</v>
      </c>
      <c r="J530" s="20">
        <f>IFERROR(IF(TODAY()&gt;=E530,(TODAY()-E530)/I530,0),0)</f>
        <v>0</v>
      </c>
      <c r="K530" s="5">
        <v>953.52</v>
      </c>
      <c r="L530" s="5">
        <v>953.52</v>
      </c>
      <c r="M530" s="5">
        <f>K530-L530</f>
        <v>0</v>
      </c>
      <c r="N530" s="21">
        <v>3543.31</v>
      </c>
      <c r="O530" s="21">
        <v>3696.37</v>
      </c>
      <c r="Q530" s="21">
        <f>K530*N530</f>
        <v>3378616.9512</v>
      </c>
      <c r="R530" s="21">
        <f>L530*O530</f>
        <v>3524562.7224</v>
      </c>
      <c r="S530" s="21">
        <f>R530-Q530</f>
        <v>145945.77119999984</v>
      </c>
      <c r="T530" t="str">
        <f>IF(R530&lt;= Q530,"No Monetizar","Monetizar")</f>
        <v>Monetizar</v>
      </c>
      <c r="V530" s="1">
        <v>46107</v>
      </c>
      <c r="W530" t="str">
        <v>Alfonso Fonseca A</v>
      </c>
      <c r="X530" t="str">
        <v>Alfonso Fonseca A</v>
      </c>
      <c r="Y530" t="str">
        <v>Se monetiza ya que el valor ofrecido por el banco en cada divisa es superior al valor facturado</v>
      </c>
      <c r="Z530" s="21">
        <f>K530*O530</f>
        <v>3524562.7224</v>
      </c>
      <c r="AA530" s="21">
        <f>Z530-Q530</f>
        <v>145945.77119999984</v>
      </c>
    </row>
    <row r="531" outlineLevel="1">
      <c r="B531">
        <v>509</v>
      </c>
      <c r="C531" t="str">
        <v>Hemmebarsch GMBH &amp; Co KG</v>
      </c>
      <c r="D531" t="str">
        <v>FV-4-6771</v>
      </c>
      <c r="E531" s="1">
        <v>46104</v>
      </c>
      <c r="F531" s="1">
        <v>46164</v>
      </c>
      <c r="J531" s="20">
        <f>IFERROR(IF(TODAY()&gt;=E531,(TODAY()-E531)/I531,0),0)</f>
        <v>0</v>
      </c>
      <c r="K531" s="5">
        <v>125.22</v>
      </c>
      <c r="L531" s="5">
        <v>125.22</v>
      </c>
      <c r="M531" s="5">
        <f>K531-L531</f>
        <v>0</v>
      </c>
      <c r="N531" s="21">
        <v>3614.11</v>
      </c>
      <c r="O531" s="21">
        <v>3696.37</v>
      </c>
      <c r="Q531" s="21">
        <f>K531*N531</f>
        <v>452558.8542</v>
      </c>
      <c r="R531" s="21">
        <f>L531*O531</f>
        <v>462859.45139999996</v>
      </c>
      <c r="S531" s="21">
        <f>R531-Q531</f>
        <v>10300.59719999996</v>
      </c>
      <c r="T531" t="str">
        <f>IF(R531&lt;= Q531,"No Monetizar","Monetizar")</f>
        <v>Monetizar</v>
      </c>
      <c r="V531" s="1">
        <v>46107</v>
      </c>
      <c r="W531" t="str">
        <v>Alfonso Fonseca A</v>
      </c>
      <c r="X531" t="str">
        <v>Alfonso Fonseca A</v>
      </c>
      <c r="Y531" t="str">
        <v>Se monetiza ya que el valor ofrecido por el banco en cada divisa es superior al valor facturado</v>
      </c>
      <c r="Z531" s="21">
        <f>K531*O531</f>
        <v>462859.45139999996</v>
      </c>
      <c r="AA531" s="21">
        <f>Z531-Q531</f>
        <v>10300.59719999996</v>
      </c>
    </row>
    <row r="532" outlineLevel="1">
      <c r="B532">
        <v>510</v>
      </c>
      <c r="C532" t="str">
        <v>Hemmebarsch GMBH &amp; Co KG</v>
      </c>
      <c r="D532" t="str">
        <v>FV-5-246</v>
      </c>
      <c r="E532" s="1">
        <v>46104</v>
      </c>
      <c r="F532" s="1">
        <v>46164</v>
      </c>
      <c r="J532" s="20">
        <f>IFERROR(IF(TODAY()&gt;=E532,(TODAY()-E532)/I532,0),0)</f>
        <v>0</v>
      </c>
      <c r="K532" s="5">
        <v>1252.24</v>
      </c>
      <c r="L532" s="5">
        <v>1252.24</v>
      </c>
      <c r="M532" s="5">
        <f>K532-L532</f>
        <v>0</v>
      </c>
      <c r="N532" s="21">
        <v>3614.11</v>
      </c>
      <c r="O532" s="21">
        <v>3696.37</v>
      </c>
      <c r="Q532" s="21">
        <f>K532*N532</f>
        <v>4525733.1064</v>
      </c>
      <c r="R532" s="21">
        <f>L532*O532</f>
        <v>4628742.3688</v>
      </c>
      <c r="S532" s="21">
        <f>R532-Q532</f>
        <v>103009.26240000036</v>
      </c>
      <c r="T532" t="str">
        <f>IF(R532&lt;= Q532,"No Monetizar","Monetizar")</f>
        <v>Monetizar</v>
      </c>
      <c r="V532" s="1">
        <v>46107</v>
      </c>
      <c r="W532" t="str">
        <v>Alfonso Fonseca A</v>
      </c>
      <c r="X532" t="str">
        <v>Alfonso Fonseca A</v>
      </c>
      <c r="Y532" t="str">
        <v>Se monetiza ya que el valor ofrecido por el banco en cada divisa es superior al valor facturado</v>
      </c>
      <c r="Z532" s="21">
        <f>K532*O532</f>
        <v>4628742.3688</v>
      </c>
      <c r="AA532" s="21">
        <f>Z532-Q532</f>
        <v>103009.26240000036</v>
      </c>
    </row>
    <row r="533" outlineLevel="1">
      <c r="B533">
        <v>511</v>
      </c>
      <c r="C533" t="str">
        <v>Insider</v>
      </c>
      <c r="D533" t="str">
        <v>FV-4-6810</v>
      </c>
      <c r="E533" s="1">
        <v>46107</v>
      </c>
      <c r="F533" s="1">
        <v>46167</v>
      </c>
      <c r="J533" s="20">
        <f>IFERROR(IF(TODAY()&gt;=E533,(TODAY()-E533)/I533,0),0)</f>
        <v>0</v>
      </c>
      <c r="K533" s="5">
        <f>5121.35+830.3+0.01</f>
        <v>5951.660000000001</v>
      </c>
      <c r="L533" s="5">
        <f>5121.35+830.3+0.01</f>
        <v>5951.660000000001</v>
      </c>
      <c r="M533" s="5">
        <f>K533-L533</f>
        <v>0</v>
      </c>
      <c r="N533" s="21">
        <v>3650.99</v>
      </c>
      <c r="O533" s="21">
        <v>3653.73</v>
      </c>
      <c r="Q533" s="21">
        <f>K533*N533</f>
        <v>21729451.143400002</v>
      </c>
      <c r="R533" s="21">
        <f>L533*O533</f>
        <v>21745758.691800002</v>
      </c>
      <c r="S533" s="21">
        <f>R533-Q533</f>
        <v>16307.548399999738</v>
      </c>
      <c r="T533" t="str">
        <f>IF(R533&lt;= Q533,"No Monetizar","Monetizar")</f>
        <v>Monetizar</v>
      </c>
      <c r="V533" s="1">
        <v>46108</v>
      </c>
      <c r="W533" t="str">
        <v>Alfonso Fonseca A</v>
      </c>
      <c r="X533" t="str">
        <v>Alfonso Fonseca A</v>
      </c>
      <c r="Y533" t="str">
        <v>Se monetiza ya que el valor ofrecido por el banco en cada divisa es superior al valor facturado</v>
      </c>
      <c r="Z533" s="21">
        <f>K533*O533</f>
        <v>21745758.691800002</v>
      </c>
      <c r="AA533" s="21">
        <f>Z533-Q533</f>
        <v>16307.548399999738</v>
      </c>
    </row>
    <row r="534" outlineLevel="1">
      <c r="B534">
        <v>512</v>
      </c>
      <c r="C534" t="str">
        <v>Insider</v>
      </c>
      <c r="D534" t="str">
        <v>FV-5-271</v>
      </c>
      <c r="E534" s="1">
        <v>46107</v>
      </c>
      <c r="F534" s="1">
        <v>46167</v>
      </c>
      <c r="J534" s="20">
        <f>IFERROR(IF(TODAY()&gt;=E534,(TODAY()-E534)/I534,0),0)</f>
        <v>0</v>
      </c>
      <c r="K534" s="5">
        <v>187840.61</v>
      </c>
      <c r="L534" s="5">
        <v>187840.61</v>
      </c>
      <c r="M534" s="5">
        <f>K534-L534</f>
        <v>0</v>
      </c>
      <c r="N534" s="21">
        <v>3650.99</v>
      </c>
      <c r="O534" s="21">
        <v>3653.73</v>
      </c>
      <c r="Q534" s="21">
        <f>K534*N534</f>
        <v>685804188.7038999</v>
      </c>
      <c r="R534" s="21">
        <f>L534*O534</f>
        <v>686318871.9753</v>
      </c>
      <c r="S534" s="21">
        <f>R534-Q534</f>
        <v>514683.27140009403</v>
      </c>
      <c r="T534" t="str">
        <f>IF(R534&lt;= Q534,"No Monetizar","Monetizar")</f>
        <v>Monetizar</v>
      </c>
      <c r="V534" s="1">
        <v>46108</v>
      </c>
      <c r="W534" t="str">
        <v>Alfonso Fonseca A</v>
      </c>
      <c r="X534" t="str">
        <v>Alfonso Fonseca A</v>
      </c>
      <c r="Y534" t="str">
        <v>Se monetiza ya que el valor ofrecido por el banco en cada divisa es superior al valor facturado</v>
      </c>
      <c r="Z534" s="21">
        <f>K534*O534</f>
        <v>686318871.9753</v>
      </c>
      <c r="AA534" s="21">
        <f>Z534-Q534</f>
        <v>514683.27140009403</v>
      </c>
    </row>
    <row r="535" outlineLevel="1">
      <c r="B535">
        <v>513</v>
      </c>
      <c r="C535" t="str">
        <v>Poc Pharma Limited</v>
      </c>
      <c r="D535" t="str">
        <v>FV-4-6776</v>
      </c>
      <c r="E535" s="1">
        <v>46108</v>
      </c>
      <c r="F535" s="1">
        <v>46168</v>
      </c>
      <c r="J535" s="20">
        <f>IFERROR(IF(TODAY()&gt;=E535,(TODAY()-E535)/I535,0),0)</f>
        <v>0</v>
      </c>
      <c r="K535" s="5">
        <v>640.01</v>
      </c>
      <c r="L535" s="5">
        <v>640.01</v>
      </c>
      <c r="M535" s="5">
        <f>K535-L535</f>
        <v>0</v>
      </c>
      <c r="N535" s="21">
        <v>3650.99</v>
      </c>
      <c r="O535" s="21">
        <v>3656</v>
      </c>
      <c r="Q535" s="21">
        <f>K535*N535</f>
        <v>2336670.1099</v>
      </c>
      <c r="R535" s="21">
        <f>L535*O535</f>
        <v>2339876.56</v>
      </c>
      <c r="S535" s="21">
        <f>R535-Q535</f>
        <v>3206.4501000000164</v>
      </c>
      <c r="T535" t="str">
        <f>IF(R535&lt;= Q535,"No Monetizar","Monetizar")</f>
        <v>Monetizar</v>
      </c>
      <c r="V535" s="1">
        <v>46108</v>
      </c>
      <c r="W535" t="str">
        <v>Alfonso Fonseca A</v>
      </c>
      <c r="X535" t="str">
        <v>Alfonso Fonseca A</v>
      </c>
      <c r="Y535" t="str">
        <v>Se monetiza ya que el valor ofrecido por el banco en cada divisa es superior al valor facturado</v>
      </c>
      <c r="Z535" s="21">
        <f>K535*O535</f>
        <v>2339876.56</v>
      </c>
      <c r="AA535" s="21">
        <f>Z535-Q535</f>
        <v>3206.4501000000164</v>
      </c>
    </row>
    <row r="536" outlineLevel="1">
      <c r="B536">
        <v>514</v>
      </c>
      <c r="C536" t="str">
        <v>Poc Pharma Limited</v>
      </c>
      <c r="D536" t="str">
        <v>FV-5-251</v>
      </c>
      <c r="E536" s="1">
        <v>46108</v>
      </c>
      <c r="F536" s="1">
        <v>46168</v>
      </c>
      <c r="J536" s="20">
        <f>IFERROR(IF(TODAY()&gt;=E536,(TODAY()-E536)/I536,0),0)</f>
        <v>0</v>
      </c>
      <c r="K536" s="5">
        <v>3643.56</v>
      </c>
      <c r="L536" s="5">
        <v>3643.56</v>
      </c>
      <c r="M536" s="5">
        <f>K536-L536</f>
        <v>0</v>
      </c>
      <c r="N536" s="21">
        <v>3650.99</v>
      </c>
      <c r="O536" s="21">
        <v>3656</v>
      </c>
      <c r="Q536" s="21">
        <f>K536*N536</f>
        <v>13302601.1244</v>
      </c>
      <c r="R536" s="21">
        <f>L536*O536</f>
        <v>13320855.36</v>
      </c>
      <c r="S536" s="21">
        <f>R536-Q536</f>
        <v>18254.235600000247</v>
      </c>
      <c r="T536" t="str">
        <f>IF(R536&lt;= Q536,"No Monetizar","Monetizar")</f>
        <v>Monetizar</v>
      </c>
      <c r="V536" s="1">
        <v>46108</v>
      </c>
      <c r="W536" t="str">
        <v>Alfonso Fonseca A</v>
      </c>
      <c r="X536" t="str">
        <v>Alfonso Fonseca A</v>
      </c>
      <c r="Y536" t="str">
        <v>Se monetiza ya que el valor ofrecido por el banco en cada divisa es superior al valor facturado</v>
      </c>
      <c r="Z536" s="21">
        <f>K536*O536</f>
        <v>13320855.36</v>
      </c>
      <c r="AA536" s="21">
        <f>Z536-Q536</f>
        <v>18254.235600000247</v>
      </c>
    </row>
    <row r="537" ht="30" customHeight="1" outlineLevel="1">
      <c r="B537">
        <v>515</v>
      </c>
      <c r="C537" t="str">
        <v>Hong kong yonyou xinfushe cloud technology co</v>
      </c>
      <c r="D537" t="str">
        <v>FV-4-6773</v>
      </c>
      <c r="E537" s="1">
        <v>46108</v>
      </c>
      <c r="F537" s="1">
        <v>46168</v>
      </c>
      <c r="J537" s="20">
        <f>IFERROR(IF(TODAY()&gt;=E537,(TODAY()-E537)/I537,0),0)</f>
        <v>0</v>
      </c>
      <c r="K537" s="5">
        <v>749.7</v>
      </c>
      <c r="L537" s="5">
        <v>749.7</v>
      </c>
      <c r="M537" s="5">
        <f>K537-L537</f>
        <v>0</v>
      </c>
      <c r="N537" s="21">
        <v>3650.99</v>
      </c>
      <c r="O537" s="21">
        <v>3657.5</v>
      </c>
      <c r="Q537" s="21">
        <f>K537*N537</f>
        <v>2737147.203</v>
      </c>
      <c r="R537" s="21">
        <f>L537*O537</f>
        <v>2742027.75</v>
      </c>
      <c r="S537" s="21">
        <f>R537-Q537</f>
        <v>4880.546999999788</v>
      </c>
      <c r="T537" t="str">
        <f>IF(R537&lt;= Q537,"No Monetizar","Monetizar")</f>
        <v>Monetizar</v>
      </c>
      <c r="V537" s="1">
        <v>46108</v>
      </c>
      <c r="W537" t="str">
        <v>Alfonso Fonseca A</v>
      </c>
      <c r="X537" t="str">
        <v>Alfonso Fonseca A</v>
      </c>
      <c r="Y537" t="str">
        <v>Se monetiza ya que el valor ofrecido por el banco en cada divisa es superior al valor facturado</v>
      </c>
      <c r="Z537" s="21">
        <f>K537*O537</f>
        <v>2742027.75</v>
      </c>
      <c r="AA537" s="21">
        <f>Z537-Q537</f>
        <v>4880.546999999788</v>
      </c>
    </row>
    <row r="538" ht="30" customHeight="1" outlineLevel="1">
      <c r="B538">
        <v>516</v>
      </c>
      <c r="C538" t="str">
        <v>Hong kong yonyou xinfushe cloud technology co</v>
      </c>
      <c r="D538" t="str">
        <v>FV-5-248</v>
      </c>
      <c r="E538" s="1">
        <v>46108</v>
      </c>
      <c r="F538" s="1">
        <v>46168</v>
      </c>
      <c r="J538" s="20">
        <f>IFERROR(IF(TODAY()&gt;=E538,(TODAY()-E538)/I538,0),0)</f>
        <v>0</v>
      </c>
      <c r="K538" s="5">
        <v>13375.04</v>
      </c>
      <c r="L538" s="5">
        <v>13375.04</v>
      </c>
      <c r="M538" s="5">
        <f>K538-L538</f>
        <v>0</v>
      </c>
      <c r="N538" s="21">
        <v>3650.99</v>
      </c>
      <c r="O538" s="21">
        <v>3657.5</v>
      </c>
      <c r="Q538" s="21">
        <f>K538*N538</f>
        <v>48832137.2896</v>
      </c>
      <c r="R538" s="21">
        <f>L538*O538</f>
        <v>48919208.800000004</v>
      </c>
      <c r="S538" s="21">
        <f>R538-Q538</f>
        <v>87071.51040000468</v>
      </c>
      <c r="T538" t="str">
        <f>IF(R538&lt;= Q538,"No Monetizar","Monetizar")</f>
        <v>Monetizar</v>
      </c>
      <c r="V538" s="1">
        <v>46108</v>
      </c>
      <c r="W538" t="str">
        <v>Alfonso Fonseca A</v>
      </c>
      <c r="X538" t="str">
        <v>Alfonso Fonseca A</v>
      </c>
      <c r="Y538" t="str">
        <v>Se monetiza ya que el valor ofrecido por el banco en cada divisa es superior al valor facturado</v>
      </c>
      <c r="Z538" s="21">
        <f>K538*O538</f>
        <v>48919208.800000004</v>
      </c>
      <c r="AA538" s="21">
        <f>Z538-Q538</f>
        <v>87071.51040000468</v>
      </c>
    </row>
    <row r="539" outlineLevel="1">
      <c r="B539">
        <v>517</v>
      </c>
      <c r="C539" t="str">
        <v>Minudoc OÜ - Siffi</v>
      </c>
      <c r="D539" t="str">
        <v>FV-4-6811</v>
      </c>
      <c r="E539" s="1">
        <v>46111</v>
      </c>
      <c r="F539" s="1">
        <v>46171</v>
      </c>
      <c r="J539" s="20">
        <f>IFERROR(IF(TODAY()&gt;=E539,(TODAY()-E539)/I539,0),0)</f>
        <v>0</v>
      </c>
      <c r="K539" s="5">
        <v>216.28</v>
      </c>
      <c r="L539" s="5">
        <v>215.37089380590487</v>
      </c>
      <c r="M539" s="5">
        <f>K539-L539</f>
        <v>0.9091061940951306</v>
      </c>
      <c r="N539" s="21">
        <v>3644.2</v>
      </c>
      <c r="O539" s="21">
        <v>3660.01</v>
      </c>
      <c r="Q539" s="21">
        <f>K539*N539</f>
        <v>788167.576</v>
      </c>
      <c r="R539" s="21">
        <f>L539*O539</f>
        <v>788259.6250385499</v>
      </c>
      <c r="S539" s="21">
        <f>R539-Q539</f>
        <v>92.04903854988515</v>
      </c>
      <c r="T539" t="str">
        <f>IF(R539&lt;= Q539,"No Monetizar","Monetizar")</f>
        <v>Monetizar</v>
      </c>
      <c r="V539" s="1">
        <v>46119</v>
      </c>
      <c r="W539" t="str">
        <v>Alfonso Fonseca A</v>
      </c>
      <c r="X539" t="str">
        <v>Alfonso Fonseca A</v>
      </c>
      <c r="Y539" t="str">
        <v>Se monetiza ya que el valor ofrecido por el banco en cada divisa es superior al valor facturado</v>
      </c>
      <c r="Z539" s="21">
        <f>K539*O539</f>
        <v>791586.9628000001</v>
      </c>
      <c r="AA539" s="21">
        <f>Z539-Q539</f>
        <v>3419.386800000095</v>
      </c>
    </row>
    <row r="540" outlineLevel="1">
      <c r="B540">
        <v>518</v>
      </c>
      <c r="C540" t="str">
        <v>Minudoc OÜ - Siffi</v>
      </c>
      <c r="D540" t="str">
        <v>FV-5-252</v>
      </c>
      <c r="E540" s="1">
        <v>46111</v>
      </c>
      <c r="F540" s="1">
        <v>46171</v>
      </c>
      <c r="J540" s="20">
        <f>IFERROR(IF(TODAY()&gt;=E540,(TODAY()-E540)/I540,0),0)</f>
        <v>0</v>
      </c>
      <c r="K540" s="5">
        <v>2162.76</v>
      </c>
      <c r="L540" s="5">
        <v>2153.6691061940946</v>
      </c>
      <c r="M540" s="5">
        <f>K540-L540</f>
        <v>9.09089380590558</v>
      </c>
      <c r="N540" s="21">
        <v>3644.2</v>
      </c>
      <c r="O540" s="21">
        <v>3660.01</v>
      </c>
      <c r="Q540" s="21">
        <f>K540*N540</f>
        <v>7881529.992000001</v>
      </c>
      <c r="R540" s="21">
        <f>L540*O540</f>
        <v>7882450.465361449</v>
      </c>
      <c r="S540" s="21">
        <f>R540-Q540</f>
        <v>920.4733614483848</v>
      </c>
      <c r="T540" t="str">
        <f>IF(R540&lt;= Q540,"No Monetizar","Monetizar")</f>
        <v>Monetizar</v>
      </c>
      <c r="V540" s="1">
        <v>46119</v>
      </c>
      <c r="W540" t="str">
        <v>Alfonso Fonseca A</v>
      </c>
      <c r="X540" t="str">
        <v>Alfonso Fonseca A</v>
      </c>
      <c r="Y540" t="str">
        <v>Se monetiza ya que el valor ofrecido por el banco en cada divisa es superior al valor facturado</v>
      </c>
      <c r="Z540" s="21">
        <f>K540*O540</f>
        <v>7915723.227600002</v>
      </c>
      <c r="AA540" s="21">
        <f>Z540-Q540</f>
        <v>34193.23560000118</v>
      </c>
    </row>
    <row r="541" outlineLevel="1">
      <c r="B541">
        <v>519</v>
      </c>
      <c r="C541" t="str">
        <v>Insider</v>
      </c>
      <c r="D541" t="str">
        <v>FV-5-258</v>
      </c>
      <c r="E541" s="1">
        <v>46111</v>
      </c>
      <c r="F541" s="1">
        <v>46171</v>
      </c>
      <c r="J541" s="20">
        <f>IFERROR(IF(TODAY()&gt;=E541,(TODAY()-E541)/I541,0),0)</f>
        <v>0</v>
      </c>
      <c r="K541" s="5">
        <v>191.01</v>
      </c>
      <c r="L541" s="5">
        <v>191.01</v>
      </c>
      <c r="M541" s="5">
        <f>K541-L541</f>
        <v>0</v>
      </c>
      <c r="N541" s="21">
        <v>3650.99</v>
      </c>
      <c r="O541" s="21">
        <v>3658.51</v>
      </c>
      <c r="Q541" s="21">
        <f>K541*N541</f>
        <v>697375.5998999999</v>
      </c>
      <c r="R541" s="21">
        <f>L541*O541</f>
        <v>698811.9951000001</v>
      </c>
      <c r="S541" s="21">
        <f>R541-Q541</f>
        <v>1436.3952000001445</v>
      </c>
      <c r="T541" t="str">
        <f>IF(R541&lt;= Q541,"No Monetizar","Monetizar")</f>
        <v>Monetizar</v>
      </c>
      <c r="V541" s="1">
        <v>46119</v>
      </c>
      <c r="W541" t="str">
        <v>Alfonso Fonseca A</v>
      </c>
      <c r="X541" t="str">
        <v>Alfonso Fonseca A</v>
      </c>
      <c r="Y541" t="str">
        <v>Se monetiza ya que el valor ofrecido por el banco en cada divisa es superior al valor facturado</v>
      </c>
      <c r="Z541" s="21">
        <f>K541*O541</f>
        <v>698811.9951000001</v>
      </c>
      <c r="AA541" s="21">
        <f>Z541-Q541</f>
        <v>1436.3952000001445</v>
      </c>
    </row>
    <row r="542" outlineLevel="1"/>
    <row r="543" outlineLevel="1"/>
    <row r="544" outlineLevel="1"/>
    <row r="545" outlineLevel="1"/>
    <row r="546" outlineLevel="1">
      <c r="P546" s="21">
        <f>O546-N546</f>
        <v>0</v>
      </c>
    </row>
    <row r="547" ht="15.75" customHeight="1" outlineLevel="1">
      <c r="P547" s="21">
        <f>O547-N547</f>
        <v>0</v>
      </c>
    </row>
    <row r="548" ht="15.75" customHeight="1">
      <c r="B548" t="str">
        <v>TOTAL</v>
      </c>
      <c r="K548" s="5">
        <f>SUBTOTAL(9,K32:K547)</f>
        <v>8392315.29436191</v>
      </c>
      <c r="L548" s="5">
        <f>SUBTOTAL(9,L32:L547)</f>
        <v>8389805.890000006</v>
      </c>
      <c r="M548" s="5">
        <f>SUBTOTAL(9,M32:M547)</f>
        <v>2559.4043619055483</v>
      </c>
      <c r="P548" s="5">
        <f>SUBTOTAL(9,P32:P547)</f>
        <v>6532.510000000029</v>
      </c>
      <c r="Q548" s="23">
        <f>SUBTOTAL(9,Q32:Q547)</f>
        <v>32480925044.914146</v>
      </c>
      <c r="R548" s="23">
        <f>SUBTOTAL(9,R32:R547)</f>
        <v>32859962147.3697</v>
      </c>
      <c r="S548" s="23">
        <f>SUBTOTAL(9,S32:S547)</f>
        <v>378764534.87954605</v>
      </c>
      <c r="Z548" s="23">
        <f>SUBTOTAL(9,Z32:Z547)</f>
        <v>32862532479.340355</v>
      </c>
      <c r="AA548" s="23">
        <f>SUBTOTAL(9,AA32:AA547)</f>
        <v>381607434.4261361</v>
      </c>
    </row>
    <row r="554"/>
    <row r="555">
      <c r="C555" t="str">
        <v xml:space="preserve">Forward negociado 13 de marzo </v>
      </c>
    </row>
    <row r="556"/>
    <row r="557">
      <c r="C557" t="str">
        <v>Endrington</v>
      </c>
      <c r="D557" s="5">
        <v>12522.86</v>
      </c>
      <c r="E557" s="5">
        <v>0</v>
      </c>
      <c r="F557" s="5">
        <f>D557-E557</f>
        <v>12522.86</v>
      </c>
      <c r="G557">
        <v>3650.99</v>
      </c>
      <c r="I557" s="23">
        <f>F557*G557</f>
        <v>45720836.6314</v>
      </c>
      <c r="J557" s="23">
        <f>F557*$F$562</f>
        <v>46309536.28</v>
      </c>
      <c r="K557" s="21">
        <f>J557-I557</f>
        <v>588699.6486000046</v>
      </c>
    </row>
    <row r="558">
      <c r="C558" t="str">
        <v xml:space="preserve">Neo </v>
      </c>
      <c r="D558" s="5">
        <v>21193.18</v>
      </c>
      <c r="E558" s="5">
        <v>61</v>
      </c>
      <c r="F558" s="5">
        <f>D558-E558</f>
        <v>21132.18</v>
      </c>
      <c r="G558">
        <v>3650.99</v>
      </c>
      <c r="I558" s="23">
        <f>F558*G558</f>
        <v>77153377.8582</v>
      </c>
      <c r="J558" s="23">
        <f>F558*$F$562</f>
        <v>78146801.64</v>
      </c>
      <c r="K558" s="21">
        <f>J558-I558</f>
        <v>993423.7818000019</v>
      </c>
    </row>
    <row r="559">
      <c r="C559" t="str">
        <v xml:space="preserve">yon you </v>
      </c>
      <c r="D559" s="5">
        <v>14124.74</v>
      </c>
      <c r="E559" s="5">
        <v>0</v>
      </c>
      <c r="F559" s="5">
        <f>D559-E559</f>
        <v>14124.74</v>
      </c>
      <c r="G559">
        <v>3650.99</v>
      </c>
      <c r="I559" s="23">
        <f>F559*G559</f>
        <v>51569284.492599994</v>
      </c>
      <c r="J559" s="23">
        <f>F559*$F$562</f>
        <v>52233288.519999996</v>
      </c>
      <c r="K559" s="21">
        <f>J559-I559</f>
        <v>664004.0274000019</v>
      </c>
    </row>
    <row r="560">
      <c r="C560" t="str">
        <v>Poc Pharma</v>
      </c>
      <c r="D560" s="5">
        <v>4283.57</v>
      </c>
      <c r="E560" s="5">
        <v>0</v>
      </c>
      <c r="F560" s="5">
        <f>D560-E560</f>
        <v>4283.57</v>
      </c>
      <c r="G560">
        <v>3650.99</v>
      </c>
      <c r="I560" s="23">
        <f>F560*G560</f>
        <v>15639271.234299999</v>
      </c>
      <c r="J560" s="23">
        <f>F560*$F$562</f>
        <v>15840641.86</v>
      </c>
      <c r="K560" s="21">
        <f>J560-I560</f>
        <v>201370.62570000067</v>
      </c>
    </row>
    <row r="561">
      <c r="E561" t="str">
        <v>Total</v>
      </c>
      <c r="F561" s="5">
        <f>SUM(F557:F560)</f>
        <v>52063.35</v>
      </c>
      <c r="I561" s="23">
        <f>SUM(I557:I560)</f>
        <v>190082770.21649998</v>
      </c>
      <c r="J561" s="23">
        <f>SUM(J557:J560)</f>
        <v>192530268.3</v>
      </c>
      <c r="K561" s="21">
        <f>J561-I561</f>
        <v>2447498.0835000277</v>
      </c>
    </row>
    <row r="562">
      <c r="E562" s="1">
        <v>46107</v>
      </c>
      <c r="F562">
        <v>3698</v>
      </c>
    </row>
  </sheetData>
  <autoFilter ref="B31:XFC506"/>
  <mergeCells count="6">
    <mergeCell ref="C555:K555"/>
    <mergeCell ref="Z29:AA29"/>
    <mergeCell ref="B23:J23"/>
    <mergeCell ref="B548:J548"/>
    <mergeCell ref="Q29:S29"/>
    <mergeCell ref="J25:J26"/>
  </mergeCells>
  <pageMargins left="0.7086614173228347" right="0.7086614173228347" top="0.7480314960629921" bottom="0.7480314960629921" header="0.31496062992125984" footer="0.31496062992125984"/>
  <ignoredErrors>
    <ignoredError numberStoredAsText="1" sqref="B1:XFC562"/>
  </ignoredErrors>
  <legacyDrawing r:id="rId1"/>
</worksheet>
</file>

<file path=xl/worksheets/sheet9.xml><?xml version="1.0" encoding="utf-8"?>
<worksheet xmlns="http://schemas.openxmlformats.org/spreadsheetml/2006/main" xmlns:r="http://schemas.openxmlformats.org/officeDocument/2006/relationships">
  <dimension ref="B1:N163"/>
  <sheetViews>
    <sheetView workbookViewId="0" rightToLeft="0"/>
  </sheetViews>
  <cols>
    <col min="1" max="1" customWidth="1" width="2.140625"/>
    <col min="2" max="2" customWidth="1" width="8"/>
    <col min="3" max="3" customWidth="1" width="15.28515625"/>
    <col min="4" max="4" customWidth="1" width="15.28515625"/>
    <col min="5" max="5" customWidth="1" width="66.5703125"/>
    <col min="6" max="6" customWidth="1" width="18.28515625"/>
    <col min="7" max="7" customWidth="1" width="17.5703125"/>
    <col min="8" max="8" customWidth="1" width="54.28515625"/>
    <col min="9" max="9" customWidth="1" width="18.28515625"/>
    <col min="10" max="10" customWidth="1" width="18"/>
    <col min="11" max="11" customWidth="1" width="15.5703125"/>
    <col min="12" max="12" customWidth="1" width="44.140625"/>
    <col min="13" max="13" customWidth="1" width="21.140625"/>
    <col min="14" max="14" customWidth="1" width="12.140625"/>
  </cols>
  <sheetData>
    <row r="1" ht="15.75" customHeight="1">
      <c r="H1" s="6" t="str">
        <v>Sin Pagar</v>
      </c>
      <c r="I1" s="6" t="str">
        <v>Cancelado</v>
      </c>
    </row>
    <row r="2" ht="15.75" customHeight="1">
      <c r="B2" t="str">
        <v>Distribución de dinero</v>
      </c>
    </row>
    <row r="3" ht="15.75" customHeight="1"/>
    <row r="4" ht="16.5" customHeight="1">
      <c r="B4" t="str">
        <v>Semana</v>
      </c>
      <c r="C4" t="str">
        <v>Fecha Inicial</v>
      </c>
      <c r="D4" t="str">
        <v>Fecha Final</v>
      </c>
      <c r="E4" t="str">
        <v xml:space="preserve">Descripción </v>
      </c>
      <c r="F4" t="str">
        <v>Valor</v>
      </c>
      <c r="H4" s="2" t="str">
        <v>Sin pagar</v>
      </c>
      <c r="I4" s="2" t="str">
        <v>Cancelado</v>
      </c>
      <c r="J4" s="2" t="str">
        <v>Total</v>
      </c>
    </row>
    <row r="5" ht="15.75" customHeight="1">
      <c r="B5">
        <v>1</v>
      </c>
      <c r="C5" s="1">
        <v>45992</v>
      </c>
      <c r="D5" s="1">
        <v>45999</v>
      </c>
      <c r="E5" t="str">
        <v>Pagos a Realizar</v>
      </c>
      <c r="F5" s="2">
        <f>SUMIFS(DICIEMBRE!$E$115:$E$1613,DICIEMBRE!$F$115:$F$1613,"&gt;="&amp;C5,DICIEMBRE!$F$115:$F$1613,"&lt;="&amp;D5,DICIEMBRE!$G$115:$G$1613,$H$1)</f>
        <v>0</v>
      </c>
      <c r="G5" t="str">
        <v xml:space="preserve">Proveedores </v>
      </c>
    </row>
    <row r="6" ht="15.75" customHeight="1">
      <c r="B6">
        <v>2</v>
      </c>
      <c r="C6" s="1">
        <v>46000</v>
      </c>
      <c r="D6" s="1">
        <v>46002</v>
      </c>
      <c r="E6" t="str">
        <v>Pagos a Realizar</v>
      </c>
      <c r="F6" s="2">
        <f>SUMIFS(DICIEMBRE!$E$115:$E$1613,DICIEMBRE!$F$115:$F$1613,"&gt;="&amp;C6,DICIEMBRE!$F$115:$F$1613,"&lt;="&amp;D6,DICIEMBRE!$G$115:$G$1613,$H$1)</f>
        <v>0</v>
      </c>
      <c r="G6" t="str">
        <v xml:space="preserve">Proveedores </v>
      </c>
      <c r="H6" s="2">
        <f>SUMIFS(DICIEMBRE!$E$115:$E$1613,DICIEMBRE!$F$115:$F$1613,"&gt;="&amp;C5,DICIEMBRE!$F$115:$F$1613,"&lt;="&amp;$D$15,DICIEMBRE!$G$115:$G$1613,$H$1)</f>
        <v>0</v>
      </c>
      <c r="I6" s="2">
        <f>SUMIFS(DICIEMBRE!$E$115:$E$1613,DICIEMBRE!$F$115:$F$1613,"&gt;="&amp;C5,DICIEMBRE!$F$115:$F$1613,"&lt;="&amp;$D$15,DICIEMBRE!$G$115:$G$1613,$I$1)</f>
        <v>2821525919.76034</v>
      </c>
      <c r="J6" s="2">
        <f>SUM(H6:I6)</f>
        <v>2821525919.76034</v>
      </c>
      <c r="L6" s="2" t="e">
        <f>J6-#REF!</f>
        <v>#REF!</v>
      </c>
    </row>
    <row r="7" ht="15.75" customHeight="1">
      <c r="B7">
        <v>3</v>
      </c>
      <c r="C7" s="1">
        <v>46003</v>
      </c>
      <c r="D7" s="1">
        <v>46003</v>
      </c>
      <c r="E7" t="str">
        <v>Pagos a Realizar</v>
      </c>
      <c r="F7" s="2">
        <f>SUMIFS(DICIEMBRE!$E$115:$E$1613,DICIEMBRE!$F$115:$F$1613,"&gt;="&amp;C7,DICIEMBRE!$F$115:$F$1613,"&lt;="&amp;D7,DICIEMBRE!$G$115:$G$1613,$H$1)</f>
        <v>0</v>
      </c>
      <c r="G7" t="str">
        <v>Seguridad social-Anticipo nómina Nazdar y Action</v>
      </c>
    </row>
    <row r="8" ht="15.75" customHeight="1">
      <c r="B8">
        <v>4</v>
      </c>
      <c r="C8" s="1">
        <v>46004</v>
      </c>
      <c r="D8" s="1">
        <v>46005</v>
      </c>
      <c r="E8" t="str">
        <v>Pagos a Realizar</v>
      </c>
      <c r="F8" s="2">
        <f>SUMIFS(DICIEMBRE!$E$115:$E$1613,DICIEMBRE!$F$115:$F$1613,"&gt;="&amp;C8,DICIEMBRE!$F$115:$F$1613,"&lt;="&amp;D8,DICIEMBRE!$G$115:$G$1613,$H$1)</f>
        <v>0</v>
      </c>
      <c r="I8" s="2" t="str">
        <v>Comprobación</v>
      </c>
      <c r="J8" s="2">
        <f>DICIEMBRE!E325</f>
        <v>2887281484.1103406</v>
      </c>
    </row>
    <row r="9" ht="15.75" customHeight="1">
      <c r="B9">
        <v>5</v>
      </c>
      <c r="C9" s="1">
        <v>46006</v>
      </c>
      <c r="D9" s="1">
        <v>46006</v>
      </c>
      <c r="E9" t="str">
        <v>Pagos a Realizar</v>
      </c>
      <c r="F9" s="2">
        <f>SUMIFS(DICIEMBRE!$E$115:$E$1613,DICIEMBRE!$F$115:$F$1613,"&gt;="&amp;C9,DICIEMBRE!$F$115:$F$1613,"&lt;="&amp;D9,DICIEMBRE!$G$115:$G$1613,$H$1)</f>
        <v>0</v>
      </c>
      <c r="G9" t="str">
        <v>Primas EOR-S&amp;P y Nómina Time Resort</v>
      </c>
    </row>
    <row r="10" ht="15.75" customHeight="1">
      <c r="C10" s="1">
        <v>46007</v>
      </c>
      <c r="D10" s="1">
        <v>46007</v>
      </c>
      <c r="E10" t="str">
        <v>Pagos a Realizar</v>
      </c>
      <c r="F10" s="2">
        <f>SUMIFS(DICIEMBRE!$E$115:$E$1613,DICIEMBRE!$F$115:$F$1613,"&gt;="&amp;C10,DICIEMBRE!$F$115:$F$1613,"&lt;="&amp;D10,DICIEMBRE!$G$115:$G$1613,$H$1)</f>
        <v>0</v>
      </c>
      <c r="G10" t="str">
        <v>Impuestos Nacionales-TC Endrington</v>
      </c>
    </row>
    <row r="11" ht="15.75" customHeight="1">
      <c r="B11">
        <v>6</v>
      </c>
      <c r="C11" s="1">
        <v>46008</v>
      </c>
      <c r="D11" s="1">
        <v>46012</v>
      </c>
      <c r="E11" t="str">
        <v>Pagos a Realizar</v>
      </c>
      <c r="F11" s="2">
        <f>SUMIFS(DICIEMBRE!$E$115:$E$1613,DICIEMBRE!$F$115:$F$1613,"&gt;="&amp;C11,DICIEMBRE!$F$115:$F$1613,"&lt;="&amp;D11,DICIEMBRE!$G$115:$G$1613,$H$1)</f>
        <v>0</v>
      </c>
    </row>
    <row r="12" ht="15.75" customHeight="1">
      <c r="B12">
        <v>7</v>
      </c>
      <c r="C12" s="1">
        <v>46013</v>
      </c>
      <c r="D12" s="1">
        <v>46016</v>
      </c>
      <c r="E12" t="str">
        <v>Pagos a Realizar</v>
      </c>
      <c r="F12" s="2">
        <f>SUMIFS(DICIEMBRE!$E$115:$E$1613,DICIEMBRE!$F$115:$F$1613,"&gt;="&amp;C12,DICIEMBRE!$F$115:$F$1613,"&lt;="&amp;D12,DICIEMBRE!$G$115:$G$1613,$H$1)</f>
        <v>0</v>
      </c>
      <c r="G12" t="str">
        <v xml:space="preserve">Proveedores </v>
      </c>
    </row>
    <row r="13" ht="15.75" customHeight="1">
      <c r="B13">
        <v>8</v>
      </c>
      <c r="C13" s="1">
        <v>46017</v>
      </c>
      <c r="D13" s="1">
        <v>46017</v>
      </c>
      <c r="E13" t="str">
        <v>Pagos a Realizar</v>
      </c>
      <c r="F13" s="2">
        <f>SUMIFS(DICIEMBRE!$E$115:$E$1613,DICIEMBRE!$F$115:$F$1613,"&gt;="&amp;C13,DICIEMBRE!$F$115:$F$1613,"&lt;="&amp;D13,DICIEMBRE!$G$115:$G$1613,$H$1)</f>
        <v>0</v>
      </c>
      <c r="G13" t="str">
        <v>Nómina-Pagos a tercero-Proveedores</v>
      </c>
    </row>
    <row r="14" ht="15.75" customHeight="1">
      <c r="B14">
        <v>9</v>
      </c>
      <c r="C14" s="1">
        <v>46018</v>
      </c>
      <c r="D14" s="1">
        <v>46019</v>
      </c>
      <c r="E14" t="str">
        <v>Pagos a Realizar</v>
      </c>
      <c r="F14" s="2">
        <f>SUMIFS(DICIEMBRE!$E$115:$E$1613,DICIEMBRE!$F$115:$F$1613,"&gt;="&amp;C14,DICIEMBRE!$F$115:$F$1613,"&lt;="&amp;D14,DICIEMBRE!$G$115:$G$1613,$H$1)</f>
        <v>0</v>
      </c>
    </row>
    <row r="15" ht="16.5" customHeight="1">
      <c r="B15">
        <v>10</v>
      </c>
      <c r="C15" s="1">
        <v>46020</v>
      </c>
      <c r="D15" s="1">
        <v>46022</v>
      </c>
      <c r="E15" t="str">
        <v>Pagos a Realizar</v>
      </c>
      <c r="F15" s="2">
        <f>SUMIFS(DICIEMBRE!$E$115:$E$1613,DICIEMBRE!$F$115:$F$1613,"&gt;="&amp;C15,DICIEMBRE!$F$115:$F$1613,"&lt;="&amp;D15,DICIEMBRE!$G$115:$G$1613,$H$1)</f>
        <v>0</v>
      </c>
      <c r="G15" t="str">
        <v xml:space="preserve">Proveedores </v>
      </c>
    </row>
    <row r="16" ht="16.5" customHeight="1">
      <c r="B16" t="str">
        <v>TOTAL</v>
      </c>
      <c r="F16" s="2">
        <f>SUM(F5:F15)</f>
        <v>0</v>
      </c>
    </row>
    <row r="17" ht="15.75" customHeight="1"/>
    <row r="18" ht="15.75" customHeight="1">
      <c r="E18" t="str">
        <v>Escenario 1</v>
      </c>
    </row>
    <row r="19" ht="15.75" customHeight="1" outlineLevel="1">
      <c r="E19" t="str">
        <v>Gastos y costos Periodo 01 al 17 Diciembre</v>
      </c>
      <c r="F19" s="2">
        <f>SUM($F$5:$F$11)</f>
        <v>0</v>
      </c>
    </row>
    <row r="20" ht="16.5" customHeight="1" outlineLevel="1">
      <c r="E20" t="str">
        <v>4 X mil</v>
      </c>
      <c r="F20" s="2">
        <f>($F$19*4)/1000</f>
        <v>0</v>
      </c>
    </row>
    <row r="21" ht="16.5" customHeight="1" outlineLevel="1">
      <c r="E21" t="str">
        <v>Total</v>
      </c>
      <c r="F21" s="2">
        <f>SUM(F19:F20)</f>
        <v>0</v>
      </c>
    </row>
    <row r="22" ht="21" customHeight="1" outlineLevel="1"/>
    <row r="23" ht="18.75" customHeight="1" outlineLevel="1">
      <c r="E23" t="str">
        <v xml:space="preserve">Bancos </v>
      </c>
      <c r="F23" s="2">
        <f>DICIEMBRE!$E$343</f>
        <v>1057444106.81</v>
      </c>
    </row>
    <row r="24" ht="18.75" customHeight="1" outlineLevel="1">
      <c r="E24" t="str">
        <v>Action  AD</v>
      </c>
      <c r="F24" s="2">
        <v>13000000</v>
      </c>
    </row>
    <row r="25" ht="15" customHeight="1" outlineLevel="1">
      <c r="E25" t="str">
        <v>Safeguard -Endrington-Noviembre</v>
      </c>
      <c r="F25" s="2" t="e">
        <f>'MONETIZACIONES PEND'!#REF!*3700</f>
        <v>#REF!</v>
      </c>
    </row>
    <row r="26" ht="15" customHeight="1" outlineLevel="1">
      <c r="E26" t="str">
        <v>Safeguard por identificar servicios de centro américa</v>
      </c>
      <c r="F26" s="2" t="e">
        <f>('MONETIZACIONES PEND'!#REF!)*3700</f>
        <v>#REF!</v>
      </c>
    </row>
    <row r="27" ht="15" customHeight="1" outlineLevel="1">
      <c r="E27" t="str">
        <v>Safeguard LTD x identificar</v>
      </c>
      <c r="F27" s="2" t="e">
        <f>('MONETIZACIONES PEND'!#REF!)*3700</f>
        <v>#REF!</v>
      </c>
    </row>
    <row r="28" ht="15" customHeight="1" outlineLevel="1">
      <c r="E28" t="str">
        <v>Global Project</v>
      </c>
      <c r="F28" s="2" t="e">
        <f>'MONETIZACIONES PEND'!#REF!*3700</f>
        <v>#REF!</v>
      </c>
    </row>
    <row r="29" ht="15" customHeight="1" outlineLevel="1">
      <c r="E29" t="str">
        <v>Remofirst</v>
      </c>
      <c r="F29" s="2" t="e">
        <f>'MONETIZACIONES PEND'!#REF!*3700</f>
        <v>#REF!</v>
      </c>
    </row>
    <row r="30" ht="15" customHeight="1" outlineLevel="1">
      <c r="E30" t="str">
        <v xml:space="preserve">Global CS Colombia SAS factura # 5-61 Reembolso Celulares </v>
      </c>
      <c r="F30" s="2">
        <v>359994</v>
      </c>
    </row>
    <row r="31" ht="15" customHeight="1" outlineLevel="1">
      <c r="E31" t="str">
        <v>Global CS Colombia SAS -Solutions &amp; payroll-Servicio Noviembre 2025 Factura 2-257</v>
      </c>
      <c r="F31" s="2">
        <v>19334755</v>
      </c>
    </row>
    <row r="32" ht="15" customHeight="1" outlineLevel="1">
      <c r="E32" t="str">
        <v>Clientes nacionales</v>
      </c>
      <c r="F32" s="2">
        <f>DICIEMBRE!$E$14+DICIEMBRE!$E$15+DICIEMBRE!$E$26+DICIEMBRE!$E$24+DICIEMBRE!$E$29+DICIEMBRE!$E$30+DICIEMBRE!$E$47+DICIEMBRE!$E$57</f>
        <v>72533124.49</v>
      </c>
    </row>
    <row r="33" ht="15" customHeight="1" outlineLevel="1">
      <c r="E33" t="str">
        <v>Safeguard Payroll</v>
      </c>
      <c r="F33" s="2">
        <f>SUM(DICIEMBRE!$E$51:$E$53)</f>
        <v>0</v>
      </c>
    </row>
    <row r="34" ht="15" customHeight="1" outlineLevel="1">
      <c r="E34" t="str">
        <v xml:space="preserve">Insider </v>
      </c>
      <c r="F34" s="2">
        <f>DICIEMBRE!$E$85</f>
        <v>144494834.04000002</v>
      </c>
    </row>
    <row r="35" ht="15" customHeight="1" outlineLevel="1">
      <c r="E35" t="str">
        <v xml:space="preserve">Sobregiro </v>
      </c>
      <c r="F35" s="2">
        <v>0</v>
      </c>
    </row>
    <row r="36" ht="15.75" customHeight="1" outlineLevel="1">
      <c r="E36" t="str">
        <v>Total</v>
      </c>
      <c r="F36" s="2" t="e">
        <f>SUM(F23:F35)</f>
        <v>#REF!</v>
      </c>
    </row>
    <row r="37" outlineLevel="1">
      <c r="E37" t="str">
        <v>Saldo</v>
      </c>
      <c r="F37" s="2" t="e">
        <f>F36-$F$21</f>
        <v>#REF!</v>
      </c>
    </row>
    <row r="38" ht="4.5" customHeight="1"/>
    <row r="39" ht="15.75" customHeight="1">
      <c r="E39" t="str">
        <v>Escenario 2</v>
      </c>
    </row>
    <row r="40" outlineLevel="1"/>
    <row r="41" outlineLevel="1">
      <c r="E41" t="str">
        <v>Gastos y costos Periodo 01 al 17 Diciembre</v>
      </c>
      <c r="F41" s="2">
        <f>SUM($F$5:$F$11)-DICIEMBRE!$E$267</f>
        <v>-144223182</v>
      </c>
    </row>
    <row r="42" ht="15.75" customHeight="1" outlineLevel="1">
      <c r="E42" t="str">
        <v>4 X mil</v>
      </c>
      <c r="F42" s="2">
        <f>($F$19*4)/1000</f>
        <v>0</v>
      </c>
    </row>
    <row r="43" ht="16.5" customHeight="1" outlineLevel="1">
      <c r="E43" t="str">
        <v>Total</v>
      </c>
      <c r="F43" s="2">
        <f>SUM(F41:F42)</f>
        <v>-144223182</v>
      </c>
    </row>
    <row r="44" ht="15.75" customHeight="1" outlineLevel="1"/>
    <row r="45" outlineLevel="1">
      <c r="E45" t="str">
        <v xml:space="preserve">Bancos </v>
      </c>
      <c r="F45" s="2">
        <f>DICIEMBRE!$E$343</f>
        <v>1057444106.81</v>
      </c>
    </row>
    <row r="46" outlineLevel="1">
      <c r="E46" t="str">
        <v>Action  AD</v>
      </c>
      <c r="F46" s="2">
        <v>13000000</v>
      </c>
    </row>
    <row r="47" outlineLevel="1">
      <c r="E47" t="str">
        <v>Safeguard -Endrington-Noviembre</v>
      </c>
      <c r="F47" s="2" t="e">
        <f>'MONETIZACIONES PEND'!#REF!*3700</f>
        <v>#REF!</v>
      </c>
    </row>
    <row r="48" outlineLevel="1">
      <c r="E48" t="str">
        <v>Safeguard por identificar servicios de centro américa</v>
      </c>
      <c r="F48" s="2" t="e">
        <f>('MONETIZACIONES PEND'!#REF!)*3700</f>
        <v>#REF!</v>
      </c>
    </row>
    <row r="49" outlineLevel="1">
      <c r="E49" t="str">
        <v>Safeguard LTD x identificar</v>
      </c>
      <c r="F49" s="2" t="e">
        <f>('MONETIZACIONES PEND'!#REF!)*3700</f>
        <v>#REF!</v>
      </c>
    </row>
    <row r="50" outlineLevel="1">
      <c r="E50" t="str">
        <v>Global Project</v>
      </c>
      <c r="F50" s="2" t="e">
        <f>'MONETIZACIONES PEND'!#REF!*3700</f>
        <v>#REF!</v>
      </c>
    </row>
    <row r="51" outlineLevel="1">
      <c r="E51" t="str">
        <v>Remofirst</v>
      </c>
      <c r="F51" s="2" t="e">
        <f>'MONETIZACIONES PEND'!#REF!*3700</f>
        <v>#REF!</v>
      </c>
    </row>
    <row r="52" outlineLevel="1">
      <c r="E52" t="str">
        <v xml:space="preserve">Global CS Colombia SAS factura # 5-61 Reembolso Celulares </v>
      </c>
      <c r="F52" s="2">
        <v>359994</v>
      </c>
    </row>
    <row r="53" ht="30" customHeight="1" outlineLevel="1">
      <c r="E53" t="str">
        <v>Global CS Colombia SAS -Solutions &amp; payroll-Servicio Noviembre 2025 Factura 2-257</v>
      </c>
      <c r="F53" s="2">
        <v>19334755</v>
      </c>
    </row>
    <row r="54" outlineLevel="1">
      <c r="E54" t="str">
        <v>Clientes nacionales</v>
      </c>
      <c r="F54" s="2">
        <f>DICIEMBRE!$E$14+DICIEMBRE!$E$15+DICIEMBRE!$E$26+DICIEMBRE!$E$24+DICIEMBRE!$E$29+DICIEMBRE!$E$30+DICIEMBRE!$E$47+DICIEMBRE!$E$57</f>
        <v>72533124.49</v>
      </c>
    </row>
    <row r="55" outlineLevel="1">
      <c r="E55" t="str">
        <v>Safeguard Payroll</v>
      </c>
      <c r="F55" s="2">
        <f>SUM(DICIEMBRE!$E$51:$E$53)*0</f>
        <v>0</v>
      </c>
    </row>
    <row r="56" ht="15.75" customHeight="1">
      <c r="E56" t="str">
        <v xml:space="preserve">Insider </v>
      </c>
      <c r="F56" s="2">
        <f>DICIEMBRE!$E$85*0</f>
        <v>0</v>
      </c>
    </row>
    <row r="57" outlineLevel="1">
      <c r="E57" t="str">
        <v xml:space="preserve">Sobregiro </v>
      </c>
      <c r="F57" s="2">
        <v>0</v>
      </c>
    </row>
    <row r="58" ht="15.75" customHeight="1" outlineLevel="1">
      <c r="E58" t="str">
        <v>Total</v>
      </c>
      <c r="F58" s="2" t="e">
        <f>SUM(F45:F57)</f>
        <v>#REF!</v>
      </c>
    </row>
    <row r="59" outlineLevel="1">
      <c r="E59" t="str">
        <v>Saldo</v>
      </c>
      <c r="F59" s="2" t="e">
        <f>F58-$F$43</f>
        <v>#REF!</v>
      </c>
    </row>
    <row r="60" outlineLevel="1"/>
    <row r="61" outlineLevel="1"/>
    <row r="62" ht="4.5" customHeight="1"/>
    <row r="63" ht="4.5" customHeight="1"/>
    <row r="64" ht="4.5" customHeight="1"/>
    <row r="65" ht="4.5" customHeight="1"/>
    <row r="66" ht="4.5" customHeight="1"/>
    <row r="67" ht="15.75" customHeight="1">
      <c r="E67" t="str">
        <v>FORECAST DICIEMBRE 2025</v>
      </c>
      <c r="H67" t="str">
        <v>FORECAST ENERO 2026</v>
      </c>
      <c r="L67" t="str">
        <v>FORECAST FEBRERO 2026</v>
      </c>
    </row>
    <row r="68" ht="7.5" customHeight="1"/>
    <row r="69" ht="15.75" customHeight="1">
      <c r="E69" t="str">
        <v>INGRESO</v>
      </c>
      <c r="F69" s="2" t="e">
        <f>SUBTOTAL(9,F70:F77)</f>
        <v>#REF!</v>
      </c>
      <c r="H69" t="str">
        <v>INGRESO</v>
      </c>
      <c r="I69" s="2" t="e">
        <f>SUBTOTAL(9,I70:I76)</f>
        <v>#REF!</v>
      </c>
      <c r="L69" t="str">
        <v>INGRESO</v>
      </c>
      <c r="M69" s="2" t="e">
        <f>SUBTOTAL(9,M70:M76)</f>
        <v>#REF!</v>
      </c>
    </row>
    <row r="70" outlineLevel="1">
      <c r="E70" t="str">
        <v>Bancos Valor previsto</v>
      </c>
      <c r="F70" s="18" t="e">
        <f>#REF!</f>
        <v>#REF!</v>
      </c>
      <c r="H70" t="str">
        <v>Bancos Valor previsto</v>
      </c>
      <c r="I70" s="18" t="e">
        <f>DICIEMBRE!E327</f>
        <v>#REF!</v>
      </c>
      <c r="L70" t="str">
        <v>Bancos Valor previsto</v>
      </c>
      <c r="M70" s="18" t="e">
        <f>$I$141</f>
        <v>#REF!</v>
      </c>
    </row>
    <row r="71" outlineLevel="1">
      <c r="E71" t="str">
        <v>Ingreso previsto por EOR</v>
      </c>
      <c r="F71" s="2" t="e">
        <f>#REF!*1.7</f>
        <v>#REF!</v>
      </c>
      <c r="H71" t="str">
        <v>Safeguard LTD y LTD Payroll -Octubre</v>
      </c>
      <c r="I71" s="2">
        <v>65083860.2982</v>
      </c>
      <c r="J71" s="17">
        <v>1</v>
      </c>
      <c r="L71" t="str">
        <v>Safeguard LTD y LTD Payroll -Noviembre</v>
      </c>
      <c r="M71" s="2">
        <v>67000000</v>
      </c>
      <c r="N71" s="17">
        <v>1</v>
      </c>
    </row>
    <row r="72" outlineLevel="1">
      <c r="E72" t="str">
        <v>Safeguard LTD y LTD Payroll -Septiembre</v>
      </c>
      <c r="F72" s="2">
        <v>63738690.82649999</v>
      </c>
      <c r="G72" s="18" t="e">
        <f>F70+F72+F73+F74+F75+F76</f>
        <v>#REF!</v>
      </c>
      <c r="H72" t="str">
        <v>Action XXXX</v>
      </c>
      <c r="I72" s="18">
        <v>13628765.357025</v>
      </c>
      <c r="L72" t="str">
        <v>Action XXXX</v>
      </c>
      <c r="M72" s="18">
        <v>13628765.357025</v>
      </c>
    </row>
    <row r="73" outlineLevel="1">
      <c r="E73" t="str">
        <v>Action XXXX</v>
      </c>
      <c r="F73" s="18">
        <v>14000000</v>
      </c>
      <c r="H73" t="str">
        <v>Clientes nacionales Previsto -Global Project</v>
      </c>
      <c r="I73" s="2">
        <v>45000000</v>
      </c>
      <c r="L73" t="str">
        <v>Clientes nacionales Previsto -Global Project</v>
      </c>
      <c r="M73" s="2">
        <v>52000000</v>
      </c>
    </row>
    <row r="74" outlineLevel="1">
      <c r="E74" t="str">
        <v>Clientes nacionales Previsto -Global Project</v>
      </c>
      <c r="F74" s="2">
        <v>50000000</v>
      </c>
      <c r="H74" t="str">
        <v xml:space="preserve">Global CS Colombia </v>
      </c>
      <c r="I74" s="2">
        <v>19000000</v>
      </c>
      <c r="L74" t="str">
        <v xml:space="preserve">Global CS Colombia </v>
      </c>
      <c r="M74" s="2">
        <v>20000000</v>
      </c>
    </row>
    <row r="75" outlineLevel="1">
      <c r="E75" t="str">
        <v xml:space="preserve">Global CS Colombia </v>
      </c>
      <c r="F75" s="2">
        <v>19000000</v>
      </c>
      <c r="H75" t="str">
        <v>Intereses PM</v>
      </c>
      <c r="I75" s="2">
        <v>2670000</v>
      </c>
      <c r="L75" t="str">
        <v>Intereses PM</v>
      </c>
      <c r="M75" s="2">
        <v>2670000</v>
      </c>
    </row>
    <row r="76" ht="15" customHeight="1" outlineLevel="1">
      <c r="E76" t="str">
        <v>Intereses PM</v>
      </c>
      <c r="F76" s="2">
        <v>2670000</v>
      </c>
      <c r="H76" t="str">
        <v>Sobregiro</v>
      </c>
      <c r="I76" s="2">
        <v>0</v>
      </c>
      <c r="L76" t="str">
        <v>Sobregiro</v>
      </c>
      <c r="M76" s="2">
        <v>0</v>
      </c>
    </row>
    <row r="77" ht="15" customHeight="1">
      <c r="E77" t="str">
        <v>Sobregiro</v>
      </c>
      <c r="F77" s="2">
        <v>0</v>
      </c>
      <c r="H77" t="str">
        <v>PAGOS DEL 1 AL 24 ENERO</v>
      </c>
      <c r="I77" s="2">
        <f>SUM(I78:I111)</f>
        <v>1088089546.614</v>
      </c>
      <c r="L77" t="str">
        <v>PAGOS DEL 1 AL 23 FEBRERO</v>
      </c>
      <c r="M77" s="2">
        <f>SUM(M78:M108)</f>
        <v>1225723258.094</v>
      </c>
    </row>
    <row r="78" ht="15.75" customHeight="1" outlineLevel="1">
      <c r="E78" t="str">
        <v>PAGOS DEL 1 AL 20 DICIEMBRE</v>
      </c>
      <c r="F78" s="2">
        <f>SUM(F79:F111)</f>
        <v>1392769050.008472</v>
      </c>
      <c r="H78" t="str">
        <v xml:space="preserve">Anticipo nómina Action-primer anticipo </v>
      </c>
      <c r="I78" s="2">
        <v>3701569</v>
      </c>
      <c r="L78" t="str">
        <v xml:space="preserve">Anticipo nómina Action-primer anticipo </v>
      </c>
      <c r="M78" s="2">
        <v>3701569</v>
      </c>
    </row>
    <row r="79" outlineLevel="1">
      <c r="E79" t="str">
        <v xml:space="preserve">Anticipo nómina Action-primer anticipo </v>
      </c>
      <c r="F79" s="2">
        <v>3701569</v>
      </c>
      <c r="H79" t="str">
        <v>Anticipo nómina Nazdar</v>
      </c>
      <c r="I79" s="2">
        <f>9500000</f>
        <v>9500000</v>
      </c>
      <c r="L79" t="str">
        <v>Anticipo nómina Nazdar</v>
      </c>
      <c r="M79" s="2">
        <f>9500000</f>
        <v>9500000</v>
      </c>
    </row>
    <row r="80" outlineLevel="1">
      <c r="E80" t="str">
        <v>Anticipo nómina Nazdar</v>
      </c>
      <c r="F80" s="2">
        <f>9500000</f>
        <v>9500000</v>
      </c>
      <c r="H80" t="str">
        <v>Intereses de cesantías</v>
      </c>
      <c r="I80" s="2">
        <f>20000000</f>
        <v>20000000</v>
      </c>
      <c r="L80" t="str">
        <v>Cesantías EOR</v>
      </c>
      <c r="M80" s="2">
        <f>336000000*1.05</f>
        <v>352800000</v>
      </c>
    </row>
    <row r="81" outlineLevel="1">
      <c r="E81" t="str">
        <v>Plan complementario compensar</v>
      </c>
      <c r="F81" s="2">
        <v>525000</v>
      </c>
      <c r="G81" s="2">
        <f>SUM(F79:F88,F92:F109)</f>
        <v>804290951.618</v>
      </c>
      <c r="H81" t="str">
        <v>Plan complementario compensar</v>
      </c>
      <c r="I81" s="2">
        <v>525000</v>
      </c>
      <c r="L81" t="str">
        <v>Cesantías S&amp;P</v>
      </c>
      <c r="M81" s="2">
        <f>99000000*1.07</f>
        <v>105930000</v>
      </c>
    </row>
    <row r="82" outlineLevel="1">
      <c r="E82" t="str">
        <v xml:space="preserve">Seguridad social </v>
      </c>
      <c r="F82" s="2">
        <v>535600000</v>
      </c>
      <c r="H82" t="str">
        <v xml:space="preserve">Seguridad social </v>
      </c>
      <c r="I82" s="2">
        <v>540750000</v>
      </c>
      <c r="L82" t="str">
        <v>Plan complementario compensar</v>
      </c>
      <c r="M82" s="2">
        <v>525000</v>
      </c>
    </row>
    <row r="83" outlineLevel="1">
      <c r="E83" t="str">
        <v xml:space="preserve">RETENCIÓN EN LA FUENTE </v>
      </c>
      <c r="F83" s="2">
        <v>183855000</v>
      </c>
      <c r="H83" t="str">
        <v xml:space="preserve">RETENCIÓN EN LA FUENTE </v>
      </c>
      <c r="I83" s="2">
        <v>150000000</v>
      </c>
      <c r="L83" t="str">
        <v xml:space="preserve">Seguridad social </v>
      </c>
      <c r="M83" s="2">
        <v>550000000</v>
      </c>
    </row>
    <row r="84" outlineLevel="1">
      <c r="E84" t="str">
        <v>Retención de IVA</v>
      </c>
      <c r="F84" s="2">
        <v>227114.11800000002</v>
      </c>
      <c r="G84" s="2" t="e">
        <f>F70-G81</f>
        <v>#REF!</v>
      </c>
      <c r="H84" t="str">
        <v>Retención de IVA</v>
      </c>
      <c r="I84" s="2">
        <v>218000</v>
      </c>
      <c r="L84" t="str">
        <v xml:space="preserve">RETENCIÓN EN LA FUENTE </v>
      </c>
      <c r="M84" s="2">
        <v>145000000</v>
      </c>
    </row>
    <row r="85" outlineLevel="1">
      <c r="E85" t="str">
        <v>Movistar 365</v>
      </c>
      <c r="F85" s="2">
        <v>350601</v>
      </c>
      <c r="H85" t="str">
        <v>IVA</v>
      </c>
      <c r="I85" s="2">
        <f>77531000*1.08</f>
        <v>83733480</v>
      </c>
      <c r="L85" t="str">
        <v>Retención de IVA</v>
      </c>
      <c r="M85" s="2">
        <v>225000</v>
      </c>
    </row>
    <row r="86" outlineLevel="1">
      <c r="E86" t="str">
        <v>Poliza Suramericana Póliza #  091000808492</v>
      </c>
      <c r="F86" s="2">
        <v>7293422</v>
      </c>
      <c r="G86" s="18" t="e">
        <f>G72-F78</f>
        <v>#REF!</v>
      </c>
      <c r="H86" t="str">
        <v xml:space="preserve">RETENCIÓN EN LA FUENTE </v>
      </c>
      <c r="I86" s="2">
        <v>220626000</v>
      </c>
      <c r="L86" t="str">
        <v>Movistar 365</v>
      </c>
      <c r="M86" s="2">
        <v>350601</v>
      </c>
    </row>
    <row r="87" outlineLevel="1">
      <c r="E87" t="str">
        <v>Poliza Suramericana Póliza #  083004098664</v>
      </c>
      <c r="F87" s="2">
        <v>697487</v>
      </c>
      <c r="H87" t="str">
        <v>Retención de IVA</v>
      </c>
      <c r="I87" s="2">
        <v>686400</v>
      </c>
      <c r="L87" t="str">
        <v>Poliza Suramericana Póliza #  091000808492</v>
      </c>
      <c r="M87" s="2">
        <v>7293422</v>
      </c>
    </row>
    <row r="88" outlineLevel="1">
      <c r="E88" t="str">
        <v>Servicio de mensajería</v>
      </c>
      <c r="F88" s="2">
        <v>700000</v>
      </c>
      <c r="H88" t="str">
        <v>RTE ICA ( cada dos meses)</v>
      </c>
      <c r="I88" s="2">
        <v>855750</v>
      </c>
      <c r="L88" t="str">
        <v>Poliza Suramericana Póliza #  083004098664</v>
      </c>
      <c r="M88" s="2">
        <v>437488</v>
      </c>
    </row>
    <row r="89" outlineLevel="1">
      <c r="E89" t="str">
        <v>Barrera Palacios</v>
      </c>
      <c r="F89" s="2">
        <v>1693965</v>
      </c>
      <c r="H89" t="str">
        <v>Movistar 365</v>
      </c>
      <c r="I89" s="2">
        <v>350601</v>
      </c>
      <c r="L89" t="str">
        <v>Servicio de mensajería</v>
      </c>
      <c r="M89" s="2">
        <v>500000</v>
      </c>
    </row>
    <row r="90" outlineLevel="1">
      <c r="E90" t="str">
        <v>Primas EOR</v>
      </c>
      <c r="F90" s="2">
        <v>500000000</v>
      </c>
      <c r="G90" s="2">
        <v>150000000</v>
      </c>
      <c r="H90" t="str">
        <v>Poliza Suramericana Póliza #  091000808492</v>
      </c>
      <c r="I90" s="2">
        <v>7293422</v>
      </c>
      <c r="L90" t="str">
        <v>WORKPLACE SOLUTIONS GROUP SAS (SPACIO)</v>
      </c>
      <c r="M90" s="2">
        <v>313593.5</v>
      </c>
    </row>
    <row r="91" outlineLevel="1">
      <c r="E91" t="str">
        <v>Primas S&amp;P</v>
      </c>
      <c r="F91" s="2">
        <f>F127*35%</f>
        <v>61249999.99999999</v>
      </c>
      <c r="G91" s="2">
        <f>F90-G90</f>
        <v>350000000</v>
      </c>
      <c r="H91" t="str">
        <v>Poliza Suramericana Póliza #  083004098664</v>
      </c>
      <c r="I91" s="2">
        <v>437488</v>
      </c>
      <c r="L91" t="str">
        <v>TC Bancolombia S&amp;P</v>
      </c>
      <c r="M91" s="2">
        <v>5000000</v>
      </c>
    </row>
    <row r="92" ht="30" customHeight="1" outlineLevel="1">
      <c r="E92" t="str">
        <v>WORKPLACE SOLUTIONS GROUP SAS (SPACIO)</v>
      </c>
      <c r="F92" s="2">
        <v>313593.5</v>
      </c>
      <c r="H92" t="str">
        <v>Servicio de mensajería</v>
      </c>
      <c r="I92" s="2">
        <v>500000</v>
      </c>
      <c r="L92" t="str">
        <v>TC Bancolombia-Ramon Esteban Cardona Salazar</v>
      </c>
      <c r="M92" s="2">
        <v>15000000</v>
      </c>
    </row>
    <row r="93" outlineLevel="1">
      <c r="E93" t="str">
        <v>TC Bancolombia S&amp;P</v>
      </c>
      <c r="F93" s="2">
        <v>5000000</v>
      </c>
      <c r="H93" t="str">
        <v>WORKPLACE SOLUTIONS GROUP SAS (SPACIO)</v>
      </c>
      <c r="I93" s="2">
        <v>313593.5</v>
      </c>
      <c r="L93" t="str">
        <v xml:space="preserve">Anticipo nómina Action-Segundo anticipo </v>
      </c>
      <c r="M93" s="2">
        <v>4853442</v>
      </c>
    </row>
    <row r="94" outlineLevel="1">
      <c r="E94" t="str">
        <v>TC Bancolombia-Ramon Esteban Cardona Salazar</v>
      </c>
      <c r="F94" s="2">
        <v>15000000</v>
      </c>
      <c r="H94" t="str">
        <v>TC Bancolombia S&amp;P</v>
      </c>
      <c r="I94" s="2">
        <v>5000000</v>
      </c>
      <c r="L94" t="str">
        <v>Rafael Mier</v>
      </c>
      <c r="M94" s="2">
        <v>170000</v>
      </c>
    </row>
    <row r="95" outlineLevel="1">
      <c r="E95" t="str">
        <v xml:space="preserve">Anticipo nómina Action-Segundo anticipo </v>
      </c>
      <c r="F95" s="2">
        <v>4853442</v>
      </c>
      <c r="H95" t="str">
        <v>TC Bancolombia-Ramon Esteban Cardona Salazar</v>
      </c>
      <c r="I95" s="2">
        <v>15000000</v>
      </c>
      <c r="L95" t="str">
        <v xml:space="preserve">Plan complementario Suramericana </v>
      </c>
      <c r="M95" s="2">
        <v>752141</v>
      </c>
    </row>
    <row r="96" outlineLevel="1">
      <c r="E96" t="str">
        <v>Rafael Mier</v>
      </c>
      <c r="F96" s="2">
        <v>170000</v>
      </c>
      <c r="H96" t="str">
        <v xml:space="preserve">Anticipo nómina Action-Segundo anticipo </v>
      </c>
      <c r="I96" s="2">
        <v>4853442</v>
      </c>
      <c r="L96" t="str">
        <v>Allianz</v>
      </c>
      <c r="M96" s="2">
        <v>723370</v>
      </c>
    </row>
    <row r="97" outlineLevel="1">
      <c r="E97" t="str">
        <v>Simbolo Group</v>
      </c>
      <c r="F97" s="2">
        <v>2376000</v>
      </c>
      <c r="H97" t="str">
        <v>Rafael Mier</v>
      </c>
      <c r="I97" s="2">
        <v>170000</v>
      </c>
      <c r="L97" t="str">
        <v xml:space="preserve">Reembolsos Saipem </v>
      </c>
      <c r="M97" s="2">
        <v>650000</v>
      </c>
    </row>
    <row r="98" outlineLevel="1">
      <c r="E98" t="str">
        <v xml:space="preserve">Plan complementario Suramericana </v>
      </c>
      <c r="F98" s="2">
        <v>752141</v>
      </c>
      <c r="H98" t="str">
        <v xml:space="preserve">Plan complementario Suramericana </v>
      </c>
      <c r="I98" s="2">
        <v>752141</v>
      </c>
      <c r="L98" t="str">
        <v>Exámenes médicos Saipem</v>
      </c>
      <c r="M98" s="2">
        <v>1200000</v>
      </c>
    </row>
    <row r="99" outlineLevel="1">
      <c r="E99" t="str">
        <v xml:space="preserve">Reembolsos Saipem </v>
      </c>
      <c r="F99" s="2">
        <v>2000000</v>
      </c>
      <c r="H99" t="str">
        <v>Allianz</v>
      </c>
      <c r="I99" s="2">
        <v>723370</v>
      </c>
      <c r="L99" t="str">
        <v>Tiquetes y hoteles Saipem</v>
      </c>
      <c r="M99" s="2">
        <v>1500000</v>
      </c>
    </row>
    <row r="100" outlineLevel="1">
      <c r="E100" t="str">
        <v>Exámenes médicos Saipem</v>
      </c>
      <c r="F100" s="2">
        <v>17500000</v>
      </c>
      <c r="H100" t="str">
        <v xml:space="preserve">Reembolsos Saipem </v>
      </c>
      <c r="I100" s="2">
        <v>650000</v>
      </c>
      <c r="L100" t="str">
        <v xml:space="preserve">Yoana Forero Servicios Costa Rica </v>
      </c>
      <c r="M100" s="2">
        <v>774025</v>
      </c>
    </row>
    <row r="101" outlineLevel="1">
      <c r="E101" t="str">
        <v>Tiquetes y hoteles Saipem</v>
      </c>
      <c r="F101" s="2">
        <v>4000000</v>
      </c>
      <c r="H101" t="str">
        <v>Exámenes médicos Saipem</v>
      </c>
      <c r="I101" s="2">
        <v>1200000</v>
      </c>
      <c r="L101" t="str">
        <v>Cuentas de cobro Eduard Forero</v>
      </c>
      <c r="M101" s="2">
        <f>1287442*2</f>
        <v>2574884</v>
      </c>
    </row>
    <row r="102" outlineLevel="1">
      <c r="E102" t="str">
        <v xml:space="preserve">Yoana Forero Servicios Costa Rica </v>
      </c>
      <c r="F102" s="2">
        <v>774025</v>
      </c>
      <c r="H102" t="str">
        <v>Tiquetes y hoteles Saipem</v>
      </c>
      <c r="I102" s="2">
        <v>1500000</v>
      </c>
      <c r="L102" t="str">
        <v>Cuentas de cobro William Romero</v>
      </c>
      <c r="M102" s="2">
        <v>640000</v>
      </c>
    </row>
    <row r="103" outlineLevel="1">
      <c r="E103" t="str">
        <v>Cuentas de cobro Eduard Forero</v>
      </c>
      <c r="F103" s="2">
        <f>1287442*2</f>
        <v>2574884</v>
      </c>
      <c r="H103" t="str">
        <v xml:space="preserve">Yoana Forero Servicios Costa Rica </v>
      </c>
      <c r="I103" s="2">
        <v>774025</v>
      </c>
      <c r="L103" t="str">
        <v xml:space="preserve">Analia Lorena Di Nicola </v>
      </c>
      <c r="M103" s="2">
        <v>475363</v>
      </c>
    </row>
    <row r="104" outlineLevel="1">
      <c r="E104" t="str">
        <v>Cuentas de cobro William Romero</v>
      </c>
      <c r="F104" s="2">
        <v>640000</v>
      </c>
      <c r="H104" t="str">
        <v>Cuentas de cobro Eduard Forero</v>
      </c>
      <c r="I104" s="2">
        <f>1287442*2</f>
        <v>2574884</v>
      </c>
      <c r="L104" t="str">
        <v>Emasoc</v>
      </c>
      <c r="M104" s="2">
        <v>1500000</v>
      </c>
    </row>
    <row r="105" outlineLevel="1">
      <c r="E105" t="str">
        <v xml:space="preserve">Analia Lorena Di Nicola </v>
      </c>
      <c r="F105" s="2">
        <v>475363</v>
      </c>
      <c r="H105" t="str">
        <v>Cuentas de cobro William Romero</v>
      </c>
      <c r="I105" s="2">
        <v>640000</v>
      </c>
      <c r="L105" t="str">
        <v>Praxedes nómina electrónica</v>
      </c>
      <c r="M105" s="2">
        <v>450000</v>
      </c>
    </row>
    <row r="106" outlineLevel="1">
      <c r="E106" t="str">
        <v>Emasoc</v>
      </c>
      <c r="F106" s="2">
        <v>1200000</v>
      </c>
      <c r="H106" t="str">
        <v xml:space="preserve">Analia Lorena Di Nicola </v>
      </c>
      <c r="I106" s="2">
        <v>475363</v>
      </c>
      <c r="L106" t="str">
        <v>Praxedes</v>
      </c>
      <c r="M106" s="2">
        <v>3000000</v>
      </c>
    </row>
    <row r="107" outlineLevel="1">
      <c r="E107" t="str">
        <v>Praxedes nómina electrónica</v>
      </c>
      <c r="F107" s="2">
        <v>450000</v>
      </c>
      <c r="H107" t="str">
        <v>Emasoc</v>
      </c>
      <c r="I107" s="2">
        <v>1500000</v>
      </c>
      <c r="L107" t="str">
        <v>Imprevisto</v>
      </c>
      <c r="M107" s="2">
        <v>5000000</v>
      </c>
    </row>
    <row r="108" outlineLevel="1">
      <c r="E108" t="str">
        <v>Innovate SAS</v>
      </c>
      <c r="F108" s="2">
        <v>761310</v>
      </c>
      <c r="H108" t="str">
        <v>Praxedes nómina electrónica</v>
      </c>
      <c r="I108" s="2">
        <v>450000</v>
      </c>
      <c r="L108" t="str">
        <v>4 X mil transacciones</v>
      </c>
      <c r="M108" s="2">
        <f>N108</f>
        <v>4883359.594</v>
      </c>
      <c r="N108" s="2">
        <f>(SUM(M78:M107)*4/1000)</f>
        <v>4883359.594</v>
      </c>
    </row>
    <row r="109" ht="15.75" customHeight="1" outlineLevel="1">
      <c r="E109" t="str">
        <v>Praxedes</v>
      </c>
      <c r="F109" s="2">
        <v>3000000</v>
      </c>
      <c r="H109" t="str">
        <v>Praxedes</v>
      </c>
      <c r="I109" s="2">
        <v>3000000</v>
      </c>
      <c r="L109" t="str">
        <v>Diferencia</v>
      </c>
      <c r="M109" s="2" t="e">
        <f>M69-M77</f>
        <v>#REF!</v>
      </c>
    </row>
    <row r="110" ht="15" customHeight="1" outlineLevel="1">
      <c r="E110" t="str">
        <v>Imprevisto</v>
      </c>
      <c r="F110" s="2">
        <v>20000000</v>
      </c>
      <c r="H110" t="str">
        <v>Imprevisto</v>
      </c>
      <c r="I110" s="2">
        <v>5000000</v>
      </c>
    </row>
    <row r="111" outlineLevel="1">
      <c r="E111" t="str">
        <v>4 X mil transacciones</v>
      </c>
      <c r="F111" s="2">
        <f>G111</f>
        <v>5534133.390472</v>
      </c>
      <c r="G111" s="2">
        <f>(SUM(F80:F110)*4/1000)</f>
        <v>5534133.390472</v>
      </c>
      <c r="H111" t="str">
        <v>4 X mil transacciones</v>
      </c>
      <c r="I111" s="2">
        <f>J112</f>
        <v>4335018.114</v>
      </c>
      <c r="L111" t="str">
        <v>Ingreso previsto por EOR</v>
      </c>
      <c r="M111" s="2">
        <v>2600000000</v>
      </c>
    </row>
    <row r="112" ht="15" customHeight="1" outlineLevel="1">
      <c r="E112" t="str">
        <v>Diferencia</v>
      </c>
      <c r="F112" s="2" t="e">
        <f>F69-F78</f>
        <v>#REF!</v>
      </c>
      <c r="H112" t="str">
        <v>Diferencia</v>
      </c>
      <c r="I112" s="2" t="e">
        <f>I69-I77</f>
        <v>#REF!</v>
      </c>
      <c r="J112" s="2">
        <f>(SUM(I78:I110)*4/1000)</f>
        <v>4335018.114</v>
      </c>
      <c r="L112" t="str">
        <v>Total</v>
      </c>
      <c r="M112" s="2" t="e">
        <f>SUM(M109:M111)</f>
        <v>#REF!</v>
      </c>
    </row>
    <row r="113" ht="15" customHeight="1" outlineLevel="1"/>
    <row r="114" ht="15" customHeight="1" outlineLevel="1">
      <c r="E114" t="str">
        <v>Total</v>
      </c>
      <c r="F114" s="2" t="e">
        <f>SUM(F112:F113)</f>
        <v>#REF!</v>
      </c>
      <c r="H114" t="str">
        <v>Ingreso previsto por EOR</v>
      </c>
      <c r="I114" s="2">
        <v>2400000000</v>
      </c>
      <c r="L114" t="str">
        <v>PAGOS DEL 24 AL 28 FEBRERO</v>
      </c>
      <c r="M114" s="2">
        <f>SUM(M115:M137)</f>
        <v>1771142652.3083198</v>
      </c>
    </row>
    <row r="115" ht="16.5" customHeight="1" outlineLevel="1">
      <c r="H115" t="str">
        <v>Total</v>
      </c>
      <c r="I115" s="2" t="e">
        <f>SUM(I112:I114)</f>
        <v>#REF!</v>
      </c>
      <c r="L115" t="str">
        <v>AFC OE</v>
      </c>
      <c r="M115" s="2">
        <v>16800500</v>
      </c>
    </row>
    <row r="116" ht="16.5" customHeight="1" outlineLevel="1">
      <c r="E116" t="str">
        <v>PAGOS DEL 22 AL 31 DE DICIEMBRE</v>
      </c>
      <c r="F116" s="2">
        <f>SUM(F117:F139)</f>
        <v>1814866852.3083198</v>
      </c>
      <c r="L116" t="str">
        <v xml:space="preserve">AFC Edward Forero </v>
      </c>
      <c r="M116" s="2">
        <v>2199500</v>
      </c>
    </row>
    <row r="117" ht="15.75" customHeight="1">
      <c r="D117">
        <v>1</v>
      </c>
      <c r="E117" t="str">
        <v>AFC OE</v>
      </c>
      <c r="F117" s="2">
        <v>16800500</v>
      </c>
      <c r="H117" t="str">
        <v>PAGOS DEL 25 AL 31 ENERO</v>
      </c>
      <c r="I117" s="2">
        <f>SUM(I118:I140)</f>
        <v>1771142652.3083198</v>
      </c>
      <c r="L117" t="str">
        <v>Reembolso caja menor</v>
      </c>
      <c r="M117" s="2">
        <v>300000</v>
      </c>
    </row>
    <row r="118">
      <c r="E118" t="str">
        <v xml:space="preserve">AFC Edward Forero </v>
      </c>
      <c r="F118" s="2">
        <v>2199500</v>
      </c>
      <c r="H118" t="str">
        <v>AFC OE</v>
      </c>
      <c r="I118" s="2">
        <v>16800500</v>
      </c>
      <c r="L118" t="str">
        <v>Nixcom</v>
      </c>
      <c r="M118" s="2">
        <f>1276775*1.06</f>
        <v>1353381.5</v>
      </c>
    </row>
    <row r="119">
      <c r="E119" t="str">
        <v>Reembolso caja menor</v>
      </c>
      <c r="F119" s="2">
        <v>450000</v>
      </c>
      <c r="H119" t="str">
        <v xml:space="preserve">AFC Edward Forero </v>
      </c>
      <c r="I119" s="2">
        <v>2199500</v>
      </c>
      <c r="L119" t="str">
        <v>Carvajal</v>
      </c>
      <c r="M119" s="2">
        <v>75000</v>
      </c>
    </row>
    <row r="120" outlineLevel="1">
      <c r="E120" t="str">
        <v>Nixcom</v>
      </c>
      <c r="F120" s="2">
        <f>1276775*1.06</f>
        <v>1353381.5</v>
      </c>
      <c r="H120" t="str">
        <v>Reembolso caja menor</v>
      </c>
      <c r="I120" s="2">
        <v>300000</v>
      </c>
      <c r="L120" t="str">
        <v>Movistar Telefonía</v>
      </c>
      <c r="M120" s="2">
        <v>1002252</v>
      </c>
    </row>
    <row r="121" outlineLevel="1">
      <c r="E121" t="str">
        <v>Carvajal</v>
      </c>
      <c r="F121" s="2">
        <v>75000</v>
      </c>
      <c r="H121" t="str">
        <v>Nixcom</v>
      </c>
      <c r="I121" s="2">
        <f>1276775*1.06</f>
        <v>1353381.5</v>
      </c>
      <c r="L121" t="str">
        <v>ACT&amp;J Consultores  S&amp;P</v>
      </c>
      <c r="M121" s="2">
        <f>3178793*1.06</f>
        <v>3369520.58</v>
      </c>
    </row>
    <row r="122" outlineLevel="1">
      <c r="E122" t="str">
        <v>Movistar Telefonía</v>
      </c>
      <c r="F122" s="2">
        <v>1002252</v>
      </c>
      <c r="H122" t="str">
        <v>Carvajal</v>
      </c>
      <c r="I122" s="2">
        <v>75000</v>
      </c>
      <c r="L122" t="str">
        <v>ACT&amp;J Consultores  Global</v>
      </c>
      <c r="M122" s="2">
        <f>3484500*1.06</f>
        <v>3693570</v>
      </c>
    </row>
    <row r="123" outlineLevel="1">
      <c r="E123" t="str">
        <v>ACT&amp;J Consultores  S&amp;P</v>
      </c>
      <c r="F123" s="2">
        <f>3178793*1.06</f>
        <v>3369520.58</v>
      </c>
      <c r="H123" t="str">
        <v>Movistar Telefonía</v>
      </c>
      <c r="I123" s="2">
        <v>1002252</v>
      </c>
      <c r="L123" t="str">
        <v>Libranza Compensar</v>
      </c>
      <c r="M123" s="2">
        <v>1241772</v>
      </c>
    </row>
    <row r="124" outlineLevel="1">
      <c r="E124" t="str">
        <v>ACT&amp;J Consultores  Global</v>
      </c>
      <c r="F124" s="2">
        <f>3484500*1.06</f>
        <v>3693570</v>
      </c>
      <c r="H124" t="str">
        <v>ACT&amp;J Consultores  S&amp;P</v>
      </c>
      <c r="I124" s="2">
        <f>3178793*1.06</f>
        <v>3369520.58</v>
      </c>
      <c r="L124" t="str">
        <v xml:space="preserve">Nómina OE </v>
      </c>
      <c r="M124" s="2">
        <v>1500000000</v>
      </c>
    </row>
    <row r="125" outlineLevel="1">
      <c r="E125" t="str">
        <v>Libranza Compensar</v>
      </c>
      <c r="F125" s="2">
        <v>1241772</v>
      </c>
      <c r="H125" t="str">
        <v>ACT&amp;J Consultores  Global</v>
      </c>
      <c r="I125" s="2">
        <f>3484500*1.06</f>
        <v>3693570</v>
      </c>
      <c r="L125" t="str">
        <v>Nomina S&amp;P</v>
      </c>
      <c r="M125" s="2">
        <v>175000000</v>
      </c>
    </row>
    <row r="126" ht="15" customHeight="1" outlineLevel="1">
      <c r="E126" t="str">
        <v xml:space="preserve">Nómina OE </v>
      </c>
      <c r="F126" s="2">
        <v>1500000000</v>
      </c>
      <c r="H126" t="str">
        <v>Libranza Compensar</v>
      </c>
      <c r="I126" s="2">
        <v>1241772</v>
      </c>
      <c r="L126" t="str">
        <v>People Pass bienestar, medios de transporte y alimentación</v>
      </c>
      <c r="M126" s="2">
        <v>15000000</v>
      </c>
    </row>
    <row r="127" outlineLevel="1">
      <c r="E127" t="str">
        <v>Nomina S&amp;P</v>
      </c>
      <c r="F127" s="2">
        <v>175000000</v>
      </c>
      <c r="H127" t="str">
        <v xml:space="preserve">Nómina OE </v>
      </c>
      <c r="I127" s="2">
        <v>1500000000</v>
      </c>
      <c r="L127" t="str">
        <v>People Pass dotación</v>
      </c>
      <c r="M127" s="2">
        <v>2390123</v>
      </c>
    </row>
    <row r="128" ht="30" customHeight="1" outlineLevel="1">
      <c r="E128" t="str">
        <v>People Pass bienestar, medios de transporte y alimentación</v>
      </c>
      <c r="F128" s="2">
        <v>15000000</v>
      </c>
      <c r="H128" t="str">
        <v>Nomina S&amp;P</v>
      </c>
      <c r="I128" s="2">
        <v>175000000</v>
      </c>
      <c r="L128" t="str">
        <v xml:space="preserve">Embargo Daniel Fernando Salamanca-Neo- Banco Agrario </v>
      </c>
      <c r="M128" s="2">
        <v>2540000</v>
      </c>
    </row>
    <row r="129" ht="30" customHeight="1" outlineLevel="1">
      <c r="E129" t="str">
        <v>People Pass dotación</v>
      </c>
      <c r="F129" s="2">
        <v>2390123</v>
      </c>
      <c r="H129" t="str">
        <v>People Pass bienestar, medios de transporte y alimentación</v>
      </c>
      <c r="I129" s="2">
        <v>15000000</v>
      </c>
      <c r="L129" t="str">
        <v>Embargo Fabian Morales</v>
      </c>
      <c r="M129" s="2">
        <v>1009880</v>
      </c>
    </row>
    <row r="130" outlineLevel="1">
      <c r="E130" t="str">
        <v xml:space="preserve">Embargo Daniel Fernando Salamanca-Neo- Banco Agrario </v>
      </c>
      <c r="F130" s="2">
        <v>2540000</v>
      </c>
      <c r="H130" t="str">
        <v>People Pass dotación</v>
      </c>
      <c r="I130" s="2">
        <v>2390123</v>
      </c>
      <c r="L130" t="str">
        <v>Reembolsos Remotefisrt</v>
      </c>
      <c r="M130" s="2">
        <v>10000000</v>
      </c>
    </row>
    <row r="131" outlineLevel="1">
      <c r="E131" t="str">
        <v>Embargo Fabian Morales</v>
      </c>
      <c r="F131" s="2">
        <v>1009880</v>
      </c>
      <c r="H131" t="str">
        <v xml:space="preserve">Embargo Daniel Fernando Salamanca-Neo- Banco Agrario </v>
      </c>
      <c r="I131" s="2">
        <v>2540000</v>
      </c>
      <c r="L131" t="str">
        <v>Reembolsos Insider</v>
      </c>
      <c r="M131" s="2">
        <v>7000000</v>
      </c>
    </row>
    <row r="132" outlineLevel="1">
      <c r="E132" t="str">
        <v>Reembolsos Remotefisrt</v>
      </c>
      <c r="F132" s="2">
        <v>10000000</v>
      </c>
      <c r="H132" t="str">
        <v>Embargo Fabian Morales</v>
      </c>
      <c r="I132" s="2">
        <v>1009880</v>
      </c>
      <c r="L132" t="str">
        <v>Pedro Pablo Oviedo</v>
      </c>
      <c r="M132" s="2">
        <v>1190808</v>
      </c>
    </row>
    <row r="133" outlineLevel="1">
      <c r="E133" t="str">
        <v>Reembolsos Insider</v>
      </c>
      <c r="F133" s="2">
        <v>43000000</v>
      </c>
      <c r="H133" t="str">
        <v>Reembolsos Remotefisrt</v>
      </c>
      <c r="I133" s="2">
        <v>10000000</v>
      </c>
      <c r="L133" t="str">
        <v>Tiquetes Saipem</v>
      </c>
      <c r="M133" s="2">
        <v>1600000</v>
      </c>
    </row>
    <row r="134" ht="15" customHeight="1" outlineLevel="1">
      <c r="E134" t="str">
        <v>Pedro pablo oviedo</v>
      </c>
      <c r="F134" s="2">
        <v>1190808</v>
      </c>
      <c r="H134" t="str">
        <v>Reembolsos Insider</v>
      </c>
      <c r="I134" s="2">
        <v>7000000</v>
      </c>
      <c r="L134" t="str">
        <v>Novasoft</v>
      </c>
      <c r="M134" s="2">
        <v>13000000</v>
      </c>
    </row>
    <row r="135" ht="15" customHeight="1" outlineLevel="1">
      <c r="E135" t="str">
        <v>Tiquetes Saipem</v>
      </c>
      <c r="F135" s="2">
        <v>4000000</v>
      </c>
      <c r="H135" t="str">
        <v>Pedro Pablo Oviedo</v>
      </c>
      <c r="I135" s="2">
        <v>1190808</v>
      </c>
      <c r="L135" t="str">
        <v>Mensajería</v>
      </c>
      <c r="M135" s="2">
        <v>320000</v>
      </c>
    </row>
    <row r="136" ht="15" customHeight="1" outlineLevel="1">
      <c r="E136" t="str">
        <v>Novasoft</v>
      </c>
      <c r="F136" s="2">
        <v>13000000</v>
      </c>
      <c r="H136" t="str">
        <v>Tiquetes Saipem</v>
      </c>
      <c r="I136" s="2">
        <v>1600000</v>
      </c>
      <c r="L136" t="str">
        <v xml:space="preserve">Imprevistos </v>
      </c>
      <c r="M136" s="2">
        <v>5000000</v>
      </c>
    </row>
    <row r="137" ht="15" customHeight="1" outlineLevel="1">
      <c r="E137" t="str">
        <v>Mensajería</v>
      </c>
      <c r="F137" s="2">
        <v>320000</v>
      </c>
      <c r="H137" t="str">
        <v>Novasoft</v>
      </c>
      <c r="I137" s="2">
        <v>13000000</v>
      </c>
      <c r="L137" t="str">
        <v>Costos Financieros</v>
      </c>
      <c r="M137" s="2">
        <f>N137</f>
        <v>7056345.22832</v>
      </c>
      <c r="N137" s="2">
        <f>(SUM(M115:M136)*4/1000)</f>
        <v>7056345.22832</v>
      </c>
    </row>
    <row r="138" ht="15" customHeight="1" outlineLevel="1">
      <c r="E138" t="str">
        <v xml:space="preserve">Imprevistos </v>
      </c>
      <c r="F138" s="2">
        <v>10000000</v>
      </c>
      <c r="H138" t="str">
        <v>Mensajería</v>
      </c>
      <c r="I138" s="2">
        <v>320000</v>
      </c>
      <c r="L138" t="str">
        <v>DIFERENCIA</v>
      </c>
      <c r="M138" s="2" t="e">
        <f>M112-M114</f>
        <v>#REF!</v>
      </c>
    </row>
    <row r="139" ht="15.75" customHeight="1">
      <c r="E139" t="str">
        <v>Costos Financieros</v>
      </c>
      <c r="F139" s="2">
        <f>G140</f>
        <v>7230545.22832</v>
      </c>
      <c r="H139" t="str">
        <v xml:space="preserve">Imprevistos </v>
      </c>
      <c r="I139" s="2">
        <v>5000000</v>
      </c>
    </row>
    <row r="140" ht="12.75" customHeight="1">
      <c r="E140" t="str">
        <v>DIFERENCIA</v>
      </c>
      <c r="F140" s="2" t="e">
        <f>F114-F116</f>
        <v>#REF!</v>
      </c>
      <c r="G140" s="2">
        <f>(SUM(F117:F138)*4/1000)</f>
        <v>7230545.22832</v>
      </c>
      <c r="H140" t="str">
        <v>Costos Financieros</v>
      </c>
      <c r="I140" s="2">
        <f>J140</f>
        <v>7056345.22832</v>
      </c>
      <c r="J140" s="2">
        <f>(SUM(I118:I139)*4/1000)</f>
        <v>7056345.22832</v>
      </c>
    </row>
    <row r="141" ht="13.5" customHeight="1">
      <c r="H141" t="str">
        <v>DIFERENCIA</v>
      </c>
      <c r="I141" s="2" t="e">
        <f>I115-I117</f>
        <v>#REF!</v>
      </c>
    </row>
    <row r="143"/>
    <row r="149"/>
    <row r="150"/>
    <row r="151"/>
    <row r="156"/>
    <row r="157"/>
    <row r="158"/>
    <row r="159"/>
    <row r="160"/>
    <row r="161"/>
    <row r="162"/>
    <row r="163"/>
  </sheetData>
  <mergeCells count="8">
    <mergeCell ref="H67:I67"/>
    <mergeCell ref="L67:M67"/>
    <mergeCell ref="B2:F2"/>
    <mergeCell ref="B16:E16"/>
    <mergeCell ref="E18:F18"/>
    <mergeCell ref="D23:D36"/>
    <mergeCell ref="E39:F39"/>
    <mergeCell ref="E67:F67"/>
  </mergeCells>
  <pageMargins left="0.7" right="0.7" top="0.75" bottom="0.75" header="0.3" footer="0.3"/>
  <ignoredErrors>
    <ignoredError numberStoredAsText="1" sqref="B1:N163"/>
  </ignoredErrors>
  <legacyDrawing r:id="rId1"/>
</worksheet>
</file>

<file path=xl/worksheets/sheet10.xml><?xml version="1.0" encoding="utf-8"?>
<worksheet xmlns="http://schemas.openxmlformats.org/spreadsheetml/2006/main" xmlns:r="http://schemas.openxmlformats.org/officeDocument/2006/relationships">
  <dimension ref="C3:S10"/>
  <sheetViews>
    <sheetView workbookViewId="0" rightToLeft="0"/>
  </sheetViews>
  <cols>
    <col min="4" max="4" customWidth="1" width="29"/>
    <col min="5" max="5" customWidth="1" width="15.85546875"/>
    <col min="6" max="6" customWidth="1" width="14.85546875"/>
    <col min="7" max="7" customWidth="1" width="15.140625"/>
    <col min="8" max="8" customWidth="1" width="15.140625"/>
    <col min="16" max="16" customWidth="1" width="16.28515625"/>
    <col min="17" max="17" customWidth="1" width="16.28515625"/>
  </cols>
  <sheetData>
    <row r="3">
      <c r="D3" t="str">
        <v>Concepto</v>
      </c>
      <c r="E3" t="str">
        <v>Ene</v>
      </c>
      <c r="F3" t="str">
        <v>Feb</v>
      </c>
      <c r="G3" t="str">
        <v xml:space="preserve">Marzo </v>
      </c>
      <c r="H3" t="str">
        <v>Abril</v>
      </c>
      <c r="I3" t="str">
        <v>Mayo</v>
      </c>
      <c r="J3" t="str">
        <v>Junio</v>
      </c>
      <c r="K3" t="str">
        <v>Julio</v>
      </c>
      <c r="L3" t="str">
        <v>Agosto</v>
      </c>
      <c r="M3" t="str">
        <v>Septiembre</v>
      </c>
      <c r="N3" t="str">
        <v>Octubre</v>
      </c>
      <c r="O3" t="str">
        <v>Noviembre</v>
      </c>
      <c r="P3" t="str">
        <v>Diciembre</v>
      </c>
      <c r="Q3" t="str">
        <v>Acumulado</v>
      </c>
    </row>
    <row r="4">
      <c r="C4">
        <v>421020</v>
      </c>
      <c r="D4" t="str">
        <v>Diferencia en cambio ( Ingreso)</v>
      </c>
      <c r="E4" s="18">
        <v>26960712.08</v>
      </c>
      <c r="F4" s="18">
        <v>93771698.01</v>
      </c>
      <c r="G4" s="18">
        <v>57438102.92</v>
      </c>
      <c r="H4" s="18" t="e">
        <f>#REF!+#REF!+#REF!+#REF!+#REF!+#REF!+#REF!+#REF!+#REF!+#REF!+#REF!+#REF!+#REF!+#REF!+#REF!+#REF!+#REF!+#REF!+#REF!+#REF!+#REF!+#REF!</f>
        <v>#REF!</v>
      </c>
      <c r="Q4" s="18" t="e">
        <f>SUM(E4:P4)</f>
        <v>#REF!</v>
      </c>
    </row>
    <row r="5">
      <c r="C5">
        <v>530525</v>
      </c>
      <c r="D5" t="str">
        <v>Diferencia en cambio ( Gasto)</v>
      </c>
      <c r="E5" s="18">
        <v>19562974.43</v>
      </c>
      <c r="F5" s="18">
        <v>6983301.02</v>
      </c>
      <c r="G5" s="25">
        <v>1320421.97</v>
      </c>
      <c r="H5" s="18">
        <v>2775771</v>
      </c>
      <c r="Q5" s="18">
        <f>SUM(E5:P5)</f>
        <v>30642468.419999998</v>
      </c>
    </row>
    <row r="6">
      <c r="D6" s="23" t="str">
        <v>Balanza 25</v>
      </c>
      <c r="E6" s="23">
        <f>E4-E5</f>
        <v>7397737.6499999985</v>
      </c>
      <c r="F6" s="23">
        <f>F4-F5</f>
        <v>86788396.99000001</v>
      </c>
      <c r="G6" s="23">
        <f>G4-G5</f>
        <v>56117680.95</v>
      </c>
      <c r="H6" s="23" t="e">
        <f>H4-H5</f>
        <v>#REF!</v>
      </c>
      <c r="I6" s="23">
        <f>I4-I5</f>
        <v>0</v>
      </c>
      <c r="J6" s="23">
        <f>J4-J5</f>
        <v>0</v>
      </c>
      <c r="K6" s="23">
        <f>K4-K5</f>
        <v>0</v>
      </c>
      <c r="L6" s="23">
        <f>L4-L5</f>
        <v>0</v>
      </c>
      <c r="M6" s="23">
        <f>M4-M5</f>
        <v>0</v>
      </c>
      <c r="N6" s="23">
        <f>N4-N5</f>
        <v>0</v>
      </c>
      <c r="O6" s="23">
        <f>O4-O5</f>
        <v>0</v>
      </c>
      <c r="P6" s="23">
        <f>P4-P5</f>
        <v>0</v>
      </c>
      <c r="Q6" s="23" t="e">
        <f>Q4-Q5</f>
        <v>#REF!</v>
      </c>
    </row>
    <row r="8">
      <c r="D8" t="str">
        <v>Diferencia en cambio ( Ingreso)</v>
      </c>
      <c r="E8" s="18">
        <v>20456548</v>
      </c>
      <c r="F8" s="18">
        <v>20805959.9</v>
      </c>
      <c r="G8" s="18">
        <v>2493777.01</v>
      </c>
      <c r="H8" s="18">
        <v>52141246.17</v>
      </c>
      <c r="Q8" s="18">
        <f>SUM(E8:P8)</f>
        <v>95897531.08</v>
      </c>
    </row>
    <row r="9">
      <c r="D9" t="str">
        <v>Diferencia en cambio ( Gasto)</v>
      </c>
      <c r="E9" s="18">
        <v>593328</v>
      </c>
      <c r="F9" s="18">
        <v>9336021.66</v>
      </c>
      <c r="G9" s="18">
        <v>12371549.66</v>
      </c>
      <c r="H9" s="18">
        <v>1819382.59</v>
      </c>
      <c r="Q9" s="18">
        <f>SUM(E9:P9)</f>
        <v>24120281.91</v>
      </c>
    </row>
    <row r="10">
      <c r="D10" s="23" t="str">
        <v>Balanza 24</v>
      </c>
      <c r="E10" s="23">
        <f>E8-E9</f>
        <v>19863220</v>
      </c>
      <c r="F10" s="23">
        <f>F8-F9</f>
        <v>11469938.239999998</v>
      </c>
      <c r="G10" s="23">
        <f>G8-G9</f>
        <v>-9877772.65</v>
      </c>
      <c r="H10" s="23">
        <f>H8-H9</f>
        <v>50321863.58</v>
      </c>
      <c r="I10" s="23">
        <f>I8-I9</f>
        <v>0</v>
      </c>
      <c r="J10" s="23">
        <f>J8-J9</f>
        <v>0</v>
      </c>
      <c r="K10" s="23">
        <f>K8-K9</f>
        <v>0</v>
      </c>
      <c r="L10" s="23">
        <f>L8-L9</f>
        <v>0</v>
      </c>
      <c r="M10" s="23">
        <f>M8-M9</f>
        <v>0</v>
      </c>
      <c r="N10" s="23">
        <f>N8-N9</f>
        <v>0</v>
      </c>
      <c r="O10" s="23">
        <f>O8-O9</f>
        <v>0</v>
      </c>
      <c r="P10" s="23">
        <f>P8-P9</f>
        <v>0</v>
      </c>
      <c r="Q10" s="23">
        <f>Q8-Q9</f>
        <v>71777249.17</v>
      </c>
    </row>
  </sheetData>
  <pageMargins left="0.7" right="0.7" top="0.75" bottom="0.75" header="0.3" footer="0.3"/>
  <ignoredErrors>
    <ignoredError numberStoredAsText="1" sqref="C3:S10"/>
  </ignoredErrors>
</worksheet>
</file>

<file path=xl/worksheets/sheet11.xml><?xml version="1.0" encoding="utf-8"?>
<worksheet xmlns="http://schemas.openxmlformats.org/spreadsheetml/2006/main" xmlns:r="http://schemas.openxmlformats.org/officeDocument/2006/relationships">
  <dimension ref="B2:F7"/>
  <sheetViews>
    <sheetView workbookViewId="0" rightToLeft="0"/>
  </sheetViews>
  <cols>
    <col min="3" max="3" customWidth="1" width="16.28515625"/>
    <col min="6" max="6" customWidth="1" width="13.5703125"/>
  </cols>
  <sheetData>
    <row r="2">
      <c r="B2" t="str">
        <v xml:space="preserve">Seguridad social </v>
      </c>
      <c r="E2" t="str">
        <v>Retención en la fuente</v>
      </c>
    </row>
    <row r="3">
      <c r="B3" t="str">
        <v>Enero</v>
      </c>
      <c r="C3" s="18">
        <v>326365300</v>
      </c>
      <c r="E3" t="str">
        <v>Enero</v>
      </c>
      <c r="F3" s="18">
        <v>132004000</v>
      </c>
    </row>
    <row r="4">
      <c r="B4" t="str">
        <v>Febrero</v>
      </c>
      <c r="C4" s="18">
        <v>366144100</v>
      </c>
      <c r="E4" t="str">
        <v>Febrero</v>
      </c>
      <c r="F4" s="18">
        <v>114838000</v>
      </c>
    </row>
    <row r="5">
      <c r="B5" t="str">
        <v>Marzo</v>
      </c>
      <c r="C5" s="18">
        <v>336362300</v>
      </c>
      <c r="E5" t="str">
        <v>Marzo</v>
      </c>
      <c r="F5" s="18">
        <v>122963000</v>
      </c>
    </row>
    <row r="6">
      <c r="B6" t="str">
        <v>Abril</v>
      </c>
      <c r="C6" s="18">
        <v>356100200</v>
      </c>
      <c r="E6" t="str">
        <v>Abril</v>
      </c>
      <c r="F6" s="18">
        <v>121740150</v>
      </c>
    </row>
    <row r="7">
      <c r="B7" t="str">
        <v>Total</v>
      </c>
      <c r="C7" s="18">
        <f>AVERAGE(C3:C6)</f>
        <v>346242975</v>
      </c>
      <c r="E7" t="str">
        <v>Total</v>
      </c>
      <c r="F7" s="18">
        <f>AVERAGE(F3:F6)</f>
        <v>122886287.5</v>
      </c>
    </row>
  </sheetData>
  <mergeCells count="2">
    <mergeCell ref="B2:C2"/>
    <mergeCell ref="E2:F2"/>
  </mergeCells>
  <pageMargins left="0.7" right="0.7" top="0.75" bottom="0.75" header="0.3" footer="0.3"/>
  <ignoredErrors>
    <ignoredError numberStoredAsText="1" sqref="B2:F7"/>
  </ignoredErrors>
</worksheet>
</file>

<file path=xl/worksheets/sheet12.xml><?xml version="1.0" encoding="utf-8"?>
<worksheet xmlns="http://schemas.openxmlformats.org/spreadsheetml/2006/main" xmlns:r="http://schemas.openxmlformats.org/officeDocument/2006/relationships">
  <dimension ref="B1:N20"/>
  <sheetViews>
    <sheetView workbookViewId="0" rightToLeft="0"/>
  </sheetViews>
  <cols>
    <col min="5" max="5" customWidth="1" width="41.140625"/>
    <col min="6" max="6" customWidth="1" width="17.85546875"/>
    <col min="8" max="8" customWidth="1" width="11.42578125"/>
    <col min="9" max="9" customWidth="1" width="11"/>
    <col min="10" max="10" customWidth="1" width="11"/>
    <col min="11" max="11" customWidth="1" width="16.7109375"/>
    <col min="12" max="12" customWidth="1" width="16.7109375"/>
    <col min="13" max="13" customWidth="1" width="16.7109375"/>
    <col min="14" max="14" customWidth="1" width="15.5703125"/>
  </cols>
  <sheetData>
    <row r="1" ht="15.75" customHeight="1"/>
    <row r="2" ht="15.75" customHeight="1">
      <c r="B2" t="str">
        <v>Semana</v>
      </c>
      <c r="C2" t="str">
        <v>Fecha Inicial</v>
      </c>
      <c r="D2" t="str">
        <v>Fecha Final</v>
      </c>
      <c r="E2" t="str">
        <v xml:space="preserve">Descripción </v>
      </c>
      <c r="F2" t="str">
        <v>Valor</v>
      </c>
    </row>
    <row r="3" ht="15.75" customHeight="1">
      <c r="B3">
        <v>1</v>
      </c>
      <c r="C3" s="1">
        <v>45689</v>
      </c>
      <c r="D3" s="1">
        <v>45697</v>
      </c>
      <c r="E3" t="str">
        <v>Proveedores</v>
      </c>
      <c r="F3" s="2">
        <v>4927863.5</v>
      </c>
    </row>
    <row r="4" ht="15.75" customHeight="1">
      <c r="B4">
        <v>2</v>
      </c>
      <c r="C4" s="1">
        <v>45698</v>
      </c>
      <c r="D4" s="1">
        <v>45701</v>
      </c>
      <c r="E4" t="str">
        <v>SS-Movistar</v>
      </c>
      <c r="F4" s="2">
        <v>366472412</v>
      </c>
    </row>
    <row r="5" ht="15.75" customHeight="1">
      <c r="B5">
        <v>2</v>
      </c>
      <c r="C5" s="1">
        <v>45702</v>
      </c>
      <c r="D5" s="1">
        <v>45702</v>
      </c>
      <c r="E5" t="str">
        <v>Cesantías-Anticipo NZD ACT</v>
      </c>
      <c r="F5" s="2">
        <v>497926761</v>
      </c>
    </row>
    <row r="6" ht="16.5" customHeight="1">
      <c r="B6">
        <v>4</v>
      </c>
      <c r="C6" s="1">
        <v>45705</v>
      </c>
      <c r="D6" s="1">
        <v>45711</v>
      </c>
      <c r="E6" t="str">
        <v>RTE FTE-TC Endrington-Proveedores</v>
      </c>
      <c r="F6" s="2">
        <v>151400713</v>
      </c>
    </row>
    <row r="7">
      <c r="B7" t="str">
        <v>SUBTOTAL</v>
      </c>
      <c r="F7" s="2">
        <f>SUM(F3:F6)</f>
        <v>1020727749.5</v>
      </c>
    </row>
    <row r="8">
      <c r="B8" t="str">
        <v>4 x MIL</v>
      </c>
      <c r="F8" s="2">
        <f>(F7*4)/1000</f>
        <v>4082910.998</v>
      </c>
    </row>
    <row r="9" ht="15.75" customHeight="1">
      <c r="B9" t="str">
        <v>TOTAL</v>
      </c>
      <c r="F9" s="2">
        <f>SUM(F7:F8)</f>
        <v>1024810660.498</v>
      </c>
    </row>
    <row r="11">
      <c r="E11" t="str">
        <v>Bancos</v>
      </c>
      <c r="F11" s="23" t="e">
        <f>#REF!</f>
        <v>#REF!</v>
      </c>
    </row>
    <row r="12">
      <c r="E12" t="str">
        <v>Action # 5678</v>
      </c>
      <c r="F12" s="23" t="e">
        <f>#REF!</f>
        <v>#REF!</v>
      </c>
    </row>
    <row r="13">
      <c r="E13" t="str">
        <v>Monetizaciones</v>
      </c>
      <c r="F13" s="23">
        <f>'MONETIZACIONES PEND'!$R$23</f>
        <v>148257053</v>
      </c>
      <c r="J13" s="23" t="str">
        <v>Facturado</v>
      </c>
      <c r="K13" s="23">
        <f>'MONETIZACIONES PEND'!Q23</f>
        <v>193793916.06350002</v>
      </c>
      <c r="L13" s="23" t="str">
        <v>Monetizado</v>
      </c>
      <c r="M13" s="23">
        <f>F13</f>
        <v>148257053</v>
      </c>
      <c r="N13" s="21">
        <f>F13-K13</f>
        <v>-45536863.06350002</v>
      </c>
    </row>
    <row r="14">
      <c r="E14" t="str">
        <v>Endrington</v>
      </c>
      <c r="F14" s="23" t="e">
        <f>#REF!</f>
        <v>#REF!</v>
      </c>
    </row>
    <row r="15">
      <c r="E15" t="str">
        <v>Payroll Safeguard</v>
      </c>
      <c r="F15" s="23" t="e">
        <f>#REF!</f>
        <v>#REF!</v>
      </c>
      <c r="H15" s="23">
        <v>13791.26</v>
      </c>
      <c r="I15" s="23">
        <v>4406.16</v>
      </c>
      <c r="J15" s="23" t="str">
        <v>Facturado</v>
      </c>
      <c r="K15" s="23">
        <f>H15*I15</f>
        <v>60766498.1616</v>
      </c>
      <c r="L15" s="23" t="str">
        <v>Monetizado</v>
      </c>
      <c r="M15" s="23" t="e">
        <f>$H$15*$I$16</f>
        <v>#REF!</v>
      </c>
      <c r="N15" s="21" t="e">
        <f>K16-K15</f>
        <v>#REF!</v>
      </c>
    </row>
    <row r="16">
      <c r="E16" t="str">
        <v>Gran Total</v>
      </c>
      <c r="F16" s="23" t="e">
        <f>SUM(F11:F15)</f>
        <v>#REF!</v>
      </c>
      <c r="I16" s="21" t="e">
        <f>'MONETIZACIONES PEND'!#REF!</f>
        <v>#REF!</v>
      </c>
      <c r="K16" s="23" t="e">
        <f>$H$15*$I$16</f>
        <v>#REF!</v>
      </c>
    </row>
    <row r="17" ht="10.5" customHeight="1"/>
    <row r="18">
      <c r="E18" t="str">
        <v>Deficit</v>
      </c>
      <c r="F18" s="21" t="e">
        <f>F16-F9</f>
        <v>#REF!</v>
      </c>
      <c r="J18" t="str">
        <v>Total</v>
      </c>
      <c r="K18" s="21">
        <f>K13+K15</f>
        <v>254560414.2251</v>
      </c>
      <c r="M18" s="21" t="e">
        <f>M13+M15</f>
        <v>#REF!</v>
      </c>
      <c r="N18" s="21" t="e">
        <f>N13+N15</f>
        <v>#REF!</v>
      </c>
    </row>
    <row r="19">
      <c r="N19" s="14" t="e">
        <f>N18/K18</f>
        <v>#REF!</v>
      </c>
    </row>
    <row r="20"/>
  </sheetData>
  <mergeCells count="4">
    <mergeCell ref="B7:E7"/>
    <mergeCell ref="B8:E8"/>
    <mergeCell ref="B9:E9"/>
    <mergeCell ref="N15:N16"/>
  </mergeCells>
  <pageMargins left="0.7" right="0.7" top="0.75" bottom="0.75" header="0.3" footer="0.3"/>
  <ignoredErrors>
    <ignoredError numberStoredAsText="1" sqref="B1:N20"/>
  </ignoredErrors>
</worksheet>
</file>

<file path=xl/worksheets/sheet13.xml><?xml version="1.0" encoding="utf-8"?>
<worksheet xmlns="http://schemas.openxmlformats.org/spreadsheetml/2006/main" xmlns:r="http://schemas.openxmlformats.org/officeDocument/2006/relationships">
  <dimension ref="A2:M45"/>
  <sheetViews>
    <sheetView workbookViewId="0" rightToLeft="0"/>
  </sheetViews>
  <cols>
    <col min="3" max="3" customWidth="1" width="14.140625"/>
    <col min="7" max="7" customWidth="1" width="14.140625"/>
    <col min="8" max="8" customWidth="1" width="14.140625"/>
    <col min="9" max="9" customWidth="1" width="17.85546875"/>
  </cols>
  <sheetData>
    <row r="2">
      <c r="B2" t="str">
        <v>Nazdar</v>
      </c>
      <c r="C2" s="5">
        <v>13336.33</v>
      </c>
      <c r="D2">
        <v>1</v>
      </c>
    </row>
    <row r="3">
      <c r="B3" t="str">
        <v>Flexco</v>
      </c>
      <c r="C3" s="5">
        <v>6784.5</v>
      </c>
      <c r="D3">
        <v>2</v>
      </c>
      <c r="K3">
        <v>288.62</v>
      </c>
      <c r="L3" s="14">
        <f>K3/K5</f>
        <v>0.01395032077230894</v>
      </c>
      <c r="M3" s="5">
        <f>G7*L3</f>
        <v>177.21915545989611</v>
      </c>
    </row>
    <row r="4">
      <c r="B4" t="str">
        <v>MKD</v>
      </c>
      <c r="C4" s="5">
        <v>2103.98</v>
      </c>
      <c r="D4">
        <v>3</v>
      </c>
      <c r="K4">
        <v>20400.51</v>
      </c>
      <c r="L4" s="14">
        <f>K4/K5</f>
        <v>0.9860496792276912</v>
      </c>
      <c r="M4" s="5">
        <f>G7*L4</f>
        <v>12526.370844540104</v>
      </c>
    </row>
    <row r="5">
      <c r="B5" t="str">
        <v>Remotefirst</v>
      </c>
      <c r="C5" s="5">
        <v>106335.63</v>
      </c>
      <c r="K5">
        <f>SUM(K3:K4)</f>
        <v>20689.129999999997</v>
      </c>
    </row>
    <row r="6">
      <c r="B6" t="str">
        <v>Remotefisrt</v>
      </c>
      <c r="C6" s="5">
        <v>33144.18</v>
      </c>
    </row>
    <row r="7">
      <c r="B7" t="str">
        <v>Neo</v>
      </c>
      <c r="C7" s="5">
        <v>20628.13</v>
      </c>
      <c r="D7">
        <v>4</v>
      </c>
      <c r="F7">
        <f>'MONETIZACIONES PEND'!K239+'MONETIZACIONES PEND'!K240</f>
        <v>7924.54</v>
      </c>
      <c r="G7" s="5">
        <f>C7-F7</f>
        <v>12703.59</v>
      </c>
    </row>
    <row r="8">
      <c r="B8" t="str">
        <v>Oncehub</v>
      </c>
      <c r="C8" s="5">
        <v>2866.23</v>
      </c>
      <c r="D8">
        <v>5</v>
      </c>
    </row>
    <row r="9">
      <c r="B9" t="str">
        <v>Total</v>
      </c>
      <c r="C9" s="5">
        <f>SUM(C2:C8)</f>
        <v>185198.98</v>
      </c>
    </row>
    <row r="10"/>
    <row r="11">
      <c r="H11" t="str">
        <v>Mayor valor</v>
      </c>
    </row>
    <row r="12">
      <c r="B12" t="str">
        <v>Forward 1</v>
      </c>
      <c r="C12" s="5">
        <v>133605.5</v>
      </c>
      <c r="E12" s="23">
        <v>4294.81</v>
      </c>
      <c r="G12" s="5">
        <f>C5+C6</f>
        <v>139479.81</v>
      </c>
      <c r="H12" s="5">
        <f>G12-C12</f>
        <v>5874.309999999998</v>
      </c>
    </row>
    <row r="13">
      <c r="B13" t="str">
        <v>Forward 2</v>
      </c>
      <c r="C13" s="5">
        <v>49487.77</v>
      </c>
      <c r="E13" s="23">
        <v>4239.77</v>
      </c>
      <c r="G13" s="5">
        <f>C2+C3+C4+C7+C8</f>
        <v>45719.170000000006</v>
      </c>
      <c r="H13" s="5">
        <f>G13-C13</f>
        <v>-3768.5999999999913</v>
      </c>
    </row>
    <row r="14"/>
    <row r="37"/>
    <row r="38">
      <c r="F38" t="str">
        <v>Pendiente</v>
      </c>
      <c r="G38" s="5">
        <v>33144.18</v>
      </c>
    </row>
    <row r="40">
      <c r="F40" t="str">
        <v xml:space="preserve">Saldo </v>
      </c>
      <c r="G40" s="5">
        <v>3768.6</v>
      </c>
    </row>
    <row r="41">
      <c r="F41" t="str">
        <v xml:space="preserve">Saldo </v>
      </c>
      <c r="G41" s="5">
        <v>27269.87</v>
      </c>
    </row>
    <row r="42">
      <c r="F42" t="str">
        <v xml:space="preserve">Negocie </v>
      </c>
      <c r="G42" s="5">
        <v>2105.71</v>
      </c>
    </row>
    <row r="43">
      <c r="G43" s="5">
        <f>SUM(G40:G42)</f>
        <v>33144.18</v>
      </c>
      <c r="I43" s="18">
        <f>G43*4278.77</f>
        <v>141816323.0586</v>
      </c>
    </row>
    <row r="45">
      <c r="G45" s="5">
        <f>G38-G43</f>
        <v>0</v>
      </c>
    </row>
  </sheetData>
  <pageMargins left="0.7" right="0.7" top="0.75" bottom="0.75" header="0.3" footer="0.3"/>
  <ignoredErrors>
    <ignoredError numberStoredAsText="1" sqref="A2:M45"/>
  </ignoredErrors>
</worksheet>
</file>

<file path=xl/worksheets/sheet14.xml><?xml version="1.0" encoding="utf-8"?>
<worksheet xmlns="http://schemas.openxmlformats.org/spreadsheetml/2006/main" xmlns:r="http://schemas.openxmlformats.org/officeDocument/2006/relationships">
  <dimension ref="B1:AF30"/>
  <sheetViews>
    <sheetView workbookViewId="0" rightToLeft="0"/>
  </sheetViews>
  <cols>
    <col min="1" max="1" customWidth="1" width="2.28515625"/>
    <col min="2" max="2" customWidth="1" width="4"/>
    <col min="3" max="3" customWidth="1" width="34.5703125"/>
    <col min="4" max="4" customWidth="1" width="7.42578125"/>
    <col min="5" max="5" customWidth="1" width="17.42578125" level="1" outlineLevel="1"/>
    <col min="6" max="6" customWidth="1" width="17.140625" hidden="true" level="1" outlineLevel="1"/>
    <col min="7" max="7" customWidth="1" width="5.7109375" hidden="true"/>
    <col min="8" max="8" customWidth="1" width="17.42578125" hidden="true"/>
    <col min="9" max="9" customWidth="1" width="10" hidden="true"/>
    <col min="10" max="10" customWidth="1" width="20.5703125" level="1" outlineLevel="1"/>
    <col min="11" max="11" customWidth="1" width="20.5703125" hidden="true" level="1" outlineLevel="1"/>
    <col min="12" max="12" customWidth="1" width="21.140625" level="1" outlineLevel="1"/>
    <col min="13" max="13" customWidth="1" width="16.28515625" level="1" outlineLevel="1"/>
    <col min="14" max="14" customWidth="1" width="13.5703125"/>
    <col min="15" max="15" customWidth="1" width="13.5703125"/>
    <col min="16" max="16" customWidth="1" width="16.28515625"/>
    <col min="17" max="17" customWidth="1" width="24.5703125"/>
    <col min="18" max="18" customWidth="1" width="24.5703125"/>
    <col min="19" max="19" customWidth="1" width="21.42578125"/>
    <col min="20" max="20" customWidth="1" width="14.5703125"/>
    <col min="21" max="21" customWidth="1" width="11.42578125"/>
    <col min="22" max="22" customWidth="1" width="12.42578125"/>
    <col min="23" max="23" customWidth="1" width="15.85546875"/>
    <col min="24" max="24" customWidth="1" width="13.85546875"/>
    <col min="25" max="25" customWidth="1" width="15.5703125"/>
    <col min="26" max="26" customWidth="1" width="11.42578125"/>
    <col min="27" max="27" customWidth="1" width="11.42578125"/>
    <col min="28" max="28" customWidth="1" width="11.42578125"/>
    <col min="29" max="29" customWidth="1" width="11.42578125"/>
    <col min="30" max="30" customWidth="1" width="11.42578125"/>
    <col min="31" max="31" customWidth="1" width="11.42578125"/>
    <col min="32" max="32" customWidth="1" width="11.42578125"/>
    <col min="33" max="33" customWidth="1" width="11.42578125"/>
    <col min="34" max="34" customWidth="1" width="11.42578125"/>
    <col min="35" max="35" customWidth="1" width="11.42578125"/>
    <col min="36" max="36" customWidth="1" width="11.42578125"/>
    <col min="37" max="37" customWidth="1" width="11.42578125"/>
    <col min="38" max="38" customWidth="1" width="11.42578125"/>
    <col min="39" max="39" customWidth="1" width="11.42578125"/>
    <col min="40" max="40" customWidth="1" width="11.42578125"/>
    <col min="41" max="41" customWidth="1" width="11.42578125"/>
    <col min="42" max="42" customWidth="1" width="11.42578125"/>
    <col min="43" max="43" customWidth="1" width="11.42578125"/>
    <col min="44" max="44" customWidth="1" width="11.42578125"/>
    <col min="45" max="45" customWidth="1" width="11.42578125"/>
    <col min="46" max="46" customWidth="1" width="11.42578125"/>
    <col min="47" max="47" customWidth="1" width="11.42578125"/>
    <col min="48" max="48" customWidth="1" width="11.42578125"/>
    <col min="49" max="49" customWidth="1" width="11.42578125"/>
    <col min="50" max="50" customWidth="1" width="11.42578125"/>
    <col min="51" max="51" customWidth="1" width="11.42578125"/>
    <col min="52" max="52" customWidth="1" width="11.42578125"/>
    <col min="53" max="53" customWidth="1" width="11.42578125"/>
    <col min="54" max="54" customWidth="1" width="11.42578125"/>
    <col min="55" max="55" customWidth="1" width="11.42578125"/>
    <col min="56" max="56" customWidth="1" width="11.42578125"/>
    <col min="57" max="57" customWidth="1" width="11.42578125"/>
    <col min="58" max="58" customWidth="1" width="11.42578125"/>
    <col min="59" max="59" customWidth="1" width="11.42578125"/>
    <col min="60" max="60" customWidth="1" width="11.42578125"/>
    <col min="61" max="61" customWidth="1" width="11.42578125"/>
    <col min="62" max="62" customWidth="1" width="11.42578125"/>
    <col min="63" max="63" customWidth="1" width="11.42578125"/>
    <col min="64" max="64" customWidth="1" width="11.42578125"/>
    <col min="65" max="65" customWidth="1" width="11.42578125"/>
    <col min="66" max="66" customWidth="1" width="11.42578125"/>
    <col min="67" max="67" customWidth="1" width="11.42578125"/>
    <col min="68" max="68" customWidth="1" width="11.42578125"/>
    <col min="69" max="69" customWidth="1" width="11.42578125"/>
    <col min="70" max="70" customWidth="1" width="11.42578125"/>
    <col min="71" max="71" customWidth="1" width="11.42578125"/>
    <col min="72" max="72" customWidth="1" width="11.42578125"/>
    <col min="73" max="73" customWidth="1" width="11.42578125"/>
    <col min="74" max="74" customWidth="1" width="11.42578125"/>
    <col min="75" max="75" customWidth="1" width="11.42578125"/>
    <col min="76" max="76" customWidth="1" width="11.42578125"/>
    <col min="77" max="77" customWidth="1" width="11.42578125"/>
    <col min="78" max="78" customWidth="1" width="11.42578125"/>
    <col min="79" max="79" customWidth="1" width="11.42578125"/>
    <col min="80" max="80" customWidth="1" width="11.42578125"/>
    <col min="81" max="81" customWidth="1" width="11.42578125"/>
    <col min="82" max="82" customWidth="1" width="11.42578125"/>
    <col min="83" max="83" customWidth="1" width="11.42578125"/>
    <col min="84" max="84" customWidth="1" width="11.42578125"/>
    <col min="85" max="85" customWidth="1" width="11.42578125"/>
    <col min="86" max="86" customWidth="1" width="11.42578125"/>
    <col min="87" max="87" customWidth="1" width="11.42578125"/>
    <col min="88" max="88" customWidth="1" width="11.42578125"/>
    <col min="89" max="89" customWidth="1" width="11.42578125"/>
    <col min="90" max="90" customWidth="1" width="11.42578125"/>
    <col min="91" max="91" customWidth="1" width="11.42578125"/>
    <col min="92" max="92" customWidth="1" width="11.42578125"/>
    <col min="93" max="93" customWidth="1" width="11.42578125"/>
    <col min="94" max="94" customWidth="1" width="11.42578125"/>
    <col min="95" max="95" customWidth="1" width="11.42578125"/>
    <col min="96" max="96" customWidth="1" width="11.42578125"/>
    <col min="97" max="97" customWidth="1" width="11.42578125"/>
    <col min="98" max="98" customWidth="1" width="11.42578125"/>
    <col min="99" max="99" customWidth="1" width="11.42578125"/>
    <col min="100" max="100" customWidth="1" width="11.42578125"/>
    <col min="101" max="101" customWidth="1" width="11.42578125"/>
    <col min="102" max="102" customWidth="1" width="11.42578125"/>
    <col min="103" max="103" customWidth="1" width="11.42578125"/>
    <col min="104" max="104" customWidth="1" width="11.42578125"/>
    <col min="105" max="105" customWidth="1" width="11.42578125"/>
    <col min="106" max="106" customWidth="1" width="11.42578125"/>
    <col min="107" max="107" customWidth="1" width="11.42578125"/>
    <col min="108" max="108" customWidth="1" width="11.42578125"/>
    <col min="109" max="109" customWidth="1" width="11.42578125"/>
    <col min="110" max="110" customWidth="1" width="11.42578125"/>
    <col min="111" max="111" customWidth="1" width="11.42578125"/>
    <col min="112" max="112" customWidth="1" width="11.42578125"/>
    <col min="113" max="113" customWidth="1" width="11.42578125"/>
    <col min="114" max="114" customWidth="1" width="11.42578125"/>
    <col min="115" max="115" customWidth="1" width="11.42578125"/>
    <col min="116" max="116" customWidth="1" width="11.42578125"/>
    <col min="117" max="117" customWidth="1" width="11.42578125"/>
    <col min="118" max="118" customWidth="1" width="11.42578125"/>
    <col min="119" max="119" customWidth="1" width="11.42578125"/>
    <col min="120" max="120" customWidth="1" width="11.42578125"/>
    <col min="121" max="121" customWidth="1" width="11.42578125"/>
    <col min="122" max="122" customWidth="1" width="11.42578125"/>
    <col min="123" max="123" customWidth="1" width="11.42578125"/>
    <col min="124" max="124" customWidth="1" width="11.42578125"/>
    <col min="125" max="125" customWidth="1" width="11.42578125"/>
    <col min="126" max="126" customWidth="1" width="11.42578125"/>
    <col min="127" max="127" customWidth="1" width="11.42578125"/>
    <col min="128" max="128" customWidth="1" width="11.42578125"/>
    <col min="129" max="129" customWidth="1" width="11.42578125"/>
    <col min="130" max="130" customWidth="1" width="11.42578125"/>
    <col min="131" max="131" customWidth="1" width="11.42578125"/>
    <col min="132" max="132" customWidth="1" width="11.42578125"/>
    <col min="133" max="133" customWidth="1" width="11.42578125"/>
    <col min="134" max="134" customWidth="1" width="11.42578125"/>
    <col min="135" max="135" customWidth="1" width="11.42578125"/>
    <col min="136" max="136" customWidth="1" width="11.42578125"/>
    <col min="137" max="137" customWidth="1" width="11.42578125"/>
    <col min="138" max="138" customWidth="1" width="11.42578125"/>
    <col min="139" max="139" customWidth="1" width="11.42578125"/>
    <col min="140" max="140" customWidth="1" width="11.42578125"/>
    <col min="141" max="141" customWidth="1" width="11.42578125"/>
    <col min="142" max="142" customWidth="1" width="11.42578125"/>
    <col min="143" max="143" customWidth="1" width="11.42578125"/>
    <col min="144" max="144" customWidth="1" width="11.42578125"/>
    <col min="145" max="145" customWidth="1" width="11.42578125"/>
    <col min="146" max="146" customWidth="1" width="11.42578125"/>
    <col min="147" max="147" customWidth="1" width="11.42578125"/>
    <col min="148" max="148" customWidth="1" width="11.42578125"/>
    <col min="149" max="149" customWidth="1" width="11.42578125"/>
    <col min="150" max="150" customWidth="1" width="11.42578125"/>
    <col min="151" max="151" customWidth="1" width="11.42578125"/>
    <col min="152" max="152" customWidth="1" width="11.42578125"/>
    <col min="153" max="153" customWidth="1" width="11.42578125"/>
    <col min="154" max="154" customWidth="1" width="11.42578125"/>
    <col min="155" max="155" customWidth="1" width="11.42578125"/>
    <col min="156" max="156" customWidth="1" width="11.42578125"/>
    <col min="157" max="157" customWidth="1" width="11.42578125"/>
    <col min="158" max="158" customWidth="1" width="11.42578125"/>
    <col min="159" max="159" customWidth="1" width="11.42578125"/>
    <col min="160" max="160" customWidth="1" width="11.42578125"/>
    <col min="161" max="161" customWidth="1" width="11.42578125"/>
    <col min="162" max="162" customWidth="1" width="11.42578125"/>
    <col min="163" max="163" customWidth="1" width="11.42578125"/>
    <col min="164" max="164" customWidth="1" width="11.42578125"/>
    <col min="165" max="165" customWidth="1" width="11.42578125"/>
    <col min="166" max="166" customWidth="1" width="11.42578125"/>
    <col min="167" max="167" customWidth="1" width="11.42578125"/>
    <col min="168" max="168" customWidth="1" width="11.42578125"/>
    <col min="169" max="169" customWidth="1" width="11.42578125"/>
    <col min="170" max="170" customWidth="1" width="11.42578125"/>
    <col min="171" max="171" customWidth="1" width="11.42578125"/>
    <col min="172" max="172" customWidth="1" width="11.42578125"/>
    <col min="173" max="173" customWidth="1" width="11.42578125"/>
    <col min="174" max="174" customWidth="1" width="11.42578125"/>
    <col min="175" max="175" customWidth="1" width="11.42578125"/>
    <col min="176" max="176" customWidth="1" width="11.42578125"/>
    <col min="177" max="177" customWidth="1" width="11.42578125"/>
    <col min="178" max="178" customWidth="1" width="11.42578125"/>
    <col min="179" max="179" customWidth="1" width="11.42578125"/>
    <col min="180" max="180" customWidth="1" width="11.42578125"/>
    <col min="181" max="181" customWidth="1" width="11.42578125"/>
    <col min="182" max="182" customWidth="1" width="11.42578125"/>
    <col min="183" max="183" customWidth="1" width="11.42578125"/>
    <col min="184" max="184" customWidth="1" width="11.42578125"/>
    <col min="185" max="185" customWidth="1" width="11.42578125"/>
    <col min="186" max="186" customWidth="1" width="11.42578125"/>
    <col min="187" max="187" customWidth="1" width="11.42578125"/>
    <col min="188" max="188" customWidth="1" width="11.42578125"/>
    <col min="189" max="189" customWidth="1" width="11.42578125"/>
    <col min="190" max="190" customWidth="1" width="11.42578125"/>
    <col min="191" max="191" customWidth="1" width="11.42578125"/>
    <col min="192" max="192" customWidth="1" width="11.42578125"/>
    <col min="193" max="193" customWidth="1" width="11.42578125"/>
    <col min="194" max="194" customWidth="1" width="11.42578125"/>
    <col min="195" max="195" customWidth="1" width="11.42578125"/>
    <col min="196" max="196" customWidth="1" width="11.42578125"/>
    <col min="197" max="197" customWidth="1" width="11.42578125"/>
    <col min="198" max="198" customWidth="1" width="11.42578125"/>
    <col min="199" max="199" customWidth="1" width="11.42578125"/>
    <col min="200" max="200" customWidth="1" width="11.42578125"/>
    <col min="201" max="201" customWidth="1" width="11.42578125"/>
    <col min="202" max="202" customWidth="1" width="11.42578125"/>
    <col min="203" max="203" customWidth="1" width="11.42578125"/>
    <col min="204" max="204" customWidth="1" width="11.42578125"/>
    <col min="205" max="205" customWidth="1" width="11.42578125"/>
    <col min="206" max="206" customWidth="1" width="11.42578125"/>
    <col min="207" max="207" customWidth="1" width="11.42578125"/>
    <col min="208" max="208" customWidth="1" width="11.42578125"/>
    <col min="209" max="209" customWidth="1" width="11.42578125"/>
    <col min="210" max="210" customWidth="1" width="11.42578125"/>
    <col min="211" max="211" customWidth="1" width="11.42578125"/>
    <col min="212" max="212" customWidth="1" width="11.42578125"/>
    <col min="213" max="213" customWidth="1" width="11.42578125"/>
    <col min="214" max="214" customWidth="1" width="11.42578125"/>
    <col min="215" max="215" customWidth="1" width="11.42578125"/>
    <col min="216" max="216" customWidth="1" width="11.42578125"/>
    <col min="217" max="217" customWidth="1" width="11.42578125"/>
    <col min="218" max="218" customWidth="1" width="11.42578125"/>
    <col min="219" max="219" customWidth="1" width="11.42578125"/>
    <col min="220" max="220" customWidth="1" width="11.42578125"/>
    <col min="221" max="221" customWidth="1" width="11.42578125"/>
    <col min="222" max="222" customWidth="1" width="11.42578125"/>
    <col min="223" max="223" customWidth="1" width="11.42578125"/>
    <col min="224" max="224" customWidth="1" width="11.42578125"/>
    <col min="225" max="225" customWidth="1" width="11.42578125"/>
    <col min="226" max="226" customWidth="1" width="11.42578125"/>
    <col min="227" max="227" customWidth="1" width="11.42578125"/>
    <col min="228" max="228" customWidth="1" width="11.42578125"/>
    <col min="229" max="229" customWidth="1" width="11.42578125"/>
    <col min="230" max="230" customWidth="1" width="11.42578125"/>
    <col min="231" max="231" customWidth="1" width="11.42578125"/>
    <col min="232" max="232" customWidth="1" width="11.42578125"/>
    <col min="233" max="233" customWidth="1" width="11.42578125"/>
    <col min="234" max="234" customWidth="1" width="11.42578125"/>
    <col min="235" max="235" customWidth="1" width="11.42578125"/>
    <col min="236" max="236" customWidth="1" width="11.42578125"/>
    <col min="237" max="237" customWidth="1" width="11.42578125"/>
    <col min="238" max="238" customWidth="1" width="11.42578125"/>
    <col min="239" max="239" customWidth="1" width="11.42578125"/>
    <col min="240" max="240" customWidth="1" width="11.42578125"/>
    <col min="241" max="241" customWidth="1" width="11.42578125"/>
    <col min="242" max="242" customWidth="1" width="11.42578125"/>
    <col min="243" max="243" customWidth="1" width="11.42578125"/>
    <col min="244" max="244" customWidth="1" width="11.42578125"/>
    <col min="245" max="245" customWidth="1" width="11.42578125"/>
    <col min="246" max="246" customWidth="1" width="11.42578125"/>
    <col min="247" max="247" customWidth="1" width="11.42578125"/>
    <col min="248" max="248" customWidth="1" width="11.42578125"/>
    <col min="249" max="249" customWidth="1" width="11.42578125"/>
    <col min="250" max="250" customWidth="1" width="11.42578125"/>
    <col min="251" max="251" customWidth="1" width="11.42578125"/>
    <col min="252" max="252" customWidth="1" width="11.42578125"/>
    <col min="253" max="253" customWidth="1" width="11.42578125"/>
    <col min="254" max="254" customWidth="1" width="11.42578125"/>
    <col min="255" max="255" customWidth="1" width="11.42578125"/>
    <col min="256" max="256" customWidth="1" width="11.42578125"/>
    <col min="257" max="257" customWidth="1" width="11.42578125"/>
    <col min="258" max="258" customWidth="1" width="11.42578125"/>
    <col min="259" max="259" customWidth="1" width="11.42578125"/>
    <col min="260" max="260" customWidth="1" width="11.42578125"/>
    <col min="261" max="261" customWidth="1" width="11.42578125"/>
    <col min="262" max="262" customWidth="1" width="11.42578125"/>
    <col min="263" max="263" customWidth="1" width="11.42578125"/>
    <col min="264" max="264" customWidth="1" width="11.42578125"/>
    <col min="265" max="265" customWidth="1" width="11.42578125"/>
    <col min="266" max="266" customWidth="1" width="11.42578125"/>
    <col min="267" max="267" customWidth="1" width="11.42578125"/>
    <col min="268" max="268" customWidth="1" width="11.42578125"/>
    <col min="269" max="269" customWidth="1" width="11.42578125"/>
    <col min="270" max="270" customWidth="1" width="11.42578125"/>
    <col min="271" max="271" customWidth="1" width="11.42578125"/>
    <col min="272" max="272" customWidth="1" width="11.42578125"/>
    <col min="273" max="273" customWidth="1" width="11.42578125"/>
    <col min="274" max="274" customWidth="1" width="11.42578125"/>
    <col min="275" max="275" customWidth="1" width="11.42578125"/>
    <col min="276" max="276" customWidth="1" width="11.42578125"/>
    <col min="277" max="277" customWidth="1" width="11.42578125"/>
    <col min="278" max="278" customWidth="1" width="11.42578125"/>
    <col min="279" max="279" customWidth="1" width="11.42578125"/>
    <col min="280" max="280" customWidth="1" width="11.42578125"/>
    <col min="281" max="281" customWidth="1" width="11.42578125"/>
    <col min="282" max="282" customWidth="1" width="11.42578125"/>
    <col min="283" max="283" customWidth="1" width="11.42578125"/>
    <col min="284" max="284" customWidth="1" width="11.42578125"/>
    <col min="285" max="285" customWidth="1" width="11.42578125"/>
    <col min="286" max="286" customWidth="1" width="11.42578125"/>
    <col min="287" max="287" customWidth="1" width="11.42578125"/>
    <col min="288" max="288" customWidth="1" width="11.42578125"/>
    <col min="289" max="289" customWidth="1" width="11.42578125"/>
    <col min="290" max="290" customWidth="1" width="11.42578125"/>
    <col min="291" max="291" customWidth="1" width="11.42578125"/>
    <col min="292" max="292" customWidth="1" width="11.42578125"/>
    <col min="293" max="293" customWidth="1" width="11.42578125"/>
    <col min="294" max="294" customWidth="1" width="11.42578125"/>
    <col min="295" max="295" customWidth="1" width="11.42578125"/>
    <col min="296" max="296" customWidth="1" width="11.42578125"/>
    <col min="297" max="297" customWidth="1" width="11.42578125"/>
    <col min="298" max="298" customWidth="1" width="11.42578125"/>
    <col min="299" max="299" customWidth="1" width="11.42578125"/>
    <col min="300" max="300" customWidth="1" width="11.42578125"/>
    <col min="301" max="301" customWidth="1" width="11.42578125"/>
    <col min="302" max="302" customWidth="1" width="11.42578125"/>
    <col min="303" max="303" customWidth="1" width="11.42578125"/>
    <col min="304" max="304" customWidth="1" width="11.42578125"/>
    <col min="305" max="305" customWidth="1" width="11.42578125"/>
    <col min="306" max="306" customWidth="1" width="11.42578125"/>
    <col min="307" max="307" customWidth="1" width="11.42578125"/>
    <col min="308" max="308" customWidth="1" width="11.42578125"/>
    <col min="309" max="309" customWidth="1" width="11.42578125"/>
    <col min="310" max="310" customWidth="1" width="11.42578125"/>
    <col min="311" max="311" customWidth="1" width="11.42578125"/>
    <col min="312" max="312" customWidth="1" width="11.42578125"/>
    <col min="313" max="313" customWidth="1" width="11.42578125"/>
    <col min="314" max="314" customWidth="1" width="11.42578125"/>
    <col min="315" max="315" customWidth="1" width="11.42578125"/>
    <col min="316" max="316" customWidth="1" width="11.42578125"/>
    <col min="317" max="317" customWidth="1" width="11.42578125"/>
    <col min="318" max="318" customWidth="1" width="11.42578125"/>
    <col min="319" max="319" customWidth="1" width="11.42578125"/>
    <col min="320" max="320" customWidth="1" width="11.42578125"/>
    <col min="321" max="321" customWidth="1" width="11.42578125"/>
    <col min="322" max="322" customWidth="1" width="11.42578125"/>
    <col min="323" max="323" customWidth="1" width="11.42578125"/>
    <col min="324" max="324" customWidth="1" width="11.42578125"/>
    <col min="325" max="325" customWidth="1" width="11.42578125"/>
    <col min="326" max="326" customWidth="1" width="11.42578125"/>
    <col min="327" max="327" customWidth="1" width="11.42578125"/>
    <col min="328" max="328" customWidth="1" width="11.42578125"/>
    <col min="329" max="329" customWidth="1" width="11.42578125"/>
    <col min="330" max="330" customWidth="1" width="11.42578125"/>
    <col min="331" max="331" customWidth="1" width="11.42578125"/>
    <col min="332" max="332" customWidth="1" width="11.42578125"/>
    <col min="333" max="333" customWidth="1" width="11.42578125"/>
    <col min="334" max="334" customWidth="1" width="11.42578125"/>
    <col min="335" max="335" customWidth="1" width="11.42578125"/>
    <col min="336" max="336" customWidth="1" width="11.42578125"/>
    <col min="337" max="337" customWidth="1" width="11.42578125"/>
    <col min="338" max="338" customWidth="1" width="11.42578125"/>
    <col min="339" max="339" customWidth="1" width="11.42578125"/>
    <col min="340" max="340" customWidth="1" width="11.42578125"/>
    <col min="341" max="341" customWidth="1" width="11.42578125"/>
    <col min="342" max="342" customWidth="1" width="11.42578125"/>
    <col min="343" max="343" customWidth="1" width="11.42578125"/>
    <col min="344" max="344" customWidth="1" width="11.42578125"/>
    <col min="345" max="345" customWidth="1" width="11.42578125"/>
    <col min="346" max="346" customWidth="1" width="11.42578125"/>
    <col min="347" max="347" customWidth="1" width="11.42578125"/>
    <col min="348" max="348" customWidth="1" width="11.42578125"/>
    <col min="349" max="349" customWidth="1" width="11.42578125"/>
    <col min="350" max="350" customWidth="1" width="11.42578125"/>
    <col min="351" max="351" customWidth="1" width="11.42578125"/>
    <col min="352" max="352" customWidth="1" width="11.42578125"/>
    <col min="353" max="353" customWidth="1" width="11.42578125"/>
    <col min="354" max="354" customWidth="1" width="11.42578125"/>
    <col min="355" max="355" customWidth="1" width="11.42578125"/>
    <col min="356" max="356" customWidth="1" width="11.42578125"/>
    <col min="357" max="357" customWidth="1" width="11.42578125"/>
    <col min="358" max="358" customWidth="1" width="11.42578125"/>
    <col min="359" max="359" customWidth="1" width="11.42578125"/>
    <col min="360" max="360" customWidth="1" width="11.42578125"/>
    <col min="361" max="361" customWidth="1" width="11.42578125"/>
    <col min="362" max="362" customWidth="1" width="11.42578125"/>
    <col min="363" max="363" customWidth="1" width="11.42578125"/>
    <col min="364" max="364" customWidth="1" width="11.42578125"/>
    <col min="365" max="365" customWidth="1" width="11.42578125"/>
    <col min="366" max="366" customWidth="1" width="11.42578125"/>
    <col min="367" max="367" customWidth="1" width="11.42578125"/>
    <col min="368" max="368" customWidth="1" width="11.42578125"/>
    <col min="369" max="369" customWidth="1" width="11.42578125"/>
    <col min="370" max="370" customWidth="1" width="11.42578125"/>
    <col min="371" max="371" customWidth="1" width="11.42578125"/>
    <col min="372" max="372" customWidth="1" width="11.42578125"/>
    <col min="373" max="373" customWidth="1" width="11.42578125"/>
    <col min="374" max="374" customWidth="1" width="11.42578125"/>
    <col min="375" max="375" customWidth="1" width="11.42578125"/>
    <col min="376" max="376" customWidth="1" width="11.42578125"/>
    <col min="377" max="377" customWidth="1" width="11.42578125"/>
    <col min="378" max="378" customWidth="1" width="11.42578125"/>
    <col min="379" max="379" customWidth="1" width="11.42578125"/>
    <col min="380" max="380" customWidth="1" width="11.42578125"/>
    <col min="381" max="381" customWidth="1" width="11.42578125"/>
    <col min="382" max="382" customWidth="1" width="11.42578125"/>
    <col min="383" max="383" customWidth="1" width="11.42578125"/>
    <col min="384" max="384" customWidth="1" width="11.42578125"/>
    <col min="385" max="385" customWidth="1" width="11.42578125"/>
    <col min="386" max="386" customWidth="1" width="11.42578125"/>
    <col min="387" max="387" customWidth="1" width="11.42578125"/>
    <col min="388" max="388" customWidth="1" width="11.42578125"/>
    <col min="389" max="389" customWidth="1" width="11.42578125"/>
    <col min="390" max="390" customWidth="1" width="11.42578125"/>
    <col min="391" max="391" customWidth="1" width="11.42578125"/>
    <col min="392" max="392" customWidth="1" width="11.42578125"/>
    <col min="393" max="393" customWidth="1" width="11.42578125"/>
    <col min="394" max="394" customWidth="1" width="11.42578125"/>
    <col min="395" max="395" customWidth="1" width="11.42578125"/>
    <col min="396" max="396" customWidth="1" width="11.42578125"/>
    <col min="397" max="397" customWidth="1" width="11.42578125"/>
    <col min="398" max="398" customWidth="1" width="11.42578125"/>
    <col min="399" max="399" customWidth="1" width="11.42578125"/>
    <col min="400" max="400" customWidth="1" width="11.42578125"/>
    <col min="401" max="401" customWidth="1" width="11.42578125"/>
    <col min="402" max="402" customWidth="1" width="11.42578125"/>
    <col min="403" max="403" customWidth="1" width="11.42578125"/>
    <col min="404" max="404" customWidth="1" width="11.42578125"/>
    <col min="405" max="405" customWidth="1" width="11.42578125"/>
    <col min="406" max="406" customWidth="1" width="11.42578125"/>
    <col min="407" max="407" customWidth="1" width="11.42578125"/>
    <col min="408" max="408" customWidth="1" width="11.42578125"/>
    <col min="409" max="409" customWidth="1" width="11.42578125"/>
    <col min="410" max="410" customWidth="1" width="11.42578125"/>
    <col min="411" max="411" customWidth="1" width="11.42578125"/>
    <col min="412" max="412" customWidth="1" width="11.42578125"/>
    <col min="413" max="413" customWidth="1" width="11.42578125"/>
    <col min="414" max="414" customWidth="1" width="11.42578125"/>
    <col min="415" max="415" customWidth="1" width="11.42578125"/>
    <col min="416" max="416" customWidth="1" width="11.42578125"/>
    <col min="417" max="417" customWidth="1" width="11.42578125"/>
    <col min="418" max="418" customWidth="1" width="11.42578125"/>
    <col min="419" max="419" customWidth="1" width="11.42578125"/>
    <col min="420" max="420" customWidth="1" width="11.42578125"/>
    <col min="421" max="421" customWidth="1" width="11.42578125"/>
    <col min="422" max="422" customWidth="1" width="11.42578125"/>
    <col min="423" max="423" customWidth="1" width="11.42578125"/>
    <col min="424" max="424" customWidth="1" width="11.42578125"/>
    <col min="425" max="425" customWidth="1" width="11.42578125"/>
    <col min="426" max="426" customWidth="1" width="11.42578125"/>
    <col min="427" max="427" customWidth="1" width="11.42578125"/>
    <col min="428" max="428" customWidth="1" width="11.42578125"/>
    <col min="429" max="429" customWidth="1" width="11.42578125"/>
    <col min="430" max="430" customWidth="1" width="11.42578125"/>
    <col min="431" max="431" customWidth="1" width="11.42578125"/>
    <col min="432" max="432" customWidth="1" width="11.42578125"/>
    <col min="433" max="433" customWidth="1" width="11.42578125"/>
    <col min="434" max="434" customWidth="1" width="11.42578125"/>
    <col min="435" max="435" customWidth="1" width="11.42578125"/>
    <col min="436" max="436" customWidth="1" width="11.42578125"/>
    <col min="437" max="437" customWidth="1" width="11.42578125"/>
    <col min="438" max="438" customWidth="1" width="11.42578125"/>
    <col min="439" max="439" customWidth="1" width="11.42578125"/>
    <col min="440" max="440" customWidth="1" width="11.42578125"/>
    <col min="441" max="441" customWidth="1" width="11.42578125"/>
    <col min="442" max="442" customWidth="1" width="11.42578125"/>
    <col min="443" max="443" customWidth="1" width="11.42578125"/>
    <col min="444" max="444" customWidth="1" width="11.42578125"/>
    <col min="445" max="445" customWidth="1" width="11.42578125"/>
    <col min="446" max="446" customWidth="1" width="11.42578125"/>
    <col min="447" max="447" customWidth="1" width="11.42578125"/>
    <col min="448" max="448" customWidth="1" width="11.42578125"/>
    <col min="449" max="449" customWidth="1" width="11.42578125"/>
    <col min="450" max="450" customWidth="1" width="11.42578125"/>
    <col min="451" max="451" customWidth="1" width="11.42578125"/>
    <col min="452" max="452" customWidth="1" width="11.42578125"/>
    <col min="453" max="453" customWidth="1" width="11.42578125"/>
    <col min="454" max="454" customWidth="1" width="11.42578125"/>
    <col min="455" max="455" customWidth="1" width="11.42578125"/>
    <col min="456" max="456" customWidth="1" width="11.42578125"/>
    <col min="457" max="457" customWidth="1" width="11.42578125"/>
    <col min="458" max="458" customWidth="1" width="11.42578125"/>
    <col min="459" max="459" customWidth="1" width="11.42578125"/>
    <col min="460" max="460" customWidth="1" width="11.42578125"/>
    <col min="461" max="461" customWidth="1" width="11.42578125"/>
    <col min="462" max="462" customWidth="1" width="11.42578125"/>
    <col min="463" max="463" customWidth="1" width="11.42578125"/>
    <col min="464" max="464" customWidth="1" width="11.42578125"/>
    <col min="465" max="465" customWidth="1" width="11.42578125"/>
    <col min="466" max="466" customWidth="1" width="11.42578125"/>
    <col min="467" max="467" customWidth="1" width="11.42578125"/>
    <col min="468" max="468" customWidth="1" width="11.42578125"/>
    <col min="469" max="469" customWidth="1" width="11.42578125"/>
    <col min="470" max="470" customWidth="1" width="11.42578125"/>
    <col min="471" max="471" customWidth="1" width="11.42578125"/>
    <col min="472" max="472" customWidth="1" width="11.42578125"/>
    <col min="473" max="473" customWidth="1" width="11.42578125"/>
    <col min="474" max="474" customWidth="1" width="11.42578125"/>
    <col min="475" max="475" customWidth="1" width="11.42578125"/>
    <col min="476" max="476" customWidth="1" width="11.42578125"/>
    <col min="477" max="477" customWidth="1" width="11.42578125"/>
    <col min="478" max="478" customWidth="1" width="11.42578125"/>
    <col min="479" max="479" customWidth="1" width="11.42578125"/>
    <col min="480" max="480" customWidth="1" width="11.42578125"/>
    <col min="481" max="481" customWidth="1" width="11.42578125"/>
    <col min="482" max="482" customWidth="1" width="11.42578125"/>
    <col min="483" max="483" customWidth="1" width="11.42578125"/>
    <col min="484" max="484" customWidth="1" width="11.42578125"/>
    <col min="485" max="485" customWidth="1" width="11.42578125"/>
    <col min="486" max="486" customWidth="1" width="11.42578125"/>
    <col min="487" max="487" customWidth="1" width="11.42578125"/>
    <col min="488" max="488" customWidth="1" width="11.42578125"/>
    <col min="489" max="489" customWidth="1" width="11.42578125"/>
    <col min="490" max="490" customWidth="1" width="11.42578125"/>
    <col min="491" max="491" customWidth="1" width="11.42578125"/>
    <col min="492" max="492" customWidth="1" width="11.42578125"/>
    <col min="493" max="493" customWidth="1" width="11.42578125"/>
    <col min="494" max="494" customWidth="1" width="11.42578125"/>
    <col min="495" max="495" customWidth="1" width="11.42578125"/>
    <col min="496" max="496" customWidth="1" width="11.42578125"/>
    <col min="497" max="497" customWidth="1" width="11.42578125"/>
    <col min="498" max="498" customWidth="1" width="11.42578125"/>
    <col min="499" max="499" customWidth="1" width="11.42578125"/>
    <col min="500" max="500" customWidth="1" width="11.42578125"/>
    <col min="501" max="501" customWidth="1" width="11.42578125"/>
    <col min="502" max="502" customWidth="1" width="11.42578125"/>
    <col min="503" max="503" customWidth="1" width="11.42578125"/>
    <col min="504" max="504" customWidth="1" width="11.42578125"/>
    <col min="505" max="505" customWidth="1" width="11.42578125"/>
    <col min="506" max="506" customWidth="1" width="11.42578125"/>
    <col min="507" max="507" customWidth="1" width="11.42578125"/>
    <col min="508" max="508" customWidth="1" width="11.42578125"/>
    <col min="509" max="509" customWidth="1" width="11.42578125"/>
    <col min="510" max="510" customWidth="1" width="11.42578125"/>
    <col min="511" max="511" customWidth="1" width="11.42578125"/>
    <col min="512" max="512" customWidth="1" width="11.42578125"/>
    <col min="513" max="513" customWidth="1" width="11.42578125"/>
    <col min="514" max="514" customWidth="1" width="11.42578125"/>
    <col min="515" max="515" customWidth="1" width="11.42578125"/>
    <col min="516" max="516" customWidth="1" width="11.42578125"/>
    <col min="517" max="517" customWidth="1" width="11.42578125"/>
    <col min="518" max="518" customWidth="1" width="11.42578125"/>
    <col min="519" max="519" customWidth="1" width="11.42578125"/>
    <col min="520" max="520" customWidth="1" width="11.42578125"/>
    <col min="521" max="521" customWidth="1" width="11.42578125"/>
    <col min="522" max="522" customWidth="1" width="11.42578125"/>
    <col min="523" max="523" customWidth="1" width="11.42578125"/>
    <col min="524" max="524" customWidth="1" width="11.42578125"/>
    <col min="525" max="525" customWidth="1" width="11.42578125"/>
    <col min="526" max="526" customWidth="1" width="11.42578125"/>
    <col min="527" max="527" customWidth="1" width="11.42578125"/>
    <col min="528" max="528" customWidth="1" width="11.42578125"/>
    <col min="529" max="529" customWidth="1" width="11.42578125"/>
    <col min="530" max="530" customWidth="1" width="11.42578125"/>
    <col min="531" max="531" customWidth="1" width="11.42578125"/>
    <col min="532" max="532" customWidth="1" width="11.42578125"/>
    <col min="533" max="533" customWidth="1" width="11.42578125"/>
    <col min="534" max="534" customWidth="1" width="11.42578125"/>
    <col min="535" max="535" customWidth="1" width="11.42578125"/>
    <col min="536" max="536" customWidth="1" width="11.42578125"/>
    <col min="537" max="537" customWidth="1" width="11.42578125"/>
    <col min="538" max="538" customWidth="1" width="11.42578125"/>
    <col min="539" max="539" customWidth="1" width="11.42578125"/>
    <col min="540" max="540" customWidth="1" width="11.42578125"/>
    <col min="541" max="541" customWidth="1" width="11.42578125"/>
    <col min="542" max="542" customWidth="1" width="11.42578125"/>
    <col min="543" max="543" customWidth="1" width="11.42578125"/>
    <col min="544" max="544" customWidth="1" width="11.42578125"/>
    <col min="545" max="545" customWidth="1" width="11.42578125"/>
    <col min="546" max="546" customWidth="1" width="11.42578125"/>
    <col min="547" max="547" customWidth="1" width="11.42578125"/>
    <col min="548" max="548" customWidth="1" width="11.42578125"/>
    <col min="549" max="549" customWidth="1" width="11.42578125"/>
    <col min="550" max="550" customWidth="1" width="11.42578125"/>
    <col min="551" max="551" customWidth="1" width="11.42578125"/>
    <col min="552" max="552" customWidth="1" width="11.42578125"/>
    <col min="553" max="553" customWidth="1" width="11.42578125"/>
    <col min="554" max="554" customWidth="1" width="11.42578125"/>
    <col min="555" max="555" customWidth="1" width="11.42578125"/>
    <col min="556" max="556" customWidth="1" width="11.42578125"/>
    <col min="557" max="557" customWidth="1" width="11.42578125"/>
    <col min="558" max="558" customWidth="1" width="11.42578125"/>
    <col min="559" max="559" customWidth="1" width="11.42578125"/>
    <col min="560" max="560" customWidth="1" width="11.42578125"/>
    <col min="561" max="561" customWidth="1" width="11.42578125"/>
    <col min="562" max="562" customWidth="1" width="11.42578125"/>
    <col min="563" max="563" customWidth="1" width="11.42578125"/>
    <col min="564" max="564" customWidth="1" width="11.42578125"/>
    <col min="565" max="565" customWidth="1" width="11.42578125"/>
    <col min="566" max="566" customWidth="1" width="11.42578125"/>
    <col min="567" max="567" customWidth="1" width="11.42578125"/>
    <col min="568" max="568" customWidth="1" width="11.42578125"/>
    <col min="569" max="569" customWidth="1" width="11.42578125"/>
    <col min="570" max="570" customWidth="1" width="11.42578125"/>
    <col min="571" max="571" customWidth="1" width="11.42578125"/>
    <col min="572" max="572" customWidth="1" width="11.42578125"/>
    <col min="573" max="573" customWidth="1" width="11.42578125"/>
    <col min="574" max="574" customWidth="1" width="11.42578125"/>
    <col min="575" max="575" customWidth="1" width="11.42578125"/>
    <col min="576" max="576" customWidth="1" width="11.42578125"/>
    <col min="577" max="577" customWidth="1" width="11.42578125"/>
    <col min="578" max="578" customWidth="1" width="11.42578125"/>
    <col min="579" max="579" customWidth="1" width="11.42578125"/>
    <col min="580" max="580" customWidth="1" width="11.42578125"/>
    <col min="581" max="581" customWidth="1" width="11.42578125"/>
    <col min="582" max="582" customWidth="1" width="11.42578125"/>
    <col min="583" max="583" customWidth="1" width="11.42578125"/>
    <col min="584" max="584" customWidth="1" width="11.42578125"/>
    <col min="585" max="585" customWidth="1" width="11.42578125"/>
    <col min="586" max="586" customWidth="1" width="11.42578125"/>
    <col min="587" max="587" customWidth="1" width="11.42578125"/>
    <col min="588" max="588" customWidth="1" width="11.42578125"/>
    <col min="589" max="589" customWidth="1" width="11.42578125"/>
    <col min="590" max="590" customWidth="1" width="11.42578125"/>
    <col min="591" max="591" customWidth="1" width="11.42578125"/>
    <col min="592" max="592" customWidth="1" width="11.42578125"/>
    <col min="593" max="593" customWidth="1" width="11.42578125"/>
    <col min="594" max="594" customWidth="1" width="11.42578125"/>
    <col min="595" max="595" customWidth="1" width="11.42578125"/>
    <col min="596" max="596" customWidth="1" width="11.42578125"/>
    <col min="597" max="597" customWidth="1" width="11.42578125"/>
    <col min="598" max="598" customWidth="1" width="11.42578125"/>
    <col min="599" max="599" customWidth="1" width="11.42578125"/>
    <col min="600" max="600" customWidth="1" width="11.42578125"/>
    <col min="601" max="601" customWidth="1" width="11.42578125"/>
    <col min="602" max="602" customWidth="1" width="11.42578125"/>
    <col min="603" max="603" customWidth="1" width="11.42578125"/>
    <col min="604" max="604" customWidth="1" width="11.42578125"/>
    <col min="605" max="605" customWidth="1" width="11.42578125"/>
    <col min="606" max="606" customWidth="1" width="11.42578125"/>
    <col min="607" max="607" customWidth="1" width="11.42578125"/>
    <col min="608" max="608" customWidth="1" width="11.42578125"/>
    <col min="609" max="609" customWidth="1" width="11.42578125"/>
    <col min="610" max="610" customWidth="1" width="11.42578125"/>
    <col min="611" max="611" customWidth="1" width="11.42578125"/>
    <col min="612" max="612" customWidth="1" width="11.42578125"/>
    <col min="613" max="613" customWidth="1" width="11.42578125"/>
    <col min="614" max="614" customWidth="1" width="11.42578125"/>
    <col min="615" max="615" customWidth="1" width="11.42578125"/>
    <col min="616" max="616" customWidth="1" width="11.42578125"/>
    <col min="617" max="617" customWidth="1" width="11.42578125"/>
    <col min="618" max="618" customWidth="1" width="11.42578125"/>
    <col min="619" max="619" customWidth="1" width="11.42578125"/>
    <col min="620" max="620" customWidth="1" width="11.42578125"/>
    <col min="621" max="621" customWidth="1" width="11.42578125"/>
    <col min="622" max="622" customWidth="1" width="11.42578125"/>
    <col min="623" max="623" customWidth="1" width="11.42578125"/>
    <col min="624" max="624" customWidth="1" width="11.42578125"/>
    <col min="625" max="625" customWidth="1" width="11.42578125"/>
    <col min="626" max="626" customWidth="1" width="11.42578125"/>
    <col min="627" max="627" customWidth="1" width="11.42578125"/>
    <col min="628" max="628" customWidth="1" width="11.42578125"/>
    <col min="629" max="629" customWidth="1" width="11.42578125"/>
    <col min="630" max="630" customWidth="1" width="11.42578125"/>
    <col min="631" max="631" customWidth="1" width="11.42578125"/>
    <col min="632" max="632" customWidth="1" width="11.42578125"/>
    <col min="633" max="633" customWidth="1" width="11.42578125"/>
    <col min="634" max="634" customWidth="1" width="11.42578125"/>
    <col min="635" max="635" customWidth="1" width="11.42578125"/>
    <col min="636" max="636" customWidth="1" width="11.42578125"/>
    <col min="637" max="637" customWidth="1" width="11.42578125"/>
    <col min="638" max="638" customWidth="1" width="11.42578125"/>
    <col min="639" max="639" customWidth="1" width="11.42578125"/>
    <col min="640" max="640" customWidth="1" width="11.42578125"/>
    <col min="641" max="641" customWidth="1" width="11.42578125"/>
    <col min="642" max="642" customWidth="1" width="11.42578125"/>
    <col min="643" max="643" customWidth="1" width="11.42578125"/>
    <col min="644" max="644" customWidth="1" width="11.42578125"/>
    <col min="645" max="645" customWidth="1" width="11.42578125"/>
    <col min="646" max="646" customWidth="1" width="11.42578125"/>
    <col min="647" max="647" customWidth="1" width="11.42578125"/>
    <col min="648" max="648" customWidth="1" width="11.42578125"/>
    <col min="649" max="649" customWidth="1" width="11.42578125"/>
    <col min="650" max="650" customWidth="1" width="11.42578125"/>
    <col min="651" max="651" customWidth="1" width="11.42578125"/>
    <col min="652" max="652" customWidth="1" width="11.42578125"/>
    <col min="653" max="653" customWidth="1" width="11.42578125"/>
    <col min="654" max="654" customWidth="1" width="11.42578125"/>
    <col min="655" max="655" customWidth="1" width="11.42578125"/>
    <col min="656" max="656" customWidth="1" width="11.42578125"/>
    <col min="657" max="657" customWidth="1" width="11.42578125"/>
    <col min="658" max="658" customWidth="1" width="11.42578125"/>
    <col min="659" max="659" customWidth="1" width="11.42578125"/>
    <col min="660" max="660" customWidth="1" width="11.42578125"/>
    <col min="661" max="661" customWidth="1" width="11.42578125"/>
    <col min="662" max="662" customWidth="1" width="11.42578125"/>
    <col min="663" max="663" customWidth="1" width="11.42578125"/>
    <col min="664" max="664" customWidth="1" width="11.42578125"/>
    <col min="665" max="665" customWidth="1" width="11.42578125"/>
    <col min="666" max="666" customWidth="1" width="11.42578125"/>
    <col min="667" max="667" customWidth="1" width="11.42578125"/>
    <col min="668" max="668" customWidth="1" width="11.42578125"/>
    <col min="669" max="669" customWidth="1" width="11.42578125"/>
    <col min="670" max="670" customWidth="1" width="11.42578125"/>
    <col min="671" max="671" customWidth="1" width="11.42578125"/>
    <col min="672" max="672" customWidth="1" width="11.42578125"/>
    <col min="673" max="673" customWidth="1" width="11.42578125"/>
    <col min="674" max="674" customWidth="1" width="11.42578125"/>
    <col min="675" max="675" customWidth="1" width="11.42578125"/>
    <col min="676" max="676" customWidth="1" width="11.42578125"/>
    <col min="677" max="677" customWidth="1" width="11.42578125"/>
    <col min="678" max="678" customWidth="1" width="11.42578125"/>
    <col min="679" max="679" customWidth="1" width="11.42578125"/>
    <col min="680" max="680" customWidth="1" width="11.42578125"/>
    <col min="681" max="681" customWidth="1" width="11.42578125"/>
    <col min="682" max="682" customWidth="1" width="11.42578125"/>
    <col min="683" max="683" customWidth="1" width="11.42578125"/>
    <col min="684" max="684" customWidth="1" width="11.42578125"/>
    <col min="685" max="685" customWidth="1" width="11.42578125"/>
    <col min="686" max="686" customWidth="1" width="11.42578125"/>
    <col min="687" max="687" customWidth="1" width="11.42578125"/>
    <col min="688" max="688" customWidth="1" width="11.42578125"/>
    <col min="689" max="689" customWidth="1" width="11.42578125"/>
    <col min="690" max="690" customWidth="1" width="11.42578125"/>
    <col min="691" max="691" customWidth="1" width="11.42578125"/>
    <col min="692" max="692" customWidth="1" width="11.42578125"/>
    <col min="693" max="693" customWidth="1" width="11.42578125"/>
    <col min="694" max="694" customWidth="1" width="11.42578125"/>
    <col min="695" max="695" customWidth="1" width="11.42578125"/>
    <col min="696" max="696" customWidth="1" width="11.42578125"/>
    <col min="697" max="697" customWidth="1" width="11.42578125"/>
    <col min="698" max="698" customWidth="1" width="11.42578125"/>
    <col min="699" max="699" customWidth="1" width="11.42578125"/>
    <col min="700" max="700" customWidth="1" width="11.42578125"/>
    <col min="701" max="701" customWidth="1" width="11.42578125"/>
    <col min="702" max="702" customWidth="1" width="11.42578125"/>
    <col min="703" max="703" customWidth="1" width="11.42578125"/>
    <col min="704" max="704" customWidth="1" width="11.42578125"/>
    <col min="705" max="705" customWidth="1" width="11.42578125"/>
    <col min="706" max="706" customWidth="1" width="11.42578125"/>
    <col min="707" max="707" customWidth="1" width="11.42578125"/>
    <col min="708" max="708" customWidth="1" width="11.42578125"/>
    <col min="709" max="709" customWidth="1" width="11.42578125"/>
    <col min="710" max="710" customWidth="1" width="11.42578125"/>
    <col min="711" max="711" customWidth="1" width="11.42578125"/>
    <col min="712" max="712" customWidth="1" width="11.42578125"/>
    <col min="713" max="713" customWidth="1" width="11.42578125"/>
    <col min="714" max="714" customWidth="1" width="11.42578125"/>
    <col min="715" max="715" customWidth="1" width="11.42578125"/>
    <col min="716" max="716" customWidth="1" width="11.42578125"/>
    <col min="717" max="717" customWidth="1" width="11.42578125"/>
    <col min="718" max="718" customWidth="1" width="11.42578125"/>
    <col min="719" max="719" customWidth="1" width="11.42578125"/>
    <col min="720" max="720" customWidth="1" width="11.42578125"/>
    <col min="721" max="721" customWidth="1" width="11.42578125"/>
    <col min="722" max="722" customWidth="1" width="11.42578125"/>
    <col min="723" max="723" customWidth="1" width="11.42578125"/>
    <col min="724" max="724" customWidth="1" width="11.42578125"/>
    <col min="725" max="725" customWidth="1" width="11.42578125"/>
    <col min="726" max="726" customWidth="1" width="11.42578125"/>
    <col min="727" max="727" customWidth="1" width="11.42578125"/>
    <col min="728" max="728" customWidth="1" width="11.42578125"/>
    <col min="729" max="729" customWidth="1" width="11.42578125"/>
    <col min="730" max="730" customWidth="1" width="11.42578125"/>
    <col min="731" max="731" customWidth="1" width="11.42578125"/>
    <col min="732" max="732" customWidth="1" width="11.42578125"/>
    <col min="733" max="733" customWidth="1" width="11.42578125"/>
    <col min="734" max="734" customWidth="1" width="11.42578125"/>
    <col min="735" max="735" customWidth="1" width="11.42578125"/>
    <col min="736" max="736" customWidth="1" width="11.42578125"/>
    <col min="737" max="737" customWidth="1" width="11.42578125"/>
    <col min="738" max="738" customWidth="1" width="11.42578125"/>
    <col min="739" max="739" customWidth="1" width="11.42578125"/>
    <col min="740" max="740" customWidth="1" width="11.42578125"/>
    <col min="741" max="741" customWidth="1" width="11.42578125"/>
    <col min="742" max="742" customWidth="1" width="11.42578125"/>
    <col min="743" max="743" customWidth="1" width="11.42578125"/>
    <col min="744" max="744" customWidth="1" width="11.42578125"/>
    <col min="745" max="745" customWidth="1" width="11.42578125"/>
    <col min="746" max="746" customWidth="1" width="11.42578125"/>
    <col min="747" max="747" customWidth="1" width="11.42578125"/>
    <col min="748" max="748" customWidth="1" width="11.42578125"/>
    <col min="749" max="749" customWidth="1" width="11.42578125"/>
    <col min="750" max="750" customWidth="1" width="11.42578125"/>
    <col min="751" max="751" customWidth="1" width="11.42578125"/>
    <col min="752" max="752" customWidth="1" width="11.42578125"/>
    <col min="753" max="753" customWidth="1" width="11.42578125"/>
    <col min="754" max="754" customWidth="1" width="11.42578125"/>
    <col min="755" max="755" customWidth="1" width="11.42578125"/>
    <col min="756" max="756" customWidth="1" width="11.42578125"/>
    <col min="757" max="757" customWidth="1" width="11.42578125"/>
    <col min="758" max="758" customWidth="1" width="11.42578125"/>
    <col min="759" max="759" customWidth="1" width="11.42578125"/>
    <col min="760" max="760" customWidth="1" width="11.42578125"/>
    <col min="761" max="761" customWidth="1" width="11.42578125"/>
    <col min="762" max="762" customWidth="1" width="11.42578125"/>
    <col min="763" max="763" customWidth="1" width="11.42578125"/>
    <col min="764" max="764" customWidth="1" width="11.42578125"/>
    <col min="765" max="765" customWidth="1" width="11.42578125"/>
    <col min="766" max="766" customWidth="1" width="11.42578125"/>
    <col min="767" max="767" customWidth="1" width="11.42578125"/>
    <col min="768" max="768" customWidth="1" width="11.42578125"/>
    <col min="769" max="769" customWidth="1" width="11.42578125"/>
    <col min="770" max="770" customWidth="1" width="11.42578125"/>
    <col min="771" max="771" customWidth="1" width="11.42578125"/>
    <col min="772" max="772" customWidth="1" width="11.42578125"/>
    <col min="773" max="773" customWidth="1" width="11.42578125"/>
    <col min="774" max="774" customWidth="1" width="11.42578125"/>
    <col min="775" max="775" customWidth="1" width="11.42578125"/>
    <col min="776" max="776" customWidth="1" width="11.42578125"/>
    <col min="777" max="777" customWidth="1" width="11.42578125"/>
    <col min="778" max="778" customWidth="1" width="11.42578125"/>
    <col min="779" max="779" customWidth="1" width="11.42578125"/>
    <col min="780" max="780" customWidth="1" width="11.42578125"/>
    <col min="781" max="781" customWidth="1" width="11.42578125"/>
    <col min="782" max="782" customWidth="1" width="11.42578125"/>
    <col min="783" max="783" customWidth="1" width="11.42578125"/>
    <col min="784" max="784" customWidth="1" width="11.42578125"/>
    <col min="785" max="785" customWidth="1" width="11.42578125"/>
    <col min="786" max="786" customWidth="1" width="11.42578125"/>
    <col min="787" max="787" customWidth="1" width="11.42578125"/>
    <col min="788" max="788" customWidth="1" width="11.42578125"/>
    <col min="789" max="789" customWidth="1" width="11.42578125"/>
    <col min="790" max="790" customWidth="1" width="11.42578125"/>
    <col min="791" max="791" customWidth="1" width="11.42578125"/>
    <col min="792" max="792" customWidth="1" width="11.42578125"/>
    <col min="793" max="793" customWidth="1" width="11.42578125"/>
    <col min="794" max="794" customWidth="1" width="11.42578125"/>
    <col min="795" max="795" customWidth="1" width="11.42578125"/>
    <col min="796" max="796" customWidth="1" width="11.42578125"/>
    <col min="797" max="797" customWidth="1" width="11.42578125"/>
    <col min="798" max="798" customWidth="1" width="11.42578125"/>
    <col min="799" max="799" customWidth="1" width="11.42578125"/>
    <col min="800" max="800" customWidth="1" width="11.42578125"/>
    <col min="801" max="801" customWidth="1" width="11.42578125"/>
    <col min="802" max="802" customWidth="1" width="11.42578125"/>
    <col min="803" max="803" customWidth="1" width="11.42578125"/>
    <col min="804" max="804" customWidth="1" width="11.42578125"/>
    <col min="805" max="805" customWidth="1" width="11.42578125"/>
    <col min="806" max="806" customWidth="1" width="11.42578125"/>
    <col min="807" max="807" customWidth="1" width="11.42578125"/>
    <col min="808" max="808" customWidth="1" width="11.42578125"/>
    <col min="809" max="809" customWidth="1" width="11.42578125"/>
    <col min="810" max="810" customWidth="1" width="11.42578125"/>
    <col min="811" max="811" customWidth="1" width="11.42578125"/>
    <col min="812" max="812" customWidth="1" width="11.42578125"/>
    <col min="813" max="813" customWidth="1" width="11.42578125"/>
    <col min="814" max="814" customWidth="1" width="11.42578125"/>
    <col min="815" max="815" customWidth="1" width="11.42578125"/>
    <col min="816" max="816" customWidth="1" width="11.42578125"/>
    <col min="817" max="817" customWidth="1" width="11.42578125"/>
    <col min="818" max="818" customWidth="1" width="11.42578125"/>
    <col min="819" max="819" customWidth="1" width="11.42578125"/>
    <col min="820" max="820" customWidth="1" width="11.42578125"/>
    <col min="821" max="821" customWidth="1" width="11.42578125"/>
    <col min="822" max="822" customWidth="1" width="11.42578125"/>
    <col min="823" max="823" customWidth="1" width="11.42578125"/>
    <col min="824" max="824" customWidth="1" width="11.42578125"/>
    <col min="825" max="825" customWidth="1" width="11.42578125"/>
    <col min="826" max="826" customWidth="1" width="11.42578125"/>
    <col min="827" max="827" customWidth="1" width="11.42578125"/>
    <col min="828" max="828" customWidth="1" width="11.42578125"/>
    <col min="829" max="829" customWidth="1" width="11.42578125"/>
    <col min="830" max="830" customWidth="1" width="11.42578125"/>
    <col min="831" max="831" customWidth="1" width="11.42578125"/>
    <col min="832" max="832" customWidth="1" width="11.42578125"/>
    <col min="833" max="833" customWidth="1" width="11.42578125"/>
    <col min="834" max="834" customWidth="1" width="11.42578125"/>
    <col min="835" max="835" customWidth="1" width="11.42578125"/>
    <col min="836" max="836" customWidth="1" width="11.42578125"/>
    <col min="837" max="837" customWidth="1" width="11.42578125"/>
    <col min="838" max="838" customWidth="1" width="11.42578125"/>
    <col min="839" max="839" customWidth="1" width="11.42578125"/>
    <col min="840" max="840" customWidth="1" width="11.42578125"/>
    <col min="841" max="841" customWidth="1" width="11.42578125"/>
    <col min="842" max="842" customWidth="1" width="11.42578125"/>
    <col min="843" max="843" customWidth="1" width="11.42578125"/>
    <col min="844" max="844" customWidth="1" width="11.42578125"/>
    <col min="845" max="845" customWidth="1" width="11.42578125"/>
    <col min="846" max="846" customWidth="1" width="11.42578125"/>
    <col min="847" max="847" customWidth="1" width="11.42578125"/>
    <col min="848" max="848" customWidth="1" width="11.42578125"/>
    <col min="849" max="849" customWidth="1" width="11.42578125"/>
    <col min="850" max="850" customWidth="1" width="11.42578125"/>
    <col min="851" max="851" customWidth="1" width="11.42578125"/>
    <col min="852" max="852" customWidth="1" width="11.42578125"/>
    <col min="853" max="853" customWidth="1" width="11.42578125"/>
    <col min="854" max="854" customWidth="1" width="11.42578125"/>
    <col min="855" max="855" customWidth="1" width="11.42578125"/>
    <col min="856" max="856" customWidth="1" width="11.42578125"/>
    <col min="857" max="857" customWidth="1" width="11.42578125"/>
    <col min="858" max="858" customWidth="1" width="11.42578125"/>
    <col min="859" max="859" customWidth="1" width="11.42578125"/>
    <col min="860" max="860" customWidth="1" width="11.42578125"/>
    <col min="861" max="861" customWidth="1" width="11.42578125"/>
    <col min="862" max="862" customWidth="1" width="11.42578125"/>
    <col min="863" max="863" customWidth="1" width="11.42578125"/>
    <col min="864" max="864" customWidth="1" width="11.42578125"/>
    <col min="865" max="865" customWidth="1" width="11.42578125"/>
    <col min="866" max="866" customWidth="1" width="11.42578125"/>
    <col min="867" max="867" customWidth="1" width="11.42578125"/>
    <col min="868" max="868" customWidth="1" width="11.42578125"/>
    <col min="869" max="869" customWidth="1" width="11.42578125"/>
    <col min="870" max="870" customWidth="1" width="11.42578125"/>
    <col min="871" max="871" customWidth="1" width="11.42578125"/>
    <col min="872" max="872" customWidth="1" width="11.42578125"/>
    <col min="873" max="873" customWidth="1" width="11.42578125"/>
    <col min="874" max="874" customWidth="1" width="11.42578125"/>
    <col min="875" max="875" customWidth="1" width="11.42578125"/>
    <col min="876" max="876" customWidth="1" width="11.42578125"/>
    <col min="877" max="877" customWidth="1" width="11.42578125"/>
    <col min="878" max="878" customWidth="1" width="11.42578125"/>
    <col min="879" max="879" customWidth="1" width="11.42578125"/>
    <col min="880" max="880" customWidth="1" width="11.42578125"/>
    <col min="881" max="881" customWidth="1" width="11.42578125"/>
    <col min="882" max="882" customWidth="1" width="11.42578125"/>
    <col min="883" max="883" customWidth="1" width="11.42578125"/>
    <col min="884" max="884" customWidth="1" width="11.42578125"/>
    <col min="885" max="885" customWidth="1" width="11.42578125"/>
    <col min="886" max="886" customWidth="1" width="11.42578125"/>
    <col min="887" max="887" customWidth="1" width="11.42578125"/>
    <col min="888" max="888" customWidth="1" width="11.42578125"/>
    <col min="889" max="889" customWidth="1" width="11.42578125"/>
    <col min="890" max="890" customWidth="1" width="11.42578125"/>
    <col min="891" max="891" customWidth="1" width="11.42578125"/>
    <col min="892" max="892" customWidth="1" width="11.42578125"/>
    <col min="893" max="893" customWidth="1" width="11.42578125"/>
    <col min="894" max="894" customWidth="1" width="11.42578125"/>
    <col min="895" max="895" customWidth="1" width="11.42578125"/>
    <col min="896" max="896" customWidth="1" width="11.42578125"/>
    <col min="897" max="897" customWidth="1" width="11.42578125"/>
    <col min="898" max="898" customWidth="1" width="11.42578125"/>
    <col min="899" max="899" customWidth="1" width="11.42578125"/>
    <col min="900" max="900" customWidth="1" width="11.42578125"/>
    <col min="901" max="901" customWidth="1" width="11.42578125"/>
    <col min="902" max="902" customWidth="1" width="11.42578125"/>
    <col min="903" max="903" customWidth="1" width="11.42578125"/>
    <col min="904" max="904" customWidth="1" width="11.42578125"/>
    <col min="905" max="905" customWidth="1" width="11.42578125"/>
    <col min="906" max="906" customWidth="1" width="11.42578125"/>
    <col min="907" max="907" customWidth="1" width="11.42578125"/>
    <col min="908" max="908" customWidth="1" width="11.42578125"/>
    <col min="909" max="909" customWidth="1" width="11.42578125"/>
    <col min="910" max="910" customWidth="1" width="11.42578125"/>
    <col min="911" max="911" customWidth="1" width="11.42578125"/>
    <col min="912" max="912" customWidth="1" width="11.42578125"/>
    <col min="913" max="913" customWidth="1" width="11.42578125"/>
    <col min="914" max="914" customWidth="1" width="11.42578125"/>
    <col min="915" max="915" customWidth="1" width="11.42578125"/>
    <col min="916" max="916" customWidth="1" width="11.42578125"/>
    <col min="917" max="917" customWidth="1" width="11.42578125"/>
    <col min="918" max="918" customWidth="1" width="11.42578125"/>
    <col min="919" max="919" customWidth="1" width="11.42578125"/>
    <col min="920" max="920" customWidth="1" width="11.42578125"/>
    <col min="921" max="921" customWidth="1" width="11.42578125"/>
    <col min="922" max="922" customWidth="1" width="11.42578125"/>
    <col min="923" max="923" customWidth="1" width="11.42578125"/>
    <col min="924" max="924" customWidth="1" width="11.42578125"/>
    <col min="925" max="925" customWidth="1" width="11.42578125"/>
    <col min="926" max="926" customWidth="1" width="11.42578125"/>
    <col min="927" max="927" customWidth="1" width="11.42578125"/>
    <col min="928" max="928" customWidth="1" width="11.42578125"/>
    <col min="929" max="929" customWidth="1" width="11.42578125"/>
    <col min="930" max="930" customWidth="1" width="11.42578125"/>
    <col min="931" max="931" customWidth="1" width="11.42578125"/>
    <col min="932" max="932" customWidth="1" width="11.42578125"/>
    <col min="933" max="933" customWidth="1" width="11.42578125"/>
    <col min="934" max="934" customWidth="1" width="11.42578125"/>
    <col min="935" max="935" customWidth="1" width="11.42578125"/>
    <col min="936" max="936" customWidth="1" width="11.42578125"/>
    <col min="937" max="937" customWidth="1" width="11.42578125"/>
    <col min="938" max="938" customWidth="1" width="11.42578125"/>
    <col min="939" max="939" customWidth="1" width="11.42578125"/>
    <col min="940" max="940" customWidth="1" width="11.42578125"/>
    <col min="941" max="941" customWidth="1" width="11.42578125"/>
    <col min="942" max="942" customWidth="1" width="11.42578125"/>
    <col min="943" max="943" customWidth="1" width="11.42578125"/>
    <col min="944" max="944" customWidth="1" width="11.42578125"/>
    <col min="945" max="945" customWidth="1" width="11.42578125"/>
    <col min="946" max="946" customWidth="1" width="11.42578125"/>
    <col min="947" max="947" customWidth="1" width="11.42578125"/>
    <col min="948" max="948" customWidth="1" width="11.42578125"/>
    <col min="949" max="949" customWidth="1" width="11.42578125"/>
    <col min="950" max="950" customWidth="1" width="11.42578125"/>
    <col min="951" max="951" customWidth="1" width="11.42578125"/>
    <col min="952" max="952" customWidth="1" width="11.42578125"/>
    <col min="953" max="953" customWidth="1" width="11.42578125"/>
    <col min="954" max="954" customWidth="1" width="11.42578125"/>
    <col min="955" max="955" customWidth="1" width="11.42578125"/>
    <col min="956" max="956" customWidth="1" width="11.42578125"/>
    <col min="957" max="957" customWidth="1" width="11.42578125"/>
    <col min="958" max="958" customWidth="1" width="11.42578125"/>
    <col min="959" max="959" customWidth="1" width="11.42578125"/>
    <col min="960" max="960" customWidth="1" width="11.42578125"/>
    <col min="961" max="961" customWidth="1" width="11.42578125"/>
    <col min="962" max="962" customWidth="1" width="11.42578125"/>
    <col min="963" max="963" customWidth="1" width="11.42578125"/>
    <col min="964" max="964" customWidth="1" width="11.42578125"/>
    <col min="965" max="965" customWidth="1" width="11.42578125"/>
    <col min="966" max="966" customWidth="1" width="11.42578125"/>
    <col min="967" max="967" customWidth="1" width="11.42578125"/>
    <col min="968" max="968" customWidth="1" width="11.42578125"/>
    <col min="969" max="969" customWidth="1" width="11.42578125"/>
    <col min="970" max="970" customWidth="1" width="11.42578125"/>
    <col min="971" max="971" customWidth="1" width="11.42578125"/>
    <col min="972" max="972" customWidth="1" width="11.42578125"/>
    <col min="973" max="973" customWidth="1" width="11.42578125"/>
    <col min="974" max="974" customWidth="1" width="11.42578125"/>
    <col min="975" max="975" customWidth="1" width="11.42578125"/>
    <col min="976" max="976" customWidth="1" width="11.42578125"/>
    <col min="977" max="977" customWidth="1" width="11.42578125"/>
    <col min="978" max="978" customWidth="1" width="11.42578125"/>
    <col min="979" max="979" customWidth="1" width="11.42578125"/>
    <col min="980" max="980" customWidth="1" width="11.42578125"/>
    <col min="981" max="981" customWidth="1" width="11.42578125"/>
    <col min="982" max="982" customWidth="1" width="11.42578125"/>
    <col min="983" max="983" customWidth="1" width="11.42578125"/>
    <col min="984" max="984" customWidth="1" width="11.42578125"/>
    <col min="985" max="985" customWidth="1" width="11.42578125"/>
    <col min="986" max="986" customWidth="1" width="11.42578125"/>
    <col min="987" max="987" customWidth="1" width="11.42578125"/>
    <col min="988" max="988" customWidth="1" width="11.42578125"/>
    <col min="989" max="989" customWidth="1" width="11.42578125"/>
    <col min="990" max="990" customWidth="1" width="11.42578125"/>
    <col min="991" max="991" customWidth="1" width="11.42578125"/>
    <col min="992" max="992" customWidth="1" width="11.42578125"/>
    <col min="993" max="993" customWidth="1" width="11.42578125"/>
    <col min="994" max="994" customWidth="1" width="11.42578125"/>
    <col min="995" max="995" customWidth="1" width="11.42578125"/>
    <col min="996" max="996" customWidth="1" width="11.42578125"/>
    <col min="997" max="997" customWidth="1" width="11.42578125"/>
    <col min="998" max="998" customWidth="1" width="11.42578125"/>
    <col min="999" max="999" customWidth="1" width="11.42578125"/>
    <col min="1000" max="1000" customWidth="1" width="11.42578125"/>
    <col min="1001" max="1001" customWidth="1" width="11.42578125"/>
    <col min="1002" max="1002" customWidth="1" width="11.42578125"/>
    <col min="1003" max="1003" customWidth="1" width="11.42578125"/>
    <col min="1004" max="1004" customWidth="1" width="11.42578125"/>
    <col min="1005" max="1005" customWidth="1" width="11.42578125"/>
    <col min="1006" max="1006" customWidth="1" width="11.42578125"/>
    <col min="1007" max="1007" customWidth="1" width="11.42578125"/>
    <col min="1008" max="1008" customWidth="1" width="11.42578125"/>
    <col min="1009" max="1009" customWidth="1" width="11.42578125"/>
    <col min="1010" max="1010" customWidth="1" width="11.42578125"/>
    <col min="1011" max="1011" customWidth="1" width="11.42578125"/>
    <col min="1012" max="1012" customWidth="1" width="11.42578125"/>
    <col min="1013" max="1013" customWidth="1" width="11.42578125"/>
    <col min="1014" max="1014" customWidth="1" width="11.42578125"/>
    <col min="1015" max="1015" customWidth="1" width="11.42578125"/>
    <col min="1016" max="1016" customWidth="1" width="11.42578125"/>
    <col min="1017" max="1017" customWidth="1" width="11.42578125"/>
    <col min="1018" max="1018" customWidth="1" width="11.42578125"/>
    <col min="1019" max="1019" customWidth="1" width="11.42578125"/>
    <col min="1020" max="1020" customWidth="1" width="11.42578125"/>
    <col min="1021" max="1021" customWidth="1" width="11.42578125"/>
    <col min="1022" max="1022" customWidth="1" width="11.42578125"/>
    <col min="1023" max="1023" customWidth="1" width="11.42578125"/>
    <col min="1024" max="1024" customWidth="1" width="11.42578125"/>
    <col min="1025" max="1025" customWidth="1" width="11.42578125"/>
    <col min="1026" max="1026" customWidth="1" width="11.42578125"/>
    <col min="1027" max="1027" customWidth="1" width="11.42578125"/>
    <col min="1028" max="1028" customWidth="1" width="11.42578125"/>
    <col min="1029" max="1029" customWidth="1" width="11.42578125"/>
    <col min="1030" max="1030" customWidth="1" width="11.42578125"/>
    <col min="1031" max="1031" customWidth="1" width="11.42578125"/>
    <col min="1032" max="1032" customWidth="1" width="11.42578125"/>
    <col min="1033" max="1033" customWidth="1" width="11.42578125"/>
    <col min="1034" max="1034" customWidth="1" width="11.42578125"/>
    <col min="1035" max="1035" customWidth="1" width="11.42578125"/>
    <col min="1036" max="1036" customWidth="1" width="11.42578125"/>
    <col min="1037" max="1037" customWidth="1" width="11.42578125"/>
    <col min="1038" max="1038" customWidth="1" width="11.42578125"/>
    <col min="1039" max="1039" customWidth="1" width="11.42578125"/>
    <col min="1040" max="1040" customWidth="1" width="11.42578125"/>
    <col min="1041" max="1041" customWidth="1" width="11.42578125"/>
    <col min="1042" max="1042" customWidth="1" width="11.42578125"/>
    <col min="1043" max="1043" customWidth="1" width="11.42578125"/>
    <col min="1044" max="1044" customWidth="1" width="11.42578125"/>
    <col min="1045" max="1045" customWidth="1" width="11.42578125"/>
    <col min="1046" max="1046" customWidth="1" width="11.42578125"/>
    <col min="1047" max="1047" customWidth="1" width="11.42578125"/>
    <col min="1048" max="1048" customWidth="1" width="11.42578125"/>
    <col min="1049" max="1049" customWidth="1" width="11.42578125"/>
    <col min="1050" max="1050" customWidth="1" width="11.42578125"/>
    <col min="1051" max="1051" customWidth="1" width="11.42578125"/>
    <col min="1052" max="1052" customWidth="1" width="11.42578125"/>
    <col min="1053" max="1053" customWidth="1" width="11.42578125"/>
    <col min="1054" max="1054" customWidth="1" width="11.42578125"/>
    <col min="1055" max="1055" customWidth="1" width="11.42578125"/>
    <col min="1056" max="1056" customWidth="1" width="11.42578125"/>
    <col min="1057" max="1057" customWidth="1" width="11.42578125"/>
    <col min="1058" max="1058" customWidth="1" width="11.42578125"/>
    <col min="1059" max="1059" customWidth="1" width="11.42578125"/>
    <col min="1060" max="1060" customWidth="1" width="11.42578125"/>
    <col min="1061" max="1061" customWidth="1" width="11.42578125"/>
    <col min="1062" max="1062" customWidth="1" width="11.42578125"/>
    <col min="1063" max="1063" customWidth="1" width="11.42578125"/>
    <col min="1064" max="1064" customWidth="1" width="11.42578125"/>
    <col min="1065" max="1065" customWidth="1" width="11.42578125"/>
    <col min="1066" max="1066" customWidth="1" width="11.42578125"/>
    <col min="1067" max="1067" customWidth="1" width="11.42578125"/>
    <col min="1068" max="1068" customWidth="1" width="11.42578125"/>
    <col min="1069" max="1069" customWidth="1" width="11.42578125"/>
    <col min="1070" max="1070" customWidth="1" width="11.42578125"/>
    <col min="1071" max="1071" customWidth="1" width="11.42578125"/>
    <col min="1072" max="1072" customWidth="1" width="11.42578125"/>
    <col min="1073" max="1073" customWidth="1" width="11.42578125"/>
    <col min="1074" max="1074" customWidth="1" width="11.42578125"/>
    <col min="1075" max="1075" customWidth="1" width="11.42578125"/>
    <col min="1076" max="1076" customWidth="1" width="11.42578125"/>
    <col min="1077" max="1077" customWidth="1" width="11.42578125"/>
    <col min="1078" max="1078" customWidth="1" width="11.42578125"/>
    <col min="1079" max="1079" customWidth="1" width="11.42578125"/>
    <col min="1080" max="1080" customWidth="1" width="11.42578125"/>
    <col min="1081" max="1081" customWidth="1" width="11.42578125"/>
    <col min="1082" max="1082" customWidth="1" width="11.42578125"/>
    <col min="1083" max="1083" customWidth="1" width="11.42578125"/>
    <col min="1084" max="1084" customWidth="1" width="11.42578125"/>
    <col min="1085" max="1085" customWidth="1" width="11.42578125"/>
    <col min="1086" max="1086" customWidth="1" width="11.42578125"/>
    <col min="1087" max="1087" customWidth="1" width="11.42578125"/>
    <col min="1088" max="1088" customWidth="1" width="11.42578125"/>
    <col min="1089" max="1089" customWidth="1" width="11.42578125"/>
    <col min="1090" max="1090" customWidth="1" width="11.42578125"/>
    <col min="1091" max="1091" customWidth="1" width="11.42578125"/>
    <col min="1092" max="1092" customWidth="1" width="11.42578125"/>
    <col min="1093" max="1093" customWidth="1" width="11.42578125"/>
    <col min="1094" max="1094" customWidth="1" width="11.42578125"/>
    <col min="1095" max="1095" customWidth="1" width="11.42578125"/>
    <col min="1096" max="1096" customWidth="1" width="11.42578125"/>
    <col min="1097" max="1097" customWidth="1" width="11.42578125"/>
    <col min="1098" max="1098" customWidth="1" width="11.42578125"/>
    <col min="1099" max="1099" customWidth="1" width="11.42578125"/>
    <col min="1100" max="1100" customWidth="1" width="11.42578125"/>
    <col min="1101" max="1101" customWidth="1" width="11.42578125"/>
    <col min="1102" max="1102" customWidth="1" width="11.42578125"/>
    <col min="1103" max="1103" customWidth="1" width="11.42578125"/>
    <col min="1104" max="1104" customWidth="1" width="11.42578125"/>
    <col min="1105" max="1105" customWidth="1" width="11.42578125"/>
    <col min="1106" max="1106" customWidth="1" width="11.42578125"/>
    <col min="1107" max="1107" customWidth="1" width="11.42578125"/>
    <col min="1108" max="1108" customWidth="1" width="11.42578125"/>
    <col min="1109" max="1109" customWidth="1" width="11.42578125"/>
    <col min="1110" max="1110" customWidth="1" width="11.42578125"/>
    <col min="1111" max="1111" customWidth="1" width="11.42578125"/>
    <col min="1112" max="1112" customWidth="1" width="11.42578125"/>
    <col min="1113" max="1113" customWidth="1" width="11.42578125"/>
    <col min="1114" max="1114" customWidth="1" width="11.42578125"/>
    <col min="1115" max="1115" customWidth="1" width="11.42578125"/>
    <col min="1116" max="1116" customWidth="1" width="11.42578125"/>
    <col min="1117" max="1117" customWidth="1" width="11.42578125"/>
    <col min="1118" max="1118" customWidth="1" width="11.42578125"/>
    <col min="1119" max="1119" customWidth="1" width="11.42578125"/>
    <col min="1120" max="1120" customWidth="1" width="11.42578125"/>
    <col min="1121" max="1121" customWidth="1" width="11.42578125"/>
    <col min="1122" max="1122" customWidth="1" width="11.42578125"/>
    <col min="1123" max="1123" customWidth="1" width="11.42578125"/>
    <col min="1124" max="1124" customWidth="1" width="11.42578125"/>
    <col min="1125" max="1125" customWidth="1" width="11.42578125"/>
    <col min="1126" max="1126" customWidth="1" width="11.42578125"/>
    <col min="1127" max="1127" customWidth="1" width="11.42578125"/>
    <col min="1128" max="1128" customWidth="1" width="11.42578125"/>
    <col min="1129" max="1129" customWidth="1" width="11.42578125"/>
    <col min="1130" max="1130" customWidth="1" width="11.42578125"/>
    <col min="1131" max="1131" customWidth="1" width="11.42578125"/>
    <col min="1132" max="1132" customWidth="1" width="11.42578125"/>
    <col min="1133" max="1133" customWidth="1" width="11.42578125"/>
    <col min="1134" max="1134" customWidth="1" width="11.42578125"/>
    <col min="1135" max="1135" customWidth="1" width="11.42578125"/>
    <col min="1136" max="1136" customWidth="1" width="11.42578125"/>
    <col min="1137" max="1137" customWidth="1" width="11.42578125"/>
    <col min="1138" max="1138" customWidth="1" width="11.42578125"/>
    <col min="1139" max="1139" customWidth="1" width="11.42578125"/>
    <col min="1140" max="1140" customWidth="1" width="11.42578125"/>
    <col min="1141" max="1141" customWidth="1" width="11.42578125"/>
    <col min="1142" max="1142" customWidth="1" width="11.42578125"/>
    <col min="1143" max="1143" customWidth="1" width="11.42578125"/>
    <col min="1144" max="1144" customWidth="1" width="11.42578125"/>
    <col min="1145" max="1145" customWidth="1" width="11.42578125"/>
    <col min="1146" max="1146" customWidth="1" width="11.42578125"/>
    <col min="1147" max="1147" customWidth="1" width="11.42578125"/>
    <col min="1148" max="1148" customWidth="1" width="11.42578125"/>
    <col min="1149" max="1149" customWidth="1" width="11.42578125"/>
    <col min="1150" max="1150" customWidth="1" width="11.42578125"/>
    <col min="1151" max="1151" customWidth="1" width="11.42578125"/>
    <col min="1152" max="1152" customWidth="1" width="11.42578125"/>
    <col min="1153" max="1153" customWidth="1" width="11.42578125"/>
    <col min="1154" max="1154" customWidth="1" width="11.42578125"/>
    <col min="1155" max="1155" customWidth="1" width="11.42578125"/>
    <col min="1156" max="1156" customWidth="1" width="11.42578125"/>
    <col min="1157" max="1157" customWidth="1" width="11.42578125"/>
    <col min="1158" max="1158" customWidth="1" width="11.42578125"/>
    <col min="1159" max="1159" customWidth="1" width="11.42578125"/>
    <col min="1160" max="1160" customWidth="1" width="11.42578125"/>
    <col min="1161" max="1161" customWidth="1" width="11.42578125"/>
    <col min="1162" max="1162" customWidth="1" width="11.42578125"/>
    <col min="1163" max="1163" customWidth="1" width="11.42578125"/>
    <col min="1164" max="1164" customWidth="1" width="11.42578125"/>
    <col min="1165" max="1165" customWidth="1" width="11.42578125"/>
    <col min="1166" max="1166" customWidth="1" width="11.42578125"/>
    <col min="1167" max="1167" customWidth="1" width="11.42578125"/>
    <col min="1168" max="1168" customWidth="1" width="11.42578125"/>
    <col min="1169" max="1169" customWidth="1" width="11.42578125"/>
    <col min="1170" max="1170" customWidth="1" width="11.42578125"/>
    <col min="1171" max="1171" customWidth="1" width="11.42578125"/>
    <col min="1172" max="1172" customWidth="1" width="11.42578125"/>
    <col min="1173" max="1173" customWidth="1" width="11.42578125"/>
    <col min="1174" max="1174" customWidth="1" width="11.42578125"/>
    <col min="1175" max="1175" customWidth="1" width="11.42578125"/>
    <col min="1176" max="1176" customWidth="1" width="11.42578125"/>
    <col min="1177" max="1177" customWidth="1" width="11.42578125"/>
    <col min="1178" max="1178" customWidth="1" width="11.42578125"/>
    <col min="1179" max="1179" customWidth="1" width="11.42578125"/>
    <col min="1180" max="1180" customWidth="1" width="11.42578125"/>
    <col min="1181" max="1181" customWidth="1" width="11.42578125"/>
    <col min="1182" max="1182" customWidth="1" width="11.42578125"/>
    <col min="1183" max="1183" customWidth="1" width="11.42578125"/>
    <col min="1184" max="1184" customWidth="1" width="11.42578125"/>
    <col min="1185" max="1185" customWidth="1" width="11.42578125"/>
    <col min="1186" max="1186" customWidth="1" width="11.42578125"/>
    <col min="1187" max="1187" customWidth="1" width="11.42578125"/>
    <col min="1188" max="1188" customWidth="1" width="11.42578125"/>
    <col min="1189" max="1189" customWidth="1" width="11.42578125"/>
    <col min="1190" max="1190" customWidth="1" width="11.42578125"/>
    <col min="1191" max="1191" customWidth="1" width="11.42578125"/>
    <col min="1192" max="1192" customWidth="1" width="11.42578125"/>
    <col min="1193" max="1193" customWidth="1" width="11.42578125"/>
    <col min="1194" max="1194" customWidth="1" width="11.42578125"/>
    <col min="1195" max="1195" customWidth="1" width="11.42578125"/>
    <col min="1196" max="1196" customWidth="1" width="11.42578125"/>
    <col min="1197" max="1197" customWidth="1" width="11.42578125"/>
    <col min="1198" max="1198" customWidth="1" width="11.42578125"/>
    <col min="1199" max="1199" customWidth="1" width="11.42578125"/>
    <col min="1200" max="1200" customWidth="1" width="11.42578125"/>
    <col min="1201" max="1201" customWidth="1" width="11.42578125"/>
    <col min="1202" max="1202" customWidth="1" width="11.42578125"/>
    <col min="1203" max="1203" customWidth="1" width="11.42578125"/>
    <col min="1204" max="1204" customWidth="1" width="11.42578125"/>
    <col min="1205" max="1205" customWidth="1" width="11.42578125"/>
    <col min="1206" max="1206" customWidth="1" width="11.42578125"/>
    <col min="1207" max="1207" customWidth="1" width="11.42578125"/>
    <col min="1208" max="1208" customWidth="1" width="11.42578125"/>
    <col min="1209" max="1209" customWidth="1" width="11.42578125"/>
    <col min="1210" max="1210" customWidth="1" width="11.42578125"/>
    <col min="1211" max="1211" customWidth="1" width="11.42578125"/>
    <col min="1212" max="1212" customWidth="1" width="11.42578125"/>
    <col min="1213" max="1213" customWidth="1" width="11.42578125"/>
    <col min="1214" max="1214" customWidth="1" width="11.42578125"/>
    <col min="1215" max="1215" customWidth="1" width="11.42578125"/>
    <col min="1216" max="1216" customWidth="1" width="11.42578125"/>
    <col min="1217" max="1217" customWidth="1" width="11.42578125"/>
    <col min="1218" max="1218" customWidth="1" width="11.42578125"/>
    <col min="1219" max="1219" customWidth="1" width="11.42578125"/>
    <col min="1220" max="1220" customWidth="1" width="11.42578125"/>
    <col min="1221" max="1221" customWidth="1" width="11.42578125"/>
    <col min="1222" max="1222" customWidth="1" width="11.42578125"/>
    <col min="1223" max="1223" customWidth="1" width="11.42578125"/>
    <col min="1224" max="1224" customWidth="1" width="11.42578125"/>
    <col min="1225" max="1225" customWidth="1" width="11.42578125"/>
    <col min="1226" max="1226" customWidth="1" width="11.42578125"/>
    <col min="1227" max="1227" customWidth="1" width="11.42578125"/>
    <col min="1228" max="1228" customWidth="1" width="11.42578125"/>
    <col min="1229" max="1229" customWidth="1" width="11.42578125"/>
    <col min="1230" max="1230" customWidth="1" width="11.42578125"/>
    <col min="1231" max="1231" customWidth="1" width="11.42578125"/>
    <col min="1232" max="1232" customWidth="1" width="11.42578125"/>
    <col min="1233" max="1233" customWidth="1" width="11.42578125"/>
    <col min="1234" max="1234" customWidth="1" width="11.42578125"/>
    <col min="1235" max="1235" customWidth="1" width="11.42578125"/>
    <col min="1236" max="1236" customWidth="1" width="11.42578125"/>
    <col min="1237" max="1237" customWidth="1" width="11.42578125"/>
    <col min="1238" max="1238" customWidth="1" width="11.42578125"/>
    <col min="1239" max="1239" customWidth="1" width="11.42578125"/>
    <col min="1240" max="1240" customWidth="1" width="11.42578125"/>
    <col min="1241" max="1241" customWidth="1" width="11.42578125"/>
    <col min="1242" max="1242" customWidth="1" width="11.42578125"/>
    <col min="1243" max="1243" customWidth="1" width="11.42578125"/>
    <col min="1244" max="1244" customWidth="1" width="11.42578125"/>
    <col min="1245" max="1245" customWidth="1" width="11.42578125"/>
    <col min="1246" max="1246" customWidth="1" width="11.42578125"/>
    <col min="1247" max="1247" customWidth="1" width="11.42578125"/>
    <col min="1248" max="1248" customWidth="1" width="11.42578125"/>
    <col min="1249" max="1249" customWidth="1" width="11.42578125"/>
    <col min="1250" max="1250" customWidth="1" width="11.42578125"/>
    <col min="1251" max="1251" customWidth="1" width="11.42578125"/>
    <col min="1252" max="1252" customWidth="1" width="11.42578125"/>
    <col min="1253" max="1253" customWidth="1" width="11.42578125"/>
    <col min="1254" max="1254" customWidth="1" width="11.42578125"/>
    <col min="1255" max="1255" customWidth="1" width="11.42578125"/>
    <col min="1256" max="1256" customWidth="1" width="11.42578125"/>
    <col min="1257" max="1257" customWidth="1" width="11.42578125"/>
    <col min="1258" max="1258" customWidth="1" width="11.42578125"/>
    <col min="1259" max="1259" customWidth="1" width="11.42578125"/>
    <col min="1260" max="1260" customWidth="1" width="11.42578125"/>
    <col min="1261" max="1261" customWidth="1" width="11.42578125"/>
    <col min="1262" max="1262" customWidth="1" width="11.42578125"/>
    <col min="1263" max="1263" customWidth="1" width="11.42578125"/>
    <col min="1264" max="1264" customWidth="1" width="11.42578125"/>
    <col min="1265" max="1265" customWidth="1" width="11.42578125"/>
    <col min="1266" max="1266" customWidth="1" width="11.42578125"/>
    <col min="1267" max="1267" customWidth="1" width="11.42578125"/>
    <col min="1268" max="1268" customWidth="1" width="11.42578125"/>
    <col min="1269" max="1269" customWidth="1" width="11.42578125"/>
    <col min="1270" max="1270" customWidth="1" width="11.42578125"/>
    <col min="1271" max="1271" customWidth="1" width="11.42578125"/>
    <col min="1272" max="1272" customWidth="1" width="11.42578125"/>
    <col min="1273" max="1273" customWidth="1" width="11.42578125"/>
    <col min="1274" max="1274" customWidth="1" width="11.42578125"/>
    <col min="1275" max="1275" customWidth="1" width="11.42578125"/>
    <col min="1276" max="1276" customWidth="1" width="11.42578125"/>
    <col min="1277" max="1277" customWidth="1" width="11.42578125"/>
    <col min="1278" max="1278" customWidth="1" width="11.42578125"/>
    <col min="1279" max="1279" customWidth="1" width="11.42578125"/>
    <col min="1280" max="1280" customWidth="1" width="11.42578125"/>
    <col min="1281" max="1281" customWidth="1" width="11.42578125"/>
    <col min="1282" max="1282" customWidth="1" width="11.42578125"/>
    <col min="1283" max="1283" customWidth="1" width="11.42578125"/>
    <col min="1284" max="1284" customWidth="1" width="11.42578125"/>
    <col min="1285" max="1285" customWidth="1" width="11.42578125"/>
    <col min="1286" max="1286" customWidth="1" width="11.42578125"/>
    <col min="1287" max="1287" customWidth="1" width="11.42578125"/>
    <col min="1288" max="1288" customWidth="1" width="11.42578125"/>
    <col min="1289" max="1289" customWidth="1" width="11.42578125"/>
    <col min="1290" max="1290" customWidth="1" width="11.42578125"/>
    <col min="1291" max="1291" customWidth="1" width="11.42578125"/>
    <col min="1292" max="1292" customWidth="1" width="11.42578125"/>
    <col min="1293" max="1293" customWidth="1" width="11.42578125"/>
    <col min="1294" max="1294" customWidth="1" width="11.42578125"/>
    <col min="1295" max="1295" customWidth="1" width="11.42578125"/>
    <col min="1296" max="1296" customWidth="1" width="11.42578125"/>
    <col min="1297" max="1297" customWidth="1" width="11.42578125"/>
    <col min="1298" max="1298" customWidth="1" width="11.42578125"/>
    <col min="1299" max="1299" customWidth="1" width="11.42578125"/>
    <col min="1300" max="1300" customWidth="1" width="11.42578125"/>
    <col min="1301" max="1301" customWidth="1" width="11.42578125"/>
    <col min="1302" max="1302" customWidth="1" width="11.42578125"/>
    <col min="1303" max="1303" customWidth="1" width="11.42578125"/>
    <col min="1304" max="1304" customWidth="1" width="11.42578125"/>
    <col min="1305" max="1305" customWidth="1" width="11.42578125"/>
    <col min="1306" max="1306" customWidth="1" width="11.42578125"/>
    <col min="1307" max="1307" customWidth="1" width="11.42578125"/>
    <col min="1308" max="1308" customWidth="1" width="11.42578125"/>
    <col min="1309" max="1309" customWidth="1" width="11.42578125"/>
    <col min="1310" max="1310" customWidth="1" width="11.42578125"/>
    <col min="1311" max="1311" customWidth="1" width="11.42578125"/>
    <col min="1312" max="1312" customWidth="1" width="11.42578125"/>
    <col min="1313" max="1313" customWidth="1" width="11.42578125"/>
    <col min="1314" max="1314" customWidth="1" width="11.42578125"/>
    <col min="1315" max="1315" customWidth="1" width="11.42578125"/>
    <col min="1316" max="1316" customWidth="1" width="11.42578125"/>
    <col min="1317" max="1317" customWidth="1" width="11.42578125"/>
    <col min="1318" max="1318" customWidth="1" width="11.42578125"/>
    <col min="1319" max="1319" customWidth="1" width="11.42578125"/>
    <col min="1320" max="1320" customWidth="1" width="11.42578125"/>
    <col min="1321" max="1321" customWidth="1" width="11.42578125"/>
    <col min="1322" max="1322" customWidth="1" width="11.42578125"/>
    <col min="1323" max="1323" customWidth="1" width="11.42578125"/>
    <col min="1324" max="1324" customWidth="1" width="11.42578125"/>
    <col min="1325" max="1325" customWidth="1" width="11.42578125"/>
    <col min="1326" max="1326" customWidth="1" width="11.42578125"/>
    <col min="1327" max="1327" customWidth="1" width="11.42578125"/>
    <col min="1328" max="1328" customWidth="1" width="11.42578125"/>
    <col min="1329" max="1329" customWidth="1" width="11.42578125"/>
    <col min="1330" max="1330" customWidth="1" width="11.42578125"/>
    <col min="1331" max="1331" customWidth="1" width="11.42578125"/>
    <col min="1332" max="1332" customWidth="1" width="11.42578125"/>
    <col min="1333" max="1333" customWidth="1" width="11.42578125"/>
    <col min="1334" max="1334" customWidth="1" width="11.42578125"/>
    <col min="1335" max="1335" customWidth="1" width="11.42578125"/>
    <col min="1336" max="1336" customWidth="1" width="11.42578125"/>
    <col min="1337" max="1337" customWidth="1" width="11.42578125"/>
    <col min="1338" max="1338" customWidth="1" width="11.42578125"/>
    <col min="1339" max="1339" customWidth="1" width="11.42578125"/>
    <col min="1340" max="1340" customWidth="1" width="11.42578125"/>
    <col min="1341" max="1341" customWidth="1" width="11.42578125"/>
    <col min="1342" max="1342" customWidth="1" width="11.42578125"/>
    <col min="1343" max="1343" customWidth="1" width="11.42578125"/>
    <col min="1344" max="1344" customWidth="1" width="11.42578125"/>
    <col min="1345" max="1345" customWidth="1" width="11.42578125"/>
    <col min="1346" max="1346" customWidth="1" width="11.42578125"/>
    <col min="1347" max="1347" customWidth="1" width="11.42578125"/>
    <col min="1348" max="1348" customWidth="1" width="11.42578125"/>
    <col min="1349" max="1349" customWidth="1" width="11.42578125"/>
    <col min="1350" max="1350" customWidth="1" width="11.42578125"/>
    <col min="1351" max="1351" customWidth="1" width="11.42578125"/>
    <col min="1352" max="1352" customWidth="1" width="11.42578125"/>
    <col min="1353" max="1353" customWidth="1" width="11.42578125"/>
    <col min="1354" max="1354" customWidth="1" width="11.42578125"/>
    <col min="1355" max="1355" customWidth="1" width="11.42578125"/>
    <col min="1356" max="1356" customWidth="1" width="11.42578125"/>
    <col min="1357" max="1357" customWidth="1" width="11.42578125"/>
    <col min="1358" max="1358" customWidth="1" width="11.42578125"/>
    <col min="1359" max="1359" customWidth="1" width="11.42578125"/>
    <col min="1360" max="1360" customWidth="1" width="11.42578125"/>
    <col min="1361" max="1361" customWidth="1" width="11.42578125"/>
    <col min="1362" max="1362" customWidth="1" width="11.42578125"/>
    <col min="1363" max="1363" customWidth="1" width="11.42578125"/>
    <col min="1364" max="1364" customWidth="1" width="11.42578125"/>
    <col min="1365" max="1365" customWidth="1" width="11.42578125"/>
    <col min="1366" max="1366" customWidth="1" width="11.42578125"/>
    <col min="1367" max="1367" customWidth="1" width="11.42578125"/>
    <col min="1368" max="1368" customWidth="1" width="11.42578125"/>
    <col min="1369" max="1369" customWidth="1" width="11.42578125"/>
    <col min="1370" max="1370" customWidth="1" width="11.42578125"/>
    <col min="1371" max="1371" customWidth="1" width="11.42578125"/>
    <col min="1372" max="1372" customWidth="1" width="11.42578125"/>
    <col min="1373" max="1373" customWidth="1" width="11.42578125"/>
    <col min="1374" max="1374" customWidth="1" width="11.42578125"/>
    <col min="1375" max="1375" customWidth="1" width="11.42578125"/>
    <col min="1376" max="1376" customWidth="1" width="11.42578125"/>
    <col min="1377" max="1377" customWidth="1" width="11.42578125"/>
    <col min="1378" max="1378" customWidth="1" width="11.42578125"/>
    <col min="1379" max="1379" customWidth="1" width="11.42578125"/>
    <col min="1380" max="1380" customWidth="1" width="11.42578125"/>
    <col min="1381" max="1381" customWidth="1" width="11.42578125"/>
    <col min="1382" max="1382" customWidth="1" width="11.42578125"/>
    <col min="1383" max="1383" customWidth="1" width="11.42578125"/>
    <col min="1384" max="1384" customWidth="1" width="11.42578125"/>
    <col min="1385" max="1385" customWidth="1" width="11.42578125"/>
    <col min="1386" max="1386" customWidth="1" width="11.42578125"/>
    <col min="1387" max="1387" customWidth="1" width="11.42578125"/>
    <col min="1388" max="1388" customWidth="1" width="11.42578125"/>
    <col min="1389" max="1389" customWidth="1" width="11.42578125"/>
    <col min="1390" max="1390" customWidth="1" width="11.42578125"/>
    <col min="1391" max="1391" customWidth="1" width="11.42578125"/>
    <col min="1392" max="1392" customWidth="1" width="11.42578125"/>
    <col min="1393" max="1393" customWidth="1" width="11.42578125"/>
    <col min="1394" max="1394" customWidth="1" width="11.42578125"/>
    <col min="1395" max="1395" customWidth="1" width="11.42578125"/>
    <col min="1396" max="1396" customWidth="1" width="11.42578125"/>
    <col min="1397" max="1397" customWidth="1" width="11.42578125"/>
    <col min="1398" max="1398" customWidth="1" width="11.42578125"/>
    <col min="1399" max="1399" customWidth="1" width="11.42578125"/>
    <col min="1400" max="1400" customWidth="1" width="11.42578125"/>
    <col min="1401" max="1401" customWidth="1" width="11.42578125"/>
    <col min="1402" max="1402" customWidth="1" width="11.42578125"/>
    <col min="1403" max="1403" customWidth="1" width="11.42578125"/>
    <col min="1404" max="1404" customWidth="1" width="11.42578125"/>
    <col min="1405" max="1405" customWidth="1" width="11.42578125"/>
    <col min="1406" max="1406" customWidth="1" width="11.42578125"/>
    <col min="1407" max="1407" customWidth="1" width="11.42578125"/>
    <col min="1408" max="1408" customWidth="1" width="11.42578125"/>
    <col min="1409" max="1409" customWidth="1" width="11.42578125"/>
    <col min="1410" max="1410" customWidth="1" width="11.42578125"/>
    <col min="1411" max="1411" customWidth="1" width="11.42578125"/>
    <col min="1412" max="1412" customWidth="1" width="11.42578125"/>
    <col min="1413" max="1413" customWidth="1" width="11.42578125"/>
    <col min="1414" max="1414" customWidth="1" width="11.42578125"/>
    <col min="1415" max="1415" customWidth="1" width="11.42578125"/>
    <col min="1416" max="1416" customWidth="1" width="11.42578125"/>
    <col min="1417" max="1417" customWidth="1" width="11.42578125"/>
    <col min="1418" max="1418" customWidth="1" width="11.42578125"/>
    <col min="1419" max="1419" customWidth="1" width="11.42578125"/>
    <col min="1420" max="1420" customWidth="1" width="11.42578125"/>
    <col min="1421" max="1421" customWidth="1" width="11.42578125"/>
    <col min="1422" max="1422" customWidth="1" width="11.42578125"/>
    <col min="1423" max="1423" customWidth="1" width="11.42578125"/>
    <col min="1424" max="1424" customWidth="1" width="11.42578125"/>
    <col min="1425" max="1425" customWidth="1" width="11.42578125"/>
    <col min="1426" max="1426" customWidth="1" width="11.42578125"/>
    <col min="1427" max="1427" customWidth="1" width="11.42578125"/>
    <col min="1428" max="1428" customWidth="1" width="11.42578125"/>
    <col min="1429" max="1429" customWidth="1" width="11.42578125"/>
    <col min="1430" max="1430" customWidth="1" width="11.42578125"/>
    <col min="1431" max="1431" customWidth="1" width="11.42578125"/>
    <col min="1432" max="1432" customWidth="1" width="11.42578125"/>
    <col min="1433" max="1433" customWidth="1" width="11.42578125"/>
    <col min="1434" max="1434" customWidth="1" width="11.42578125"/>
    <col min="1435" max="1435" customWidth="1" width="11.42578125"/>
    <col min="1436" max="1436" customWidth="1" width="11.42578125"/>
    <col min="1437" max="1437" customWidth="1" width="11.42578125"/>
    <col min="1438" max="1438" customWidth="1" width="11.42578125"/>
    <col min="1439" max="1439" customWidth="1" width="11.42578125"/>
    <col min="1440" max="1440" customWidth="1" width="11.42578125"/>
    <col min="1441" max="1441" customWidth="1" width="11.42578125"/>
    <col min="1442" max="1442" customWidth="1" width="11.42578125"/>
    <col min="1443" max="1443" customWidth="1" width="11.42578125"/>
    <col min="1444" max="1444" customWidth="1" width="11.42578125"/>
    <col min="1445" max="1445" customWidth="1" width="11.42578125"/>
    <col min="1446" max="1446" customWidth="1" width="11.42578125"/>
    <col min="1447" max="1447" customWidth="1" width="11.42578125"/>
    <col min="1448" max="1448" customWidth="1" width="11.42578125"/>
    <col min="1449" max="1449" customWidth="1" width="11.42578125"/>
    <col min="1450" max="1450" customWidth="1" width="11.42578125"/>
    <col min="1451" max="1451" customWidth="1" width="11.42578125"/>
    <col min="1452" max="1452" customWidth="1" width="11.42578125"/>
    <col min="1453" max="1453" customWidth="1" width="11.42578125"/>
    <col min="1454" max="1454" customWidth="1" width="11.42578125"/>
    <col min="1455" max="1455" customWidth="1" width="11.42578125"/>
    <col min="1456" max="1456" customWidth="1" width="11.42578125"/>
    <col min="1457" max="1457" customWidth="1" width="11.42578125"/>
    <col min="1458" max="1458" customWidth="1" width="11.42578125"/>
    <col min="1459" max="1459" customWidth="1" width="11.42578125"/>
    <col min="1460" max="1460" customWidth="1" width="11.42578125"/>
    <col min="1461" max="1461" customWidth="1" width="11.42578125"/>
    <col min="1462" max="1462" customWidth="1" width="11.42578125"/>
    <col min="1463" max="1463" customWidth="1" width="11.42578125"/>
    <col min="1464" max="1464" customWidth="1" width="11.42578125"/>
    <col min="1465" max="1465" customWidth="1" width="11.42578125"/>
    <col min="1466" max="1466" customWidth="1" width="11.42578125"/>
    <col min="1467" max="1467" customWidth="1" width="11.42578125"/>
    <col min="1468" max="1468" customWidth="1" width="11.42578125"/>
    <col min="1469" max="1469" customWidth="1" width="11.42578125"/>
    <col min="1470" max="1470" customWidth="1" width="11.42578125"/>
    <col min="1471" max="1471" customWidth="1" width="11.42578125"/>
    <col min="1472" max="1472" customWidth="1" width="11.42578125"/>
    <col min="1473" max="1473" customWidth="1" width="11.42578125"/>
    <col min="1474" max="1474" customWidth="1" width="11.42578125"/>
    <col min="1475" max="1475" customWidth="1" width="11.42578125"/>
    <col min="1476" max="1476" customWidth="1" width="11.42578125"/>
    <col min="1477" max="1477" customWidth="1" width="11.42578125"/>
    <col min="1478" max="1478" customWidth="1" width="11.42578125"/>
    <col min="1479" max="1479" customWidth="1" width="11.42578125"/>
    <col min="1480" max="1480" customWidth="1" width="11.42578125"/>
    <col min="1481" max="1481" customWidth="1" width="11.42578125"/>
    <col min="1482" max="1482" customWidth="1" width="11.42578125"/>
    <col min="1483" max="1483" customWidth="1" width="11.42578125"/>
    <col min="1484" max="1484" customWidth="1" width="11.42578125"/>
    <col min="1485" max="1485" customWidth="1" width="11.42578125"/>
    <col min="1486" max="1486" customWidth="1" width="11.42578125"/>
    <col min="1487" max="1487" customWidth="1" width="11.42578125"/>
    <col min="1488" max="1488" customWidth="1" width="11.42578125"/>
    <col min="1489" max="1489" customWidth="1" width="11.42578125"/>
    <col min="1490" max="1490" customWidth="1" width="11.42578125"/>
    <col min="1491" max="1491" customWidth="1" width="11.42578125"/>
    <col min="1492" max="1492" customWidth="1" width="11.42578125"/>
    <col min="1493" max="1493" customWidth="1" width="11.42578125"/>
    <col min="1494" max="1494" customWidth="1" width="11.42578125"/>
    <col min="1495" max="1495" customWidth="1" width="11.42578125"/>
    <col min="1496" max="1496" customWidth="1" width="11.42578125"/>
    <col min="1497" max="1497" customWidth="1" width="11.42578125"/>
    <col min="1498" max="1498" customWidth="1" width="11.42578125"/>
    <col min="1499" max="1499" customWidth="1" width="11.42578125"/>
    <col min="1500" max="1500" customWidth="1" width="11.42578125"/>
    <col min="1501" max="1501" customWidth="1" width="11.42578125"/>
    <col min="1502" max="1502" customWidth="1" width="11.42578125"/>
    <col min="1503" max="1503" customWidth="1" width="11.42578125"/>
    <col min="1504" max="1504" customWidth="1" width="11.42578125"/>
    <col min="1505" max="1505" customWidth="1" width="11.42578125"/>
    <col min="1506" max="1506" customWidth="1" width="11.42578125"/>
    <col min="1507" max="1507" customWidth="1" width="11.42578125"/>
    <col min="1508" max="1508" customWidth="1" width="11.42578125"/>
    <col min="1509" max="1509" customWidth="1" width="11.42578125"/>
    <col min="1510" max="1510" customWidth="1" width="11.42578125"/>
    <col min="1511" max="1511" customWidth="1" width="11.42578125"/>
    <col min="1512" max="1512" customWidth="1" width="11.42578125"/>
    <col min="1513" max="1513" customWidth="1" width="11.42578125"/>
    <col min="1514" max="1514" customWidth="1" width="11.42578125"/>
    <col min="1515" max="1515" customWidth="1" width="11.42578125"/>
    <col min="1516" max="1516" customWidth="1" width="11.42578125"/>
    <col min="1517" max="1517" customWidth="1" width="11.42578125"/>
    <col min="1518" max="1518" customWidth="1" width="11.42578125"/>
    <col min="1519" max="1519" customWidth="1" width="11.42578125"/>
    <col min="1520" max="1520" customWidth="1" width="11.42578125"/>
    <col min="1521" max="1521" customWidth="1" width="11.42578125"/>
    <col min="1522" max="1522" customWidth="1" width="11.42578125"/>
    <col min="1523" max="1523" customWidth="1" width="11.42578125"/>
    <col min="1524" max="1524" customWidth="1" width="11.42578125"/>
    <col min="1525" max="1525" customWidth="1" width="11.42578125"/>
    <col min="1526" max="1526" customWidth="1" width="11.42578125"/>
    <col min="1527" max="1527" customWidth="1" width="11.42578125"/>
    <col min="1528" max="1528" customWidth="1" width="11.42578125"/>
    <col min="1529" max="1529" customWidth="1" width="11.42578125"/>
    <col min="1530" max="1530" customWidth="1" width="11.42578125"/>
    <col min="1531" max="1531" customWidth="1" width="11.42578125"/>
    <col min="1532" max="1532" customWidth="1" width="11.42578125"/>
    <col min="1533" max="1533" customWidth="1" width="11.42578125"/>
    <col min="1534" max="1534" customWidth="1" width="11.42578125"/>
    <col min="1535" max="1535" customWidth="1" width="11.42578125"/>
    <col min="1536" max="1536" customWidth="1" width="11.42578125"/>
    <col min="1537" max="1537" customWidth="1" width="11.42578125"/>
    <col min="1538" max="1538" customWidth="1" width="11.42578125"/>
    <col min="1539" max="1539" customWidth="1" width="11.42578125"/>
    <col min="1540" max="1540" customWidth="1" width="11.42578125"/>
    <col min="1541" max="1541" customWidth="1" width="11.42578125"/>
    <col min="1542" max="1542" customWidth="1" width="11.42578125"/>
    <col min="1543" max="1543" customWidth="1" width="11.42578125"/>
    <col min="1544" max="1544" customWidth="1" width="11.42578125"/>
    <col min="1545" max="1545" customWidth="1" width="11.42578125"/>
    <col min="1546" max="1546" customWidth="1" width="11.42578125"/>
    <col min="1547" max="1547" customWidth="1" width="11.42578125"/>
    <col min="1548" max="1548" customWidth="1" width="11.42578125"/>
    <col min="1549" max="1549" customWidth="1" width="11.42578125"/>
    <col min="1550" max="1550" customWidth="1" width="11.42578125"/>
    <col min="1551" max="1551" customWidth="1" width="11.42578125"/>
    <col min="1552" max="1552" customWidth="1" width="11.42578125"/>
    <col min="1553" max="1553" customWidth="1" width="11.42578125"/>
    <col min="1554" max="1554" customWidth="1" width="11.42578125"/>
    <col min="1555" max="1555" customWidth="1" width="11.42578125"/>
    <col min="1556" max="1556" customWidth="1" width="11.42578125"/>
    <col min="1557" max="1557" customWidth="1" width="11.42578125"/>
    <col min="1558" max="1558" customWidth="1" width="11.42578125"/>
    <col min="1559" max="1559" customWidth="1" width="11.42578125"/>
    <col min="1560" max="1560" customWidth="1" width="11.42578125"/>
    <col min="1561" max="1561" customWidth="1" width="11.42578125"/>
    <col min="1562" max="1562" customWidth="1" width="11.42578125"/>
    <col min="1563" max="1563" customWidth="1" width="11.42578125"/>
    <col min="1564" max="1564" customWidth="1" width="11.42578125"/>
    <col min="1565" max="1565" customWidth="1" width="11.42578125"/>
    <col min="1566" max="1566" customWidth="1" width="11.42578125"/>
    <col min="1567" max="1567" customWidth="1" width="11.42578125"/>
    <col min="1568" max="1568" customWidth="1" width="11.42578125"/>
    <col min="1569" max="1569" customWidth="1" width="11.42578125"/>
    <col min="1570" max="1570" customWidth="1" width="11.42578125"/>
    <col min="1571" max="1571" customWidth="1" width="11.42578125"/>
    <col min="1572" max="1572" customWidth="1" width="11.42578125"/>
    <col min="1573" max="1573" customWidth="1" width="11.42578125"/>
    <col min="1574" max="1574" customWidth="1" width="11.42578125"/>
    <col min="1575" max="1575" customWidth="1" width="11.42578125"/>
    <col min="1576" max="1576" customWidth="1" width="11.42578125"/>
    <col min="1577" max="1577" customWidth="1" width="11.42578125"/>
    <col min="1578" max="1578" customWidth="1" width="11.42578125"/>
    <col min="1579" max="1579" customWidth="1" width="11.42578125"/>
    <col min="1580" max="1580" customWidth="1" width="11.42578125"/>
    <col min="1581" max="1581" customWidth="1" width="11.42578125"/>
    <col min="1582" max="1582" customWidth="1" width="11.42578125"/>
    <col min="1583" max="1583" customWidth="1" width="11.42578125"/>
    <col min="1584" max="1584" customWidth="1" width="11.42578125"/>
    <col min="1585" max="1585" customWidth="1" width="11.42578125"/>
    <col min="1586" max="1586" customWidth="1" width="11.42578125"/>
    <col min="1587" max="1587" customWidth="1" width="11.42578125"/>
    <col min="1588" max="1588" customWidth="1" width="11.42578125"/>
    <col min="1589" max="1589" customWidth="1" width="11.42578125"/>
    <col min="1590" max="1590" customWidth="1" width="11.42578125"/>
    <col min="1591" max="1591" customWidth="1" width="11.42578125"/>
    <col min="1592" max="1592" customWidth="1" width="11.42578125"/>
    <col min="1593" max="1593" customWidth="1" width="11.42578125"/>
    <col min="1594" max="1594" customWidth="1" width="11.42578125"/>
    <col min="1595" max="1595" customWidth="1" width="11.42578125"/>
    <col min="1596" max="1596" customWidth="1" width="11.42578125"/>
    <col min="1597" max="1597" customWidth="1" width="11.42578125"/>
    <col min="1598" max="1598" customWidth="1" width="11.42578125"/>
    <col min="1599" max="1599" customWidth="1" width="11.42578125"/>
    <col min="1600" max="1600" customWidth="1" width="11.42578125"/>
    <col min="1601" max="1601" customWidth="1" width="11.42578125"/>
    <col min="1602" max="1602" customWidth="1" width="11.42578125"/>
    <col min="1603" max="1603" customWidth="1" width="11.42578125"/>
    <col min="1604" max="1604" customWidth="1" width="11.42578125"/>
    <col min="1605" max="1605" customWidth="1" width="11.42578125"/>
    <col min="1606" max="1606" customWidth="1" width="11.42578125"/>
    <col min="1607" max="1607" customWidth="1" width="11.42578125"/>
    <col min="1608" max="1608" customWidth="1" width="11.42578125"/>
    <col min="1609" max="1609" customWidth="1" width="11.42578125"/>
    <col min="1610" max="1610" customWidth="1" width="11.42578125"/>
    <col min="1611" max="1611" customWidth="1" width="11.42578125"/>
    <col min="1612" max="1612" customWidth="1" width="11.42578125"/>
    <col min="1613" max="1613" customWidth="1" width="11.42578125"/>
    <col min="1614" max="1614" customWidth="1" width="11.42578125"/>
    <col min="1615" max="1615" customWidth="1" width="11.42578125"/>
    <col min="1616" max="1616" customWidth="1" width="11.42578125"/>
    <col min="1617" max="1617" customWidth="1" width="11.42578125"/>
    <col min="1618" max="1618" customWidth="1" width="11.42578125"/>
    <col min="1619" max="1619" customWidth="1" width="11.42578125"/>
    <col min="1620" max="1620" customWidth="1" width="11.42578125"/>
    <col min="1621" max="1621" customWidth="1" width="11.42578125"/>
    <col min="1622" max="1622" customWidth="1" width="11.42578125"/>
    <col min="1623" max="1623" customWidth="1" width="11.42578125"/>
    <col min="1624" max="1624" customWidth="1" width="11.42578125"/>
    <col min="1625" max="1625" customWidth="1" width="11.42578125"/>
    <col min="1626" max="1626" customWidth="1" width="11.42578125"/>
    <col min="1627" max="1627" customWidth="1" width="11.42578125"/>
    <col min="1628" max="1628" customWidth="1" width="11.42578125"/>
    <col min="1629" max="1629" customWidth="1" width="11.42578125"/>
    <col min="1630" max="1630" customWidth="1" width="11.42578125"/>
    <col min="1631" max="1631" customWidth="1" width="11.42578125"/>
    <col min="1632" max="1632" customWidth="1" width="11.42578125"/>
    <col min="1633" max="1633" customWidth="1" width="11.42578125"/>
    <col min="1634" max="1634" customWidth="1" width="11.42578125"/>
    <col min="1635" max="1635" customWidth="1" width="11.42578125"/>
    <col min="1636" max="1636" customWidth="1" width="11.42578125"/>
    <col min="1637" max="1637" customWidth="1" width="11.42578125"/>
    <col min="1638" max="1638" customWidth="1" width="11.42578125"/>
    <col min="1639" max="1639" customWidth="1" width="11.42578125"/>
    <col min="1640" max="1640" customWidth="1" width="11.42578125"/>
    <col min="1641" max="1641" customWidth="1" width="11.42578125"/>
    <col min="1642" max="1642" customWidth="1" width="11.42578125"/>
    <col min="1643" max="1643" customWidth="1" width="11.42578125"/>
    <col min="1644" max="1644" customWidth="1" width="11.42578125"/>
    <col min="1645" max="1645" customWidth="1" width="11.42578125"/>
    <col min="1646" max="1646" customWidth="1" width="11.42578125"/>
    <col min="1647" max="1647" customWidth="1" width="11.42578125"/>
    <col min="1648" max="1648" customWidth="1" width="11.42578125"/>
    <col min="1649" max="1649" customWidth="1" width="11.42578125"/>
    <col min="1650" max="1650" customWidth="1" width="11.42578125"/>
    <col min="1651" max="1651" customWidth="1" width="11.42578125"/>
    <col min="1652" max="1652" customWidth="1" width="11.42578125"/>
    <col min="1653" max="1653" customWidth="1" width="11.42578125"/>
    <col min="1654" max="1654" customWidth="1" width="11.42578125"/>
    <col min="1655" max="1655" customWidth="1" width="11.42578125"/>
    <col min="1656" max="1656" customWidth="1" width="11.42578125"/>
    <col min="1657" max="1657" customWidth="1" width="11.42578125"/>
    <col min="1658" max="1658" customWidth="1" width="11.42578125"/>
    <col min="1659" max="1659" customWidth="1" width="11.42578125"/>
    <col min="1660" max="1660" customWidth="1" width="11.42578125"/>
    <col min="1661" max="1661" customWidth="1" width="11.42578125"/>
    <col min="1662" max="1662" customWidth="1" width="11.42578125"/>
    <col min="1663" max="1663" customWidth="1" width="11.42578125"/>
    <col min="1664" max="1664" customWidth="1" width="11.42578125"/>
    <col min="1665" max="1665" customWidth="1" width="11.42578125"/>
    <col min="1666" max="1666" customWidth="1" width="11.42578125"/>
    <col min="1667" max="1667" customWidth="1" width="11.42578125"/>
    <col min="1668" max="1668" customWidth="1" width="11.42578125"/>
    <col min="1669" max="1669" customWidth="1" width="11.42578125"/>
    <col min="1670" max="1670" customWidth="1" width="11.42578125"/>
    <col min="1671" max="1671" customWidth="1" width="11.42578125"/>
    <col min="1672" max="1672" customWidth="1" width="11.42578125"/>
    <col min="1673" max="1673" customWidth="1" width="11.42578125"/>
    <col min="1674" max="1674" customWidth="1" width="11.42578125"/>
    <col min="1675" max="1675" customWidth="1" width="11.42578125"/>
    <col min="1676" max="1676" customWidth="1" width="11.42578125"/>
    <col min="1677" max="1677" customWidth="1" width="11.42578125"/>
    <col min="1678" max="1678" customWidth="1" width="11.42578125"/>
    <col min="1679" max="1679" customWidth="1" width="11.42578125"/>
    <col min="1680" max="1680" customWidth="1" width="11.42578125"/>
    <col min="1681" max="1681" customWidth="1" width="11.42578125"/>
    <col min="1682" max="1682" customWidth="1" width="11.42578125"/>
    <col min="1683" max="1683" customWidth="1" width="11.42578125"/>
    <col min="1684" max="1684" customWidth="1" width="11.42578125"/>
    <col min="1685" max="1685" customWidth="1" width="11.42578125"/>
    <col min="1686" max="1686" customWidth="1" width="11.42578125"/>
    <col min="1687" max="1687" customWidth="1" width="11.42578125"/>
    <col min="1688" max="1688" customWidth="1" width="11.42578125"/>
    <col min="1689" max="1689" customWidth="1" width="11.42578125"/>
    <col min="1690" max="1690" customWidth="1" width="11.42578125"/>
    <col min="1691" max="1691" customWidth="1" width="11.42578125"/>
    <col min="1692" max="1692" customWidth="1" width="11.42578125"/>
    <col min="1693" max="1693" customWidth="1" width="11.42578125"/>
    <col min="1694" max="1694" customWidth="1" width="11.42578125"/>
    <col min="1695" max="1695" customWidth="1" width="11.42578125"/>
    <col min="1696" max="1696" customWidth="1" width="11.42578125"/>
    <col min="1697" max="1697" customWidth="1" width="11.42578125"/>
    <col min="1698" max="1698" customWidth="1" width="11.42578125"/>
    <col min="1699" max="1699" customWidth="1" width="11.42578125"/>
    <col min="1700" max="1700" customWidth="1" width="11.42578125"/>
    <col min="1701" max="1701" customWidth="1" width="11.42578125"/>
    <col min="1702" max="1702" customWidth="1" width="11.42578125"/>
    <col min="1703" max="1703" customWidth="1" width="11.42578125"/>
    <col min="1704" max="1704" customWidth="1" width="11.42578125"/>
    <col min="1705" max="1705" customWidth="1" width="11.42578125"/>
    <col min="1706" max="1706" customWidth="1" width="11.42578125"/>
    <col min="1707" max="1707" customWidth="1" width="11.42578125"/>
    <col min="1708" max="1708" customWidth="1" width="11.42578125"/>
    <col min="1709" max="1709" customWidth="1" width="11.42578125"/>
    <col min="1710" max="1710" customWidth="1" width="11.42578125"/>
    <col min="1711" max="1711" customWidth="1" width="11.42578125"/>
    <col min="1712" max="1712" customWidth="1" width="11.42578125"/>
    <col min="1713" max="1713" customWidth="1" width="11.42578125"/>
    <col min="1714" max="1714" customWidth="1" width="11.42578125"/>
    <col min="1715" max="1715" customWidth="1" width="11.42578125"/>
    <col min="1716" max="1716" customWidth="1" width="11.42578125"/>
    <col min="1717" max="1717" customWidth="1" width="11.42578125"/>
    <col min="1718" max="1718" customWidth="1" width="11.42578125"/>
    <col min="1719" max="1719" customWidth="1" width="11.42578125"/>
    <col min="1720" max="1720" customWidth="1" width="11.42578125"/>
    <col min="1721" max="1721" customWidth="1" width="11.42578125"/>
    <col min="1722" max="1722" customWidth="1" width="11.42578125"/>
    <col min="1723" max="1723" customWidth="1" width="11.42578125"/>
    <col min="1724" max="1724" customWidth="1" width="11.42578125"/>
    <col min="1725" max="1725" customWidth="1" width="11.42578125"/>
    <col min="1726" max="1726" customWidth="1" width="11.42578125"/>
    <col min="1727" max="1727" customWidth="1" width="11.42578125"/>
    <col min="1728" max="1728" customWidth="1" width="11.42578125"/>
    <col min="1729" max="1729" customWidth="1" width="11.42578125"/>
    <col min="1730" max="1730" customWidth="1" width="11.42578125"/>
    <col min="1731" max="1731" customWidth="1" width="11.42578125"/>
    <col min="1732" max="1732" customWidth="1" width="11.42578125"/>
    <col min="1733" max="1733" customWidth="1" width="11.42578125"/>
    <col min="1734" max="1734" customWidth="1" width="11.42578125"/>
    <col min="1735" max="1735" customWidth="1" width="11.42578125"/>
    <col min="1736" max="1736" customWidth="1" width="11.42578125"/>
    <col min="1737" max="1737" customWidth="1" width="11.42578125"/>
    <col min="1738" max="1738" customWidth="1" width="11.42578125"/>
    <col min="1739" max="1739" customWidth="1" width="11.42578125"/>
    <col min="1740" max="1740" customWidth="1" width="11.42578125"/>
    <col min="1741" max="1741" customWidth="1" width="11.42578125"/>
    <col min="1742" max="1742" customWidth="1" width="11.42578125"/>
    <col min="1743" max="1743" customWidth="1" width="11.42578125"/>
    <col min="1744" max="1744" customWidth="1" width="11.42578125"/>
    <col min="1745" max="1745" customWidth="1" width="11.42578125"/>
    <col min="1746" max="1746" customWidth="1" width="11.42578125"/>
    <col min="1747" max="1747" customWidth="1" width="11.42578125"/>
    <col min="1748" max="1748" customWidth="1" width="11.42578125"/>
    <col min="1749" max="1749" customWidth="1" width="11.42578125"/>
    <col min="1750" max="1750" customWidth="1" width="11.42578125"/>
    <col min="1751" max="1751" customWidth="1" width="11.42578125"/>
    <col min="1752" max="1752" customWidth="1" width="11.42578125"/>
    <col min="1753" max="1753" customWidth="1" width="11.42578125"/>
    <col min="1754" max="1754" customWidth="1" width="11.42578125"/>
    <col min="1755" max="1755" customWidth="1" width="11.42578125"/>
    <col min="1756" max="1756" customWidth="1" width="11.42578125"/>
    <col min="1757" max="1757" customWidth="1" width="11.42578125"/>
    <col min="1758" max="1758" customWidth="1" width="11.42578125"/>
    <col min="1759" max="1759" customWidth="1" width="11.42578125"/>
    <col min="1760" max="1760" customWidth="1" width="11.42578125"/>
    <col min="1761" max="1761" customWidth="1" width="11.42578125"/>
    <col min="1762" max="1762" customWidth="1" width="11.42578125"/>
    <col min="1763" max="1763" customWidth="1" width="11.42578125"/>
    <col min="1764" max="1764" customWidth="1" width="11.42578125"/>
    <col min="1765" max="1765" customWidth="1" width="11.42578125"/>
    <col min="1766" max="1766" customWidth="1" width="11.42578125"/>
    <col min="1767" max="1767" customWidth="1" width="11.42578125"/>
    <col min="1768" max="1768" customWidth="1" width="11.42578125"/>
    <col min="1769" max="1769" customWidth="1" width="11.42578125"/>
    <col min="1770" max="1770" customWidth="1" width="11.42578125"/>
    <col min="1771" max="1771" customWidth="1" width="11.42578125"/>
    <col min="1772" max="1772" customWidth="1" width="11.42578125"/>
    <col min="1773" max="1773" customWidth="1" width="11.42578125"/>
    <col min="1774" max="1774" customWidth="1" width="11.42578125"/>
    <col min="1775" max="1775" customWidth="1" width="11.42578125"/>
    <col min="1776" max="1776" customWidth="1" width="11.42578125"/>
    <col min="1777" max="1777" customWidth="1" width="11.42578125"/>
    <col min="1778" max="1778" customWidth="1" width="11.42578125"/>
    <col min="1779" max="1779" customWidth="1" width="11.42578125"/>
    <col min="1780" max="1780" customWidth="1" width="11.42578125"/>
    <col min="1781" max="1781" customWidth="1" width="11.42578125"/>
    <col min="1782" max="1782" customWidth="1" width="11.42578125"/>
    <col min="1783" max="1783" customWidth="1" width="11.42578125"/>
    <col min="1784" max="1784" customWidth="1" width="11.42578125"/>
    <col min="1785" max="1785" customWidth="1" width="11.42578125"/>
    <col min="1786" max="1786" customWidth="1" width="11.42578125"/>
    <col min="1787" max="1787" customWidth="1" width="11.42578125"/>
    <col min="1788" max="1788" customWidth="1" width="11.42578125"/>
    <col min="1789" max="1789" customWidth="1" width="11.42578125"/>
    <col min="1790" max="1790" customWidth="1" width="11.42578125"/>
    <col min="1791" max="1791" customWidth="1" width="11.42578125"/>
    <col min="1792" max="1792" customWidth="1" width="11.42578125"/>
    <col min="1793" max="1793" customWidth="1" width="11.42578125"/>
    <col min="1794" max="1794" customWidth="1" width="11.42578125"/>
    <col min="1795" max="1795" customWidth="1" width="11.42578125"/>
    <col min="1796" max="1796" customWidth="1" width="11.42578125"/>
    <col min="1797" max="1797" customWidth="1" width="11.42578125"/>
    <col min="1798" max="1798" customWidth="1" width="11.42578125"/>
    <col min="1799" max="1799" customWidth="1" width="11.42578125"/>
    <col min="1800" max="1800" customWidth="1" width="11.42578125"/>
    <col min="1801" max="1801" customWidth="1" width="11.42578125"/>
    <col min="1802" max="1802" customWidth="1" width="11.42578125"/>
    <col min="1803" max="1803" customWidth="1" width="11.42578125"/>
    <col min="1804" max="1804" customWidth="1" width="11.42578125"/>
    <col min="1805" max="1805" customWidth="1" width="11.42578125"/>
    <col min="1806" max="1806" customWidth="1" width="11.42578125"/>
    <col min="1807" max="1807" customWidth="1" width="11.42578125"/>
    <col min="1808" max="1808" customWidth="1" width="11.42578125"/>
    <col min="1809" max="1809" customWidth="1" width="11.42578125"/>
    <col min="1810" max="1810" customWidth="1" width="11.42578125"/>
    <col min="1811" max="1811" customWidth="1" width="11.42578125"/>
    <col min="1812" max="1812" customWidth="1" width="11.42578125"/>
    <col min="1813" max="1813" customWidth="1" width="11.42578125"/>
    <col min="1814" max="1814" customWidth="1" width="11.42578125"/>
    <col min="1815" max="1815" customWidth="1" width="11.42578125"/>
    <col min="1816" max="1816" customWidth="1" width="11.42578125"/>
    <col min="1817" max="1817" customWidth="1" width="11.42578125"/>
    <col min="1818" max="1818" customWidth="1" width="11.42578125"/>
    <col min="1819" max="1819" customWidth="1" width="11.42578125"/>
    <col min="1820" max="1820" customWidth="1" width="11.42578125"/>
    <col min="1821" max="1821" customWidth="1" width="11.42578125"/>
    <col min="1822" max="1822" customWidth="1" width="11.42578125"/>
    <col min="1823" max="1823" customWidth="1" width="11.42578125"/>
    <col min="1824" max="1824" customWidth="1" width="11.42578125"/>
    <col min="1825" max="1825" customWidth="1" width="11.42578125"/>
    <col min="1826" max="1826" customWidth="1" width="11.42578125"/>
    <col min="1827" max="1827" customWidth="1" width="11.42578125"/>
    <col min="1828" max="1828" customWidth="1" width="11.42578125"/>
    <col min="1829" max="1829" customWidth="1" width="11.42578125"/>
    <col min="1830" max="1830" customWidth="1" width="11.42578125"/>
    <col min="1831" max="1831" customWidth="1" width="11.42578125"/>
    <col min="1832" max="1832" customWidth="1" width="11.42578125"/>
    <col min="1833" max="1833" customWidth="1" width="11.42578125"/>
    <col min="1834" max="1834" customWidth="1" width="11.42578125"/>
    <col min="1835" max="1835" customWidth="1" width="11.42578125"/>
    <col min="1836" max="1836" customWidth="1" width="11.42578125"/>
    <col min="1837" max="1837" customWidth="1" width="11.42578125"/>
    <col min="1838" max="1838" customWidth="1" width="11.42578125"/>
    <col min="1839" max="1839" customWidth="1" width="11.42578125"/>
    <col min="1840" max="1840" customWidth="1" width="11.42578125"/>
    <col min="1841" max="1841" customWidth="1" width="11.42578125"/>
    <col min="1842" max="1842" customWidth="1" width="11.42578125"/>
    <col min="1843" max="1843" customWidth="1" width="11.42578125"/>
    <col min="1844" max="1844" customWidth="1" width="11.42578125"/>
    <col min="1845" max="1845" customWidth="1" width="11.42578125"/>
    <col min="1846" max="1846" customWidth="1" width="11.42578125"/>
    <col min="1847" max="1847" customWidth="1" width="11.42578125"/>
    <col min="1848" max="1848" customWidth="1" width="11.42578125"/>
    <col min="1849" max="1849" customWidth="1" width="11.42578125"/>
    <col min="1850" max="1850" customWidth="1" width="11.42578125"/>
    <col min="1851" max="1851" customWidth="1" width="11.42578125"/>
    <col min="1852" max="1852" customWidth="1" width="11.42578125"/>
    <col min="1853" max="1853" customWidth="1" width="11.42578125"/>
    <col min="1854" max="1854" customWidth="1" width="11.42578125"/>
    <col min="1855" max="1855" customWidth="1" width="11.42578125"/>
    <col min="1856" max="1856" customWidth="1" width="11.42578125"/>
    <col min="1857" max="1857" customWidth="1" width="11.42578125"/>
    <col min="1858" max="1858" customWidth="1" width="11.42578125"/>
    <col min="1859" max="1859" customWidth="1" width="11.42578125"/>
    <col min="1860" max="1860" customWidth="1" width="11.42578125"/>
    <col min="1861" max="1861" customWidth="1" width="11.42578125"/>
    <col min="1862" max="1862" customWidth="1" width="11.42578125"/>
    <col min="1863" max="1863" customWidth="1" width="11.42578125"/>
    <col min="1864" max="1864" customWidth="1" width="11.42578125"/>
    <col min="1865" max="1865" customWidth="1" width="11.42578125"/>
    <col min="1866" max="1866" customWidth="1" width="11.42578125"/>
    <col min="1867" max="1867" customWidth="1" width="11.42578125"/>
    <col min="1868" max="1868" customWidth="1" width="11.42578125"/>
    <col min="1869" max="1869" customWidth="1" width="11.42578125"/>
    <col min="1870" max="1870" customWidth="1" width="11.42578125"/>
    <col min="1871" max="1871" customWidth="1" width="11.42578125"/>
    <col min="1872" max="1872" customWidth="1" width="11.42578125"/>
    <col min="1873" max="1873" customWidth="1" width="11.42578125"/>
    <col min="1874" max="1874" customWidth="1" width="11.42578125"/>
    <col min="1875" max="1875" customWidth="1" width="11.42578125"/>
    <col min="1876" max="1876" customWidth="1" width="11.42578125"/>
    <col min="1877" max="1877" customWidth="1" width="11.42578125"/>
    <col min="1878" max="1878" customWidth="1" width="11.42578125"/>
    <col min="1879" max="1879" customWidth="1" width="11.42578125"/>
    <col min="1880" max="1880" customWidth="1" width="11.42578125"/>
    <col min="1881" max="1881" customWidth="1" width="11.42578125"/>
    <col min="1882" max="1882" customWidth="1" width="11.42578125"/>
    <col min="1883" max="1883" customWidth="1" width="11.42578125"/>
    <col min="1884" max="1884" customWidth="1" width="11.42578125"/>
    <col min="1885" max="1885" customWidth="1" width="11.42578125"/>
    <col min="1886" max="1886" customWidth="1" width="11.42578125"/>
    <col min="1887" max="1887" customWidth="1" width="11.42578125"/>
    <col min="1888" max="1888" customWidth="1" width="11.42578125"/>
    <col min="1889" max="1889" customWidth="1" width="11.42578125"/>
    <col min="1890" max="1890" customWidth="1" width="11.42578125"/>
    <col min="1891" max="1891" customWidth="1" width="11.42578125"/>
    <col min="1892" max="1892" customWidth="1" width="11.42578125"/>
    <col min="1893" max="1893" customWidth="1" width="11.42578125"/>
    <col min="1894" max="1894" customWidth="1" width="11.42578125"/>
    <col min="1895" max="1895" customWidth="1" width="11.42578125"/>
    <col min="1896" max="1896" customWidth="1" width="11.42578125"/>
    <col min="1897" max="1897" customWidth="1" width="11.42578125"/>
    <col min="1898" max="1898" customWidth="1" width="11.42578125"/>
    <col min="1899" max="1899" customWidth="1" width="11.42578125"/>
    <col min="1900" max="1900" customWidth="1" width="11.42578125"/>
    <col min="1901" max="1901" customWidth="1" width="11.42578125"/>
    <col min="1902" max="1902" customWidth="1" width="11.42578125"/>
    <col min="1903" max="1903" customWidth="1" width="11.42578125"/>
    <col min="1904" max="1904" customWidth="1" width="11.42578125"/>
    <col min="1905" max="1905" customWidth="1" width="11.42578125"/>
    <col min="1906" max="1906" customWidth="1" width="11.42578125"/>
    <col min="1907" max="1907" customWidth="1" width="11.42578125"/>
    <col min="1908" max="1908" customWidth="1" width="11.42578125"/>
    <col min="1909" max="1909" customWidth="1" width="11.42578125"/>
    <col min="1910" max="1910" customWidth="1" width="11.42578125"/>
    <col min="1911" max="1911" customWidth="1" width="11.42578125"/>
    <col min="1912" max="1912" customWidth="1" width="11.42578125"/>
    <col min="1913" max="1913" customWidth="1" width="11.42578125"/>
    <col min="1914" max="1914" customWidth="1" width="11.42578125"/>
    <col min="1915" max="1915" customWidth="1" width="11.42578125"/>
    <col min="1916" max="1916" customWidth="1" width="11.42578125"/>
    <col min="1917" max="1917" customWidth="1" width="11.42578125"/>
    <col min="1918" max="1918" customWidth="1" width="11.42578125"/>
    <col min="1919" max="1919" customWidth="1" width="11.42578125"/>
    <col min="1920" max="1920" customWidth="1" width="11.42578125"/>
    <col min="1921" max="1921" customWidth="1" width="11.42578125"/>
    <col min="1922" max="1922" customWidth="1" width="11.42578125"/>
    <col min="1923" max="1923" customWidth="1" width="11.42578125"/>
    <col min="1924" max="1924" customWidth="1" width="11.42578125"/>
    <col min="1925" max="1925" customWidth="1" width="11.42578125"/>
    <col min="1926" max="1926" customWidth="1" width="11.42578125"/>
    <col min="1927" max="1927" customWidth="1" width="11.42578125"/>
    <col min="1928" max="1928" customWidth="1" width="11.42578125"/>
    <col min="1929" max="1929" customWidth="1" width="11.42578125"/>
    <col min="1930" max="1930" customWidth="1" width="11.42578125"/>
    <col min="1931" max="1931" customWidth="1" width="11.42578125"/>
    <col min="1932" max="1932" customWidth="1" width="11.42578125"/>
    <col min="1933" max="1933" customWidth="1" width="11.42578125"/>
    <col min="1934" max="1934" customWidth="1" width="11.42578125"/>
    <col min="1935" max="1935" customWidth="1" width="11.42578125"/>
    <col min="1936" max="1936" customWidth="1" width="11.42578125"/>
    <col min="1937" max="1937" customWidth="1" width="11.42578125"/>
    <col min="1938" max="1938" customWidth="1" width="11.42578125"/>
    <col min="1939" max="1939" customWidth="1" width="11.42578125"/>
    <col min="1940" max="1940" customWidth="1" width="11.42578125"/>
    <col min="1941" max="1941" customWidth="1" width="11.42578125"/>
    <col min="1942" max="1942" customWidth="1" width="11.42578125"/>
    <col min="1943" max="1943" customWidth="1" width="11.42578125"/>
    <col min="1944" max="1944" customWidth="1" width="11.42578125"/>
    <col min="1945" max="1945" customWidth="1" width="11.42578125"/>
    <col min="1946" max="1946" customWidth="1" width="11.42578125"/>
    <col min="1947" max="1947" customWidth="1" width="11.42578125"/>
    <col min="1948" max="1948" customWidth="1" width="11.42578125"/>
    <col min="1949" max="1949" customWidth="1" width="11.42578125"/>
    <col min="1950" max="1950" customWidth="1" width="11.42578125"/>
    <col min="1951" max="1951" customWidth="1" width="11.42578125"/>
    <col min="1952" max="1952" customWidth="1" width="11.42578125"/>
    <col min="1953" max="1953" customWidth="1" width="11.42578125"/>
    <col min="1954" max="1954" customWidth="1" width="11.42578125"/>
    <col min="1955" max="1955" customWidth="1" width="11.42578125"/>
    <col min="1956" max="1956" customWidth="1" width="11.42578125"/>
    <col min="1957" max="1957" customWidth="1" width="11.42578125"/>
    <col min="1958" max="1958" customWidth="1" width="11.42578125"/>
    <col min="1959" max="1959" customWidth="1" width="11.42578125"/>
    <col min="1960" max="1960" customWidth="1" width="11.42578125"/>
    <col min="1961" max="1961" customWidth="1" width="11.42578125"/>
    <col min="1962" max="1962" customWidth="1" width="11.42578125"/>
    <col min="1963" max="1963" customWidth="1" width="11.42578125"/>
    <col min="1964" max="1964" customWidth="1" width="11.42578125"/>
    <col min="1965" max="1965" customWidth="1" width="11.42578125"/>
    <col min="1966" max="1966" customWidth="1" width="11.42578125"/>
    <col min="1967" max="1967" customWidth="1" width="11.42578125"/>
    <col min="1968" max="1968" customWidth="1" width="11.42578125"/>
    <col min="1969" max="1969" customWidth="1" width="11.42578125"/>
    <col min="1970" max="1970" customWidth="1" width="11.42578125"/>
    <col min="1971" max="1971" customWidth="1" width="11.42578125"/>
    <col min="1972" max="1972" customWidth="1" width="11.42578125"/>
    <col min="1973" max="1973" customWidth="1" width="11.42578125"/>
    <col min="1974" max="1974" customWidth="1" width="11.42578125"/>
    <col min="1975" max="1975" customWidth="1" width="11.42578125"/>
    <col min="1976" max="1976" customWidth="1" width="11.42578125"/>
    <col min="1977" max="1977" customWidth="1" width="11.42578125"/>
    <col min="1978" max="1978" customWidth="1" width="11.42578125"/>
    <col min="1979" max="1979" customWidth="1" width="11.42578125"/>
    <col min="1980" max="1980" customWidth="1" width="11.42578125"/>
    <col min="1981" max="1981" customWidth="1" width="11.42578125"/>
    <col min="1982" max="1982" customWidth="1" width="11.42578125"/>
    <col min="1983" max="1983" customWidth="1" width="11.42578125"/>
    <col min="1984" max="1984" customWidth="1" width="11.42578125"/>
    <col min="1985" max="1985" customWidth="1" width="11.42578125"/>
    <col min="1986" max="1986" customWidth="1" width="11.42578125"/>
    <col min="1987" max="1987" customWidth="1" width="11.42578125"/>
    <col min="1988" max="1988" customWidth="1" width="11.42578125"/>
    <col min="1989" max="1989" customWidth="1" width="11.42578125"/>
    <col min="1990" max="1990" customWidth="1" width="11.42578125"/>
    <col min="1991" max="1991" customWidth="1" width="11.42578125"/>
    <col min="1992" max="1992" customWidth="1" width="11.42578125"/>
    <col min="1993" max="1993" customWidth="1" width="11.42578125"/>
    <col min="1994" max="1994" customWidth="1" width="11.42578125"/>
    <col min="1995" max="1995" customWidth="1" width="11.42578125"/>
    <col min="1996" max="1996" customWidth="1" width="11.42578125"/>
    <col min="1997" max="1997" customWidth="1" width="11.42578125"/>
    <col min="1998" max="1998" customWidth="1" width="11.42578125"/>
    <col min="1999" max="1999" customWidth="1" width="11.42578125"/>
    <col min="2000" max="2000" customWidth="1" width="11.42578125"/>
    <col min="2001" max="2001" customWidth="1" width="11.42578125"/>
    <col min="2002" max="2002" customWidth="1" width="11.42578125"/>
    <col min="2003" max="2003" customWidth="1" width="11.42578125"/>
    <col min="2004" max="2004" customWidth="1" width="11.42578125"/>
    <col min="2005" max="2005" customWidth="1" width="11.42578125"/>
    <col min="2006" max="2006" customWidth="1" width="11.42578125"/>
    <col min="2007" max="2007" customWidth="1" width="11.42578125"/>
    <col min="2008" max="2008" customWidth="1" width="11.42578125"/>
    <col min="2009" max="2009" customWidth="1" width="11.42578125"/>
    <col min="2010" max="2010" customWidth="1" width="11.42578125"/>
    <col min="2011" max="2011" customWidth="1" width="11.42578125"/>
    <col min="2012" max="2012" customWidth="1" width="11.42578125"/>
    <col min="2013" max="2013" customWidth="1" width="11.42578125"/>
    <col min="2014" max="2014" customWidth="1" width="11.42578125"/>
    <col min="2015" max="2015" customWidth="1" width="11.42578125"/>
    <col min="2016" max="2016" customWidth="1" width="11.42578125"/>
    <col min="2017" max="2017" customWidth="1" width="11.42578125"/>
    <col min="2018" max="2018" customWidth="1" width="11.42578125"/>
    <col min="2019" max="2019" customWidth="1" width="11.42578125"/>
    <col min="2020" max="2020" customWidth="1" width="11.42578125"/>
    <col min="2021" max="2021" customWidth="1" width="11.42578125"/>
    <col min="2022" max="2022" customWidth="1" width="11.42578125"/>
    <col min="2023" max="2023" customWidth="1" width="11.42578125"/>
    <col min="2024" max="2024" customWidth="1" width="11.42578125"/>
    <col min="2025" max="2025" customWidth="1" width="11.42578125"/>
    <col min="2026" max="2026" customWidth="1" width="11.42578125"/>
    <col min="2027" max="2027" customWidth="1" width="11.42578125"/>
    <col min="2028" max="2028" customWidth="1" width="11.42578125"/>
    <col min="2029" max="2029" customWidth="1" width="11.42578125"/>
    <col min="2030" max="2030" customWidth="1" width="11.42578125"/>
    <col min="2031" max="2031" customWidth="1" width="11.42578125"/>
    <col min="2032" max="2032" customWidth="1" width="11.42578125"/>
    <col min="2033" max="2033" customWidth="1" width="11.42578125"/>
    <col min="2034" max="2034" customWidth="1" width="11.42578125"/>
    <col min="2035" max="2035" customWidth="1" width="11.42578125"/>
    <col min="2036" max="2036" customWidth="1" width="11.42578125"/>
    <col min="2037" max="2037" customWidth="1" width="11.42578125"/>
    <col min="2038" max="2038" customWidth="1" width="11.42578125"/>
    <col min="2039" max="2039" customWidth="1" width="11.42578125"/>
    <col min="2040" max="2040" customWidth="1" width="11.42578125"/>
    <col min="2041" max="2041" customWidth="1" width="11.42578125"/>
    <col min="2042" max="2042" customWidth="1" width="11.42578125"/>
    <col min="2043" max="2043" customWidth="1" width="11.42578125"/>
    <col min="2044" max="2044" customWidth="1" width="11.42578125"/>
    <col min="2045" max="2045" customWidth="1" width="11.42578125"/>
    <col min="2046" max="2046" customWidth="1" width="11.42578125"/>
    <col min="2047" max="2047" customWidth="1" width="11.42578125"/>
    <col min="2048" max="2048" customWidth="1" width="11.42578125"/>
    <col min="2049" max="2049" customWidth="1" width="11.42578125"/>
    <col min="2050" max="2050" customWidth="1" width="11.42578125"/>
    <col min="2051" max="2051" customWidth="1" width="11.42578125"/>
    <col min="2052" max="2052" customWidth="1" width="11.42578125"/>
    <col min="2053" max="2053" customWidth="1" width="11.42578125"/>
    <col min="2054" max="2054" customWidth="1" width="11.42578125"/>
    <col min="2055" max="2055" customWidth="1" width="11.42578125"/>
    <col min="2056" max="2056" customWidth="1" width="11.42578125"/>
    <col min="2057" max="2057" customWidth="1" width="11.42578125"/>
    <col min="2058" max="2058" customWidth="1" width="11.42578125"/>
    <col min="2059" max="2059" customWidth="1" width="11.42578125"/>
    <col min="2060" max="2060" customWidth="1" width="11.42578125"/>
    <col min="2061" max="2061" customWidth="1" width="11.42578125"/>
    <col min="2062" max="2062" customWidth="1" width="11.42578125"/>
    <col min="2063" max="2063" customWidth="1" width="11.42578125"/>
    <col min="2064" max="2064" customWidth="1" width="11.42578125"/>
    <col min="2065" max="2065" customWidth="1" width="11.42578125"/>
    <col min="2066" max="2066" customWidth="1" width="11.42578125"/>
    <col min="2067" max="2067" customWidth="1" width="11.42578125"/>
    <col min="2068" max="2068" customWidth="1" width="11.42578125"/>
    <col min="2069" max="2069" customWidth="1" width="11.42578125"/>
    <col min="2070" max="2070" customWidth="1" width="11.42578125"/>
    <col min="2071" max="2071" customWidth="1" width="11.42578125"/>
    <col min="2072" max="2072" customWidth="1" width="11.42578125"/>
    <col min="2073" max="2073" customWidth="1" width="11.42578125"/>
    <col min="2074" max="2074" customWidth="1" width="11.42578125"/>
    <col min="2075" max="2075" customWidth="1" width="11.42578125"/>
    <col min="2076" max="2076" customWidth="1" width="11.42578125"/>
    <col min="2077" max="2077" customWidth="1" width="11.42578125"/>
    <col min="2078" max="2078" customWidth="1" width="11.42578125"/>
    <col min="2079" max="2079" customWidth="1" width="11.42578125"/>
    <col min="2080" max="2080" customWidth="1" width="11.42578125"/>
    <col min="2081" max="2081" customWidth="1" width="11.42578125"/>
    <col min="2082" max="2082" customWidth="1" width="11.42578125"/>
    <col min="2083" max="2083" customWidth="1" width="11.42578125"/>
    <col min="2084" max="2084" customWidth="1" width="11.42578125"/>
    <col min="2085" max="2085" customWidth="1" width="11.42578125"/>
    <col min="2086" max="2086" customWidth="1" width="11.42578125"/>
    <col min="2087" max="2087" customWidth="1" width="11.42578125"/>
    <col min="2088" max="2088" customWidth="1" width="11.42578125"/>
    <col min="2089" max="2089" customWidth="1" width="11.42578125"/>
    <col min="2090" max="2090" customWidth="1" width="11.42578125"/>
    <col min="2091" max="2091" customWidth="1" width="11.42578125"/>
    <col min="2092" max="2092" customWidth="1" width="11.42578125"/>
    <col min="2093" max="2093" customWidth="1" width="11.42578125"/>
    <col min="2094" max="2094" customWidth="1" width="11.42578125"/>
    <col min="2095" max="2095" customWidth="1" width="11.42578125"/>
    <col min="2096" max="2096" customWidth="1" width="11.42578125"/>
    <col min="2097" max="2097" customWidth="1" width="11.42578125"/>
    <col min="2098" max="2098" customWidth="1" width="11.42578125"/>
    <col min="2099" max="2099" customWidth="1" width="11.42578125"/>
    <col min="2100" max="2100" customWidth="1" width="11.42578125"/>
    <col min="2101" max="2101" customWidth="1" width="11.42578125"/>
    <col min="2102" max="2102" customWidth="1" width="11.42578125"/>
    <col min="2103" max="2103" customWidth="1" width="11.42578125"/>
    <col min="2104" max="2104" customWidth="1" width="11.42578125"/>
    <col min="2105" max="2105" customWidth="1" width="11.42578125"/>
    <col min="2106" max="2106" customWidth="1" width="11.42578125"/>
    <col min="2107" max="2107" customWidth="1" width="11.42578125"/>
    <col min="2108" max="2108" customWidth="1" width="11.42578125"/>
    <col min="2109" max="2109" customWidth="1" width="11.42578125"/>
    <col min="2110" max="2110" customWidth="1" width="11.42578125"/>
    <col min="2111" max="2111" customWidth="1" width="11.42578125"/>
    <col min="2112" max="2112" customWidth="1" width="11.42578125"/>
    <col min="2113" max="2113" customWidth="1" width="11.42578125"/>
    <col min="2114" max="2114" customWidth="1" width="11.42578125"/>
    <col min="2115" max="2115" customWidth="1" width="11.42578125"/>
    <col min="2116" max="2116" customWidth="1" width="11.42578125"/>
    <col min="2117" max="2117" customWidth="1" width="11.42578125"/>
    <col min="2118" max="2118" customWidth="1" width="11.42578125"/>
    <col min="2119" max="2119" customWidth="1" width="11.42578125"/>
    <col min="2120" max="2120" customWidth="1" width="11.42578125"/>
    <col min="2121" max="2121" customWidth="1" width="11.42578125"/>
    <col min="2122" max="2122" customWidth="1" width="11.42578125"/>
    <col min="2123" max="2123" customWidth="1" width="11.42578125"/>
    <col min="2124" max="2124" customWidth="1" width="11.42578125"/>
    <col min="2125" max="2125" customWidth="1" width="11.42578125"/>
    <col min="2126" max="2126" customWidth="1" width="11.42578125"/>
    <col min="2127" max="2127" customWidth="1" width="11.42578125"/>
    <col min="2128" max="2128" customWidth="1" width="11.42578125"/>
    <col min="2129" max="2129" customWidth="1" width="11.42578125"/>
    <col min="2130" max="2130" customWidth="1" width="11.42578125"/>
    <col min="2131" max="2131" customWidth="1" width="11.42578125"/>
    <col min="2132" max="2132" customWidth="1" width="11.42578125"/>
    <col min="2133" max="2133" customWidth="1" width="11.42578125"/>
    <col min="2134" max="2134" customWidth="1" width="11.42578125"/>
    <col min="2135" max="2135" customWidth="1" width="11.42578125"/>
    <col min="2136" max="2136" customWidth="1" width="11.42578125"/>
    <col min="2137" max="2137" customWidth="1" width="11.42578125"/>
    <col min="2138" max="2138" customWidth="1" width="11.42578125"/>
    <col min="2139" max="2139" customWidth="1" width="11.42578125"/>
    <col min="2140" max="2140" customWidth="1" width="11.42578125"/>
    <col min="2141" max="2141" customWidth="1" width="11.42578125"/>
    <col min="2142" max="2142" customWidth="1" width="11.42578125"/>
    <col min="2143" max="2143" customWidth="1" width="11.42578125"/>
    <col min="2144" max="2144" customWidth="1" width="11.42578125"/>
    <col min="2145" max="2145" customWidth="1" width="11.42578125"/>
    <col min="2146" max="2146" customWidth="1" width="11.42578125"/>
    <col min="2147" max="2147" customWidth="1" width="11.42578125"/>
    <col min="2148" max="2148" customWidth="1" width="11.42578125"/>
    <col min="2149" max="2149" customWidth="1" width="11.42578125"/>
    <col min="2150" max="2150" customWidth="1" width="11.42578125"/>
    <col min="2151" max="2151" customWidth="1" width="11.42578125"/>
    <col min="2152" max="2152" customWidth="1" width="11.42578125"/>
    <col min="2153" max="2153" customWidth="1" width="11.42578125"/>
    <col min="2154" max="2154" customWidth="1" width="11.42578125"/>
    <col min="2155" max="2155" customWidth="1" width="11.42578125"/>
    <col min="2156" max="2156" customWidth="1" width="11.42578125"/>
    <col min="2157" max="2157" customWidth="1" width="11.42578125"/>
    <col min="2158" max="2158" customWidth="1" width="11.42578125"/>
    <col min="2159" max="2159" customWidth="1" width="11.42578125"/>
    <col min="2160" max="2160" customWidth="1" width="11.42578125"/>
    <col min="2161" max="2161" customWidth="1" width="11.42578125"/>
    <col min="2162" max="2162" customWidth="1" width="11.42578125"/>
    <col min="2163" max="2163" customWidth="1" width="11.42578125"/>
    <col min="2164" max="2164" customWidth="1" width="11.42578125"/>
    <col min="2165" max="2165" customWidth="1" width="11.42578125"/>
    <col min="2166" max="2166" customWidth="1" width="11.42578125"/>
    <col min="2167" max="2167" customWidth="1" width="11.42578125"/>
    <col min="2168" max="2168" customWidth="1" width="11.42578125"/>
    <col min="2169" max="2169" customWidth="1" width="11.42578125"/>
    <col min="2170" max="2170" customWidth="1" width="11.42578125"/>
    <col min="2171" max="2171" customWidth="1" width="11.42578125"/>
    <col min="2172" max="2172" customWidth="1" width="11.42578125"/>
    <col min="2173" max="2173" customWidth="1" width="11.42578125"/>
    <col min="2174" max="2174" customWidth="1" width="11.42578125"/>
    <col min="2175" max="2175" customWidth="1" width="11.42578125"/>
    <col min="2176" max="2176" customWidth="1" width="11.42578125"/>
    <col min="2177" max="2177" customWidth="1" width="11.42578125"/>
    <col min="2178" max="2178" customWidth="1" width="11.42578125"/>
    <col min="2179" max="2179" customWidth="1" width="11.42578125"/>
    <col min="2180" max="2180" customWidth="1" width="11.42578125"/>
    <col min="2181" max="2181" customWidth="1" width="11.42578125"/>
    <col min="2182" max="2182" customWidth="1" width="11.42578125"/>
    <col min="2183" max="2183" customWidth="1" width="11.42578125"/>
    <col min="2184" max="2184" customWidth="1" width="11.42578125"/>
    <col min="2185" max="2185" customWidth="1" width="11.42578125"/>
    <col min="2186" max="2186" customWidth="1" width="11.42578125"/>
    <col min="2187" max="2187" customWidth="1" width="11.42578125"/>
    <col min="2188" max="2188" customWidth="1" width="11.42578125"/>
    <col min="2189" max="2189" customWidth="1" width="11.42578125"/>
    <col min="2190" max="2190" customWidth="1" width="11.42578125"/>
    <col min="2191" max="2191" customWidth="1" width="11.42578125"/>
    <col min="2192" max="2192" customWidth="1" width="11.42578125"/>
    <col min="2193" max="2193" customWidth="1" width="11.42578125"/>
    <col min="2194" max="2194" customWidth="1" width="11.42578125"/>
    <col min="2195" max="2195" customWidth="1" width="11.42578125"/>
    <col min="2196" max="2196" customWidth="1" width="11.42578125"/>
    <col min="2197" max="2197" customWidth="1" width="11.42578125"/>
    <col min="2198" max="2198" customWidth="1" width="11.42578125"/>
    <col min="2199" max="2199" customWidth="1" width="11.42578125"/>
    <col min="2200" max="2200" customWidth="1" width="11.42578125"/>
    <col min="2201" max="2201" customWidth="1" width="11.42578125"/>
    <col min="2202" max="2202" customWidth="1" width="11.42578125"/>
    <col min="2203" max="2203" customWidth="1" width="11.42578125"/>
    <col min="2204" max="2204" customWidth="1" width="11.42578125"/>
    <col min="2205" max="2205" customWidth="1" width="11.42578125"/>
    <col min="2206" max="2206" customWidth="1" width="11.42578125"/>
    <col min="2207" max="2207" customWidth="1" width="11.42578125"/>
    <col min="2208" max="2208" customWidth="1" width="11.42578125"/>
    <col min="2209" max="2209" customWidth="1" width="11.42578125"/>
    <col min="2210" max="2210" customWidth="1" width="11.42578125"/>
    <col min="2211" max="2211" customWidth="1" width="11.42578125"/>
    <col min="2212" max="2212" customWidth="1" width="11.42578125"/>
    <col min="2213" max="2213" customWidth="1" width="11.42578125"/>
    <col min="2214" max="2214" customWidth="1" width="11.42578125"/>
    <col min="2215" max="2215" customWidth="1" width="11.42578125"/>
    <col min="2216" max="2216" customWidth="1" width="11.42578125"/>
    <col min="2217" max="2217" customWidth="1" width="11.42578125"/>
    <col min="2218" max="2218" customWidth="1" width="11.42578125"/>
    <col min="2219" max="2219" customWidth="1" width="11.42578125"/>
    <col min="2220" max="2220" customWidth="1" width="11.42578125"/>
    <col min="2221" max="2221" customWidth="1" width="11.42578125"/>
    <col min="2222" max="2222" customWidth="1" width="11.42578125"/>
    <col min="2223" max="2223" customWidth="1" width="11.42578125"/>
    <col min="2224" max="2224" customWidth="1" width="11.42578125"/>
    <col min="2225" max="2225" customWidth="1" width="11.42578125"/>
    <col min="2226" max="2226" customWidth="1" width="11.42578125"/>
    <col min="2227" max="2227" customWidth="1" width="11.42578125"/>
    <col min="2228" max="2228" customWidth="1" width="11.42578125"/>
    <col min="2229" max="2229" customWidth="1" width="11.42578125"/>
    <col min="2230" max="2230" customWidth="1" width="11.42578125"/>
    <col min="2231" max="2231" customWidth="1" width="11.42578125"/>
    <col min="2232" max="2232" customWidth="1" width="11.42578125"/>
    <col min="2233" max="2233" customWidth="1" width="11.42578125"/>
    <col min="2234" max="2234" customWidth="1" width="11.42578125"/>
    <col min="2235" max="2235" customWidth="1" width="11.42578125"/>
    <col min="2236" max="2236" customWidth="1" width="11.42578125"/>
    <col min="2237" max="2237" customWidth="1" width="11.42578125"/>
    <col min="2238" max="2238" customWidth="1" width="11.42578125"/>
    <col min="2239" max="2239" customWidth="1" width="11.42578125"/>
    <col min="2240" max="2240" customWidth="1" width="11.42578125"/>
    <col min="2241" max="2241" customWidth="1" width="11.42578125"/>
    <col min="2242" max="2242" customWidth="1" width="11.42578125"/>
    <col min="2243" max="2243" customWidth="1" width="11.42578125"/>
    <col min="2244" max="2244" customWidth="1" width="11.42578125"/>
    <col min="2245" max="2245" customWidth="1" width="11.42578125"/>
    <col min="2246" max="2246" customWidth="1" width="11.42578125"/>
    <col min="2247" max="2247" customWidth="1" width="11.42578125"/>
    <col min="2248" max="2248" customWidth="1" width="11.42578125"/>
    <col min="2249" max="2249" customWidth="1" width="11.42578125"/>
    <col min="2250" max="2250" customWidth="1" width="11.42578125"/>
    <col min="2251" max="2251" customWidth="1" width="11.42578125"/>
    <col min="2252" max="2252" customWidth="1" width="11.42578125"/>
    <col min="2253" max="2253" customWidth="1" width="11.42578125"/>
    <col min="2254" max="2254" customWidth="1" width="11.42578125"/>
    <col min="2255" max="2255" customWidth="1" width="11.42578125"/>
    <col min="2256" max="2256" customWidth="1" width="11.42578125"/>
    <col min="2257" max="2257" customWidth="1" width="11.42578125"/>
    <col min="2258" max="2258" customWidth="1" width="11.42578125"/>
    <col min="2259" max="2259" customWidth="1" width="11.42578125"/>
    <col min="2260" max="2260" customWidth="1" width="11.42578125"/>
    <col min="2261" max="2261" customWidth="1" width="11.42578125"/>
    <col min="2262" max="2262" customWidth="1" width="11.42578125"/>
    <col min="2263" max="2263" customWidth="1" width="11.42578125"/>
    <col min="2264" max="2264" customWidth="1" width="11.42578125"/>
    <col min="2265" max="2265" customWidth="1" width="11.42578125"/>
    <col min="2266" max="2266" customWidth="1" width="11.42578125"/>
    <col min="2267" max="2267" customWidth="1" width="11.42578125"/>
    <col min="2268" max="2268" customWidth="1" width="11.42578125"/>
    <col min="2269" max="2269" customWidth="1" width="11.42578125"/>
    <col min="2270" max="2270" customWidth="1" width="11.42578125"/>
    <col min="2271" max="2271" customWidth="1" width="11.42578125"/>
    <col min="2272" max="2272" customWidth="1" width="11.42578125"/>
    <col min="2273" max="2273" customWidth="1" width="11.42578125"/>
    <col min="2274" max="2274" customWidth="1" width="11.42578125"/>
    <col min="2275" max="2275" customWidth="1" width="11.42578125"/>
    <col min="2276" max="2276" customWidth="1" width="11.42578125"/>
    <col min="2277" max="2277" customWidth="1" width="11.42578125"/>
    <col min="2278" max="2278" customWidth="1" width="11.42578125"/>
    <col min="2279" max="2279" customWidth="1" width="11.42578125"/>
    <col min="2280" max="2280" customWidth="1" width="11.42578125"/>
    <col min="2281" max="2281" customWidth="1" width="11.42578125"/>
    <col min="2282" max="2282" customWidth="1" width="11.42578125"/>
    <col min="2283" max="2283" customWidth="1" width="11.42578125"/>
    <col min="2284" max="2284" customWidth="1" width="11.42578125"/>
    <col min="2285" max="2285" customWidth="1" width="11.42578125"/>
    <col min="2286" max="2286" customWidth="1" width="11.42578125"/>
    <col min="2287" max="2287" customWidth="1" width="11.42578125"/>
    <col min="2288" max="2288" customWidth="1" width="11.42578125"/>
    <col min="2289" max="2289" customWidth="1" width="11.42578125"/>
    <col min="2290" max="2290" customWidth="1" width="11.42578125"/>
    <col min="2291" max="2291" customWidth="1" width="11.42578125"/>
    <col min="2292" max="2292" customWidth="1" width="11.42578125"/>
    <col min="2293" max="2293" customWidth="1" width="11.42578125"/>
    <col min="2294" max="2294" customWidth="1" width="11.42578125"/>
    <col min="2295" max="2295" customWidth="1" width="11.42578125"/>
    <col min="2296" max="2296" customWidth="1" width="11.42578125"/>
    <col min="2297" max="2297" customWidth="1" width="11.42578125"/>
    <col min="2298" max="2298" customWidth="1" width="11.42578125"/>
    <col min="2299" max="2299" customWidth="1" width="11.42578125"/>
    <col min="2300" max="2300" customWidth="1" width="11.42578125"/>
    <col min="2301" max="2301" customWidth="1" width="11.42578125"/>
    <col min="2302" max="2302" customWidth="1" width="11.42578125"/>
    <col min="2303" max="2303" customWidth="1" width="11.42578125"/>
    <col min="2304" max="2304" customWidth="1" width="11.42578125"/>
    <col min="2305" max="2305" customWidth="1" width="11.42578125"/>
    <col min="2306" max="2306" customWidth="1" width="11.42578125"/>
    <col min="2307" max="2307" customWidth="1" width="11.42578125"/>
    <col min="2308" max="2308" customWidth="1" width="11.42578125"/>
    <col min="2309" max="2309" customWidth="1" width="11.42578125"/>
    <col min="2310" max="2310" customWidth="1" width="11.42578125"/>
    <col min="2311" max="2311" customWidth="1" width="11.42578125"/>
    <col min="2312" max="2312" customWidth="1" width="11.42578125"/>
    <col min="2313" max="2313" customWidth="1" width="11.42578125"/>
    <col min="2314" max="2314" customWidth="1" width="11.42578125"/>
    <col min="2315" max="2315" customWidth="1" width="11.42578125"/>
    <col min="2316" max="2316" customWidth="1" width="11.42578125"/>
    <col min="2317" max="2317" customWidth="1" width="11.42578125"/>
    <col min="2318" max="2318" customWidth="1" width="11.42578125"/>
    <col min="2319" max="2319" customWidth="1" width="11.42578125"/>
    <col min="2320" max="2320" customWidth="1" width="11.42578125"/>
    <col min="2321" max="2321" customWidth="1" width="11.42578125"/>
    <col min="2322" max="2322" customWidth="1" width="11.42578125"/>
    <col min="2323" max="2323" customWidth="1" width="11.42578125"/>
    <col min="2324" max="2324" customWidth="1" width="11.42578125"/>
    <col min="2325" max="2325" customWidth="1" width="11.42578125"/>
    <col min="2326" max="2326" customWidth="1" width="11.42578125"/>
    <col min="2327" max="2327" customWidth="1" width="11.42578125"/>
    <col min="2328" max="2328" customWidth="1" width="11.42578125"/>
    <col min="2329" max="2329" customWidth="1" width="11.42578125"/>
    <col min="2330" max="2330" customWidth="1" width="11.42578125"/>
    <col min="2331" max="2331" customWidth="1" width="11.42578125"/>
    <col min="2332" max="2332" customWidth="1" width="11.42578125"/>
    <col min="2333" max="2333" customWidth="1" width="11.42578125"/>
    <col min="2334" max="2334" customWidth="1" width="11.42578125"/>
    <col min="2335" max="2335" customWidth="1" width="11.42578125"/>
    <col min="2336" max="2336" customWidth="1" width="11.42578125"/>
    <col min="2337" max="2337" customWidth="1" width="11.42578125"/>
    <col min="2338" max="2338" customWidth="1" width="11.42578125"/>
    <col min="2339" max="2339" customWidth="1" width="11.42578125"/>
    <col min="2340" max="2340" customWidth="1" width="11.42578125"/>
    <col min="2341" max="2341" customWidth="1" width="11.42578125"/>
    <col min="2342" max="2342" customWidth="1" width="11.42578125"/>
    <col min="2343" max="2343" customWidth="1" width="11.42578125"/>
    <col min="2344" max="2344" customWidth="1" width="11.42578125"/>
    <col min="2345" max="2345" customWidth="1" width="11.42578125"/>
    <col min="2346" max="2346" customWidth="1" width="11.42578125"/>
    <col min="2347" max="2347" customWidth="1" width="11.42578125"/>
    <col min="2348" max="2348" customWidth="1" width="11.42578125"/>
    <col min="2349" max="2349" customWidth="1" width="11.42578125"/>
    <col min="2350" max="2350" customWidth="1" width="11.42578125"/>
    <col min="2351" max="2351" customWidth="1" width="11.42578125"/>
    <col min="2352" max="2352" customWidth="1" width="11.42578125"/>
    <col min="2353" max="2353" customWidth="1" width="11.42578125"/>
    <col min="2354" max="2354" customWidth="1" width="11.42578125"/>
    <col min="2355" max="2355" customWidth="1" width="11.42578125"/>
    <col min="2356" max="2356" customWidth="1" width="11.42578125"/>
    <col min="2357" max="2357" customWidth="1" width="11.42578125"/>
    <col min="2358" max="2358" customWidth="1" width="11.42578125"/>
    <col min="2359" max="2359" customWidth="1" width="11.42578125"/>
    <col min="2360" max="2360" customWidth="1" width="11.42578125"/>
    <col min="2361" max="2361" customWidth="1" width="11.42578125"/>
    <col min="2362" max="2362" customWidth="1" width="11.42578125"/>
    <col min="2363" max="2363" customWidth="1" width="11.42578125"/>
    <col min="2364" max="2364" customWidth="1" width="11.42578125"/>
    <col min="2365" max="2365" customWidth="1" width="11.42578125"/>
    <col min="2366" max="2366" customWidth="1" width="11.42578125"/>
    <col min="2367" max="2367" customWidth="1" width="11.42578125"/>
    <col min="2368" max="2368" customWidth="1" width="11.42578125"/>
    <col min="2369" max="2369" customWidth="1" width="11.42578125"/>
    <col min="2370" max="2370" customWidth="1" width="11.42578125"/>
    <col min="2371" max="2371" customWidth="1" width="11.42578125"/>
    <col min="2372" max="2372" customWidth="1" width="11.42578125"/>
    <col min="2373" max="2373" customWidth="1" width="11.42578125"/>
    <col min="2374" max="2374" customWidth="1" width="11.42578125"/>
    <col min="2375" max="2375" customWidth="1" width="11.42578125"/>
    <col min="2376" max="2376" customWidth="1" width="11.42578125"/>
    <col min="2377" max="2377" customWidth="1" width="11.42578125"/>
    <col min="2378" max="2378" customWidth="1" width="11.42578125"/>
    <col min="2379" max="2379" customWidth="1" width="11.42578125"/>
    <col min="2380" max="2380" customWidth="1" width="11.42578125"/>
    <col min="2381" max="2381" customWidth="1" width="11.42578125"/>
    <col min="2382" max="2382" customWidth="1" width="11.42578125"/>
    <col min="2383" max="2383" customWidth="1" width="11.42578125"/>
    <col min="2384" max="2384" customWidth="1" width="11.42578125"/>
    <col min="2385" max="2385" customWidth="1" width="11.42578125"/>
    <col min="2386" max="2386" customWidth="1" width="11.42578125"/>
    <col min="2387" max="2387" customWidth="1" width="11.42578125"/>
    <col min="2388" max="2388" customWidth="1" width="11.42578125"/>
    <col min="2389" max="2389" customWidth="1" width="11.42578125"/>
    <col min="2390" max="2390" customWidth="1" width="11.42578125"/>
    <col min="2391" max="2391" customWidth="1" width="11.42578125"/>
    <col min="2392" max="2392" customWidth="1" width="11.42578125"/>
    <col min="2393" max="2393" customWidth="1" width="11.42578125"/>
    <col min="2394" max="2394" customWidth="1" width="11.42578125"/>
    <col min="2395" max="2395" customWidth="1" width="11.42578125"/>
    <col min="2396" max="2396" customWidth="1" width="11.42578125"/>
    <col min="2397" max="2397" customWidth="1" width="11.42578125"/>
    <col min="2398" max="2398" customWidth="1" width="11.42578125"/>
    <col min="2399" max="2399" customWidth="1" width="11.42578125"/>
    <col min="2400" max="2400" customWidth="1" width="11.42578125"/>
    <col min="2401" max="2401" customWidth="1" width="11.42578125"/>
    <col min="2402" max="2402" customWidth="1" width="11.42578125"/>
    <col min="2403" max="2403" customWidth="1" width="11.42578125"/>
    <col min="2404" max="2404" customWidth="1" width="11.42578125"/>
    <col min="2405" max="2405" customWidth="1" width="11.42578125"/>
    <col min="2406" max="2406" customWidth="1" width="11.42578125"/>
    <col min="2407" max="2407" customWidth="1" width="11.42578125"/>
    <col min="2408" max="2408" customWidth="1" width="11.42578125"/>
    <col min="2409" max="2409" customWidth="1" width="11.42578125"/>
    <col min="2410" max="2410" customWidth="1" width="11.42578125"/>
    <col min="2411" max="2411" customWidth="1" width="11.42578125"/>
    <col min="2412" max="2412" customWidth="1" width="11.42578125"/>
    <col min="2413" max="2413" customWidth="1" width="11.42578125"/>
    <col min="2414" max="2414" customWidth="1" width="11.42578125"/>
    <col min="2415" max="2415" customWidth="1" width="11.42578125"/>
    <col min="2416" max="2416" customWidth="1" width="11.42578125"/>
    <col min="2417" max="2417" customWidth="1" width="11.42578125"/>
    <col min="2418" max="2418" customWidth="1" width="11.42578125"/>
    <col min="2419" max="2419" customWidth="1" width="11.42578125"/>
    <col min="2420" max="2420" customWidth="1" width="11.42578125"/>
    <col min="2421" max="2421" customWidth="1" width="11.42578125"/>
    <col min="2422" max="2422" customWidth="1" width="11.42578125"/>
    <col min="2423" max="2423" customWidth="1" width="11.42578125"/>
    <col min="2424" max="2424" customWidth="1" width="11.42578125"/>
    <col min="2425" max="2425" customWidth="1" width="11.42578125"/>
    <col min="2426" max="2426" customWidth="1" width="11.42578125"/>
    <col min="2427" max="2427" customWidth="1" width="11.42578125"/>
    <col min="2428" max="2428" customWidth="1" width="11.42578125"/>
    <col min="2429" max="2429" customWidth="1" width="11.42578125"/>
    <col min="2430" max="2430" customWidth="1" width="11.42578125"/>
    <col min="2431" max="2431" customWidth="1" width="11.42578125"/>
    <col min="2432" max="2432" customWidth="1" width="11.42578125"/>
    <col min="2433" max="2433" customWidth="1" width="11.42578125"/>
    <col min="2434" max="2434" customWidth="1" width="11.42578125"/>
    <col min="2435" max="2435" customWidth="1" width="11.42578125"/>
    <col min="2436" max="2436" customWidth="1" width="11.42578125"/>
    <col min="2437" max="2437" customWidth="1" width="11.42578125"/>
    <col min="2438" max="2438" customWidth="1" width="11.42578125"/>
    <col min="2439" max="2439" customWidth="1" width="11.42578125"/>
    <col min="2440" max="2440" customWidth="1" width="11.42578125"/>
    <col min="2441" max="2441" customWidth="1" width="11.42578125"/>
    <col min="2442" max="2442" customWidth="1" width="11.42578125"/>
    <col min="2443" max="2443" customWidth="1" width="11.42578125"/>
    <col min="2444" max="2444" customWidth="1" width="11.42578125"/>
    <col min="2445" max="2445" customWidth="1" width="11.42578125"/>
    <col min="2446" max="2446" customWidth="1" width="11.42578125"/>
    <col min="2447" max="2447" customWidth="1" width="11.42578125"/>
    <col min="2448" max="2448" customWidth="1" width="11.42578125"/>
    <col min="2449" max="2449" customWidth="1" width="11.42578125"/>
    <col min="2450" max="2450" customWidth="1" width="11.42578125"/>
    <col min="2451" max="2451" customWidth="1" width="11.42578125"/>
    <col min="2452" max="2452" customWidth="1" width="11.42578125"/>
    <col min="2453" max="2453" customWidth="1" width="11.42578125"/>
    <col min="2454" max="2454" customWidth="1" width="11.42578125"/>
    <col min="2455" max="2455" customWidth="1" width="11.42578125"/>
    <col min="2456" max="2456" customWidth="1" width="11.42578125"/>
    <col min="2457" max="2457" customWidth="1" width="11.42578125"/>
    <col min="2458" max="2458" customWidth="1" width="11.42578125"/>
    <col min="2459" max="2459" customWidth="1" width="11.42578125"/>
    <col min="2460" max="2460" customWidth="1" width="11.42578125"/>
    <col min="2461" max="2461" customWidth="1" width="11.42578125"/>
    <col min="2462" max="2462" customWidth="1" width="11.42578125"/>
    <col min="2463" max="2463" customWidth="1" width="11.42578125"/>
    <col min="2464" max="2464" customWidth="1" width="11.42578125"/>
    <col min="2465" max="2465" customWidth="1" width="11.42578125"/>
    <col min="2466" max="2466" customWidth="1" width="11.42578125"/>
    <col min="2467" max="2467" customWidth="1" width="11.42578125"/>
    <col min="2468" max="2468" customWidth="1" width="11.42578125"/>
    <col min="2469" max="2469" customWidth="1" width="11.42578125"/>
    <col min="2470" max="2470" customWidth="1" width="11.42578125"/>
    <col min="2471" max="2471" customWidth="1" width="11.42578125"/>
    <col min="2472" max="2472" customWidth="1" width="11.42578125"/>
    <col min="2473" max="2473" customWidth="1" width="11.42578125"/>
    <col min="2474" max="2474" customWidth="1" width="11.42578125"/>
    <col min="2475" max="2475" customWidth="1" width="11.42578125"/>
    <col min="2476" max="2476" customWidth="1" width="11.42578125"/>
    <col min="2477" max="2477" customWidth="1" width="11.42578125"/>
    <col min="2478" max="2478" customWidth="1" width="11.42578125"/>
    <col min="2479" max="2479" customWidth="1" width="11.42578125"/>
    <col min="2480" max="2480" customWidth="1" width="11.42578125"/>
    <col min="2481" max="2481" customWidth="1" width="11.42578125"/>
    <col min="2482" max="2482" customWidth="1" width="11.42578125"/>
    <col min="2483" max="2483" customWidth="1" width="11.42578125"/>
    <col min="2484" max="2484" customWidth="1" width="11.42578125"/>
    <col min="2485" max="2485" customWidth="1" width="11.42578125"/>
    <col min="2486" max="2486" customWidth="1" width="11.42578125"/>
    <col min="2487" max="2487" customWidth="1" width="11.42578125"/>
    <col min="2488" max="2488" customWidth="1" width="11.42578125"/>
    <col min="2489" max="2489" customWidth="1" width="11.42578125"/>
    <col min="2490" max="2490" customWidth="1" width="11.42578125"/>
    <col min="2491" max="2491" customWidth="1" width="11.42578125"/>
    <col min="2492" max="2492" customWidth="1" width="11.42578125"/>
    <col min="2493" max="2493" customWidth="1" width="11.42578125"/>
    <col min="2494" max="2494" customWidth="1" width="11.42578125"/>
    <col min="2495" max="2495" customWidth="1" width="11.42578125"/>
    <col min="2496" max="2496" customWidth="1" width="11.42578125"/>
    <col min="2497" max="2497" customWidth="1" width="11.42578125"/>
    <col min="2498" max="2498" customWidth="1" width="11.42578125"/>
    <col min="2499" max="2499" customWidth="1" width="11.42578125"/>
    <col min="2500" max="2500" customWidth="1" width="11.42578125"/>
    <col min="2501" max="2501" customWidth="1" width="11.42578125"/>
    <col min="2502" max="2502" customWidth="1" width="11.42578125"/>
    <col min="2503" max="2503" customWidth="1" width="11.42578125"/>
    <col min="2504" max="2504" customWidth="1" width="11.42578125"/>
    <col min="2505" max="2505" customWidth="1" width="11.42578125"/>
    <col min="2506" max="2506" customWidth="1" width="11.42578125"/>
    <col min="2507" max="2507" customWidth="1" width="11.42578125"/>
    <col min="2508" max="2508" customWidth="1" width="11.42578125"/>
    <col min="2509" max="2509" customWidth="1" width="11.42578125"/>
    <col min="2510" max="2510" customWidth="1" width="11.42578125"/>
    <col min="2511" max="2511" customWidth="1" width="11.42578125"/>
    <col min="2512" max="2512" customWidth="1" width="11.42578125"/>
    <col min="2513" max="2513" customWidth="1" width="11.42578125"/>
    <col min="2514" max="2514" customWidth="1" width="11.42578125"/>
    <col min="2515" max="2515" customWidth="1" width="11.42578125"/>
    <col min="2516" max="2516" customWidth="1" width="11.42578125"/>
    <col min="2517" max="2517" customWidth="1" width="11.42578125"/>
    <col min="2518" max="2518" customWidth="1" width="11.42578125"/>
    <col min="2519" max="2519" customWidth="1" width="11.42578125"/>
    <col min="2520" max="2520" customWidth="1" width="11.42578125"/>
    <col min="2521" max="2521" customWidth="1" width="11.42578125"/>
    <col min="2522" max="2522" customWidth="1" width="11.42578125"/>
    <col min="2523" max="2523" customWidth="1" width="11.42578125"/>
    <col min="2524" max="2524" customWidth="1" width="11.42578125"/>
    <col min="2525" max="2525" customWidth="1" width="11.42578125"/>
    <col min="2526" max="2526" customWidth="1" width="11.42578125"/>
    <col min="2527" max="2527" customWidth="1" width="11.42578125"/>
    <col min="2528" max="2528" customWidth="1" width="11.42578125"/>
    <col min="2529" max="2529" customWidth="1" width="11.42578125"/>
    <col min="2530" max="2530" customWidth="1" width="11.42578125"/>
    <col min="2531" max="2531" customWidth="1" width="11.42578125"/>
    <col min="2532" max="2532" customWidth="1" width="11.42578125"/>
    <col min="2533" max="2533" customWidth="1" width="11.42578125"/>
    <col min="2534" max="2534" customWidth="1" width="11.42578125"/>
    <col min="2535" max="2535" customWidth="1" width="11.42578125"/>
    <col min="2536" max="2536" customWidth="1" width="11.42578125"/>
    <col min="2537" max="2537" customWidth="1" width="11.42578125"/>
    <col min="2538" max="2538" customWidth="1" width="11.42578125"/>
    <col min="2539" max="2539" customWidth="1" width="11.42578125"/>
    <col min="2540" max="2540" customWidth="1" width="11.42578125"/>
    <col min="2541" max="2541" customWidth="1" width="11.42578125"/>
    <col min="2542" max="2542" customWidth="1" width="11.42578125"/>
    <col min="2543" max="2543" customWidth="1" width="11.42578125"/>
    <col min="2544" max="2544" customWidth="1" width="11.42578125"/>
    <col min="2545" max="2545" customWidth="1" width="11.42578125"/>
    <col min="2546" max="2546" customWidth="1" width="11.42578125"/>
    <col min="2547" max="2547" customWidth="1" width="11.42578125"/>
    <col min="2548" max="2548" customWidth="1" width="11.42578125"/>
    <col min="2549" max="2549" customWidth="1" width="11.42578125"/>
    <col min="2550" max="2550" customWidth="1" width="11.42578125"/>
    <col min="2551" max="2551" customWidth="1" width="11.42578125"/>
    <col min="2552" max="2552" customWidth="1" width="11.42578125"/>
    <col min="2553" max="2553" customWidth="1" width="11.42578125"/>
    <col min="2554" max="2554" customWidth="1" width="11.42578125"/>
    <col min="2555" max="2555" customWidth="1" width="11.42578125"/>
    <col min="2556" max="2556" customWidth="1" width="11.42578125"/>
    <col min="2557" max="2557" customWidth="1" width="11.42578125"/>
    <col min="2558" max="2558" customWidth="1" width="11.42578125"/>
    <col min="2559" max="2559" customWidth="1" width="11.42578125"/>
    <col min="2560" max="2560" customWidth="1" width="11.42578125"/>
    <col min="2561" max="2561" customWidth="1" width="11.42578125"/>
    <col min="2562" max="2562" customWidth="1" width="11.42578125"/>
    <col min="2563" max="2563" customWidth="1" width="11.42578125"/>
    <col min="2564" max="2564" customWidth="1" width="11.42578125"/>
    <col min="2565" max="2565" customWidth="1" width="11.42578125"/>
    <col min="2566" max="2566" customWidth="1" width="11.42578125"/>
    <col min="2567" max="2567" customWidth="1" width="11.42578125"/>
    <col min="2568" max="2568" customWidth="1" width="11.42578125"/>
    <col min="2569" max="2569" customWidth="1" width="11.42578125"/>
    <col min="2570" max="2570" customWidth="1" width="11.42578125"/>
    <col min="2571" max="2571" customWidth="1" width="11.42578125"/>
    <col min="2572" max="2572" customWidth="1" width="11.42578125"/>
    <col min="2573" max="2573" customWidth="1" width="11.42578125"/>
    <col min="2574" max="2574" customWidth="1" width="11.42578125"/>
    <col min="2575" max="2575" customWidth="1" width="11.42578125"/>
    <col min="2576" max="2576" customWidth="1" width="11.42578125"/>
    <col min="2577" max="2577" customWidth="1" width="11.42578125"/>
    <col min="2578" max="2578" customWidth="1" width="11.42578125"/>
    <col min="2579" max="2579" customWidth="1" width="11.42578125"/>
    <col min="2580" max="2580" customWidth="1" width="11.42578125"/>
    <col min="2581" max="2581" customWidth="1" width="11.42578125"/>
    <col min="2582" max="2582" customWidth="1" width="11.42578125"/>
    <col min="2583" max="2583" customWidth="1" width="11.42578125"/>
    <col min="2584" max="2584" customWidth="1" width="11.42578125"/>
    <col min="2585" max="2585" customWidth="1" width="11.42578125"/>
    <col min="2586" max="2586" customWidth="1" width="11.42578125"/>
    <col min="2587" max="2587" customWidth="1" width="11.42578125"/>
    <col min="2588" max="2588" customWidth="1" width="11.42578125"/>
    <col min="2589" max="2589" customWidth="1" width="11.42578125"/>
    <col min="2590" max="2590" customWidth="1" width="11.42578125"/>
    <col min="2591" max="2591" customWidth="1" width="11.42578125"/>
    <col min="2592" max="2592" customWidth="1" width="11.42578125"/>
    <col min="2593" max="2593" customWidth="1" width="11.42578125"/>
    <col min="2594" max="2594" customWidth="1" width="11.42578125"/>
    <col min="2595" max="2595" customWidth="1" width="11.42578125"/>
    <col min="2596" max="2596" customWidth="1" width="11.42578125"/>
    <col min="2597" max="2597" customWidth="1" width="11.42578125"/>
    <col min="2598" max="2598" customWidth="1" width="11.42578125"/>
    <col min="2599" max="2599" customWidth="1" width="11.42578125"/>
    <col min="2600" max="2600" customWidth="1" width="11.42578125"/>
    <col min="2601" max="2601" customWidth="1" width="11.42578125"/>
    <col min="2602" max="2602" customWidth="1" width="11.42578125"/>
    <col min="2603" max="2603" customWidth="1" width="11.42578125"/>
    <col min="2604" max="2604" customWidth="1" width="11.42578125"/>
    <col min="2605" max="2605" customWidth="1" width="11.42578125"/>
    <col min="2606" max="2606" customWidth="1" width="11.42578125"/>
    <col min="2607" max="2607" customWidth="1" width="11.42578125"/>
    <col min="2608" max="2608" customWidth="1" width="11.42578125"/>
    <col min="2609" max="2609" customWidth="1" width="11.42578125"/>
    <col min="2610" max="2610" customWidth="1" width="11.42578125"/>
    <col min="2611" max="2611" customWidth="1" width="11.42578125"/>
    <col min="2612" max="2612" customWidth="1" width="11.42578125"/>
    <col min="2613" max="2613" customWidth="1" width="11.42578125"/>
    <col min="2614" max="2614" customWidth="1" width="11.42578125"/>
    <col min="2615" max="2615" customWidth="1" width="11.42578125"/>
    <col min="2616" max="2616" customWidth="1" width="11.42578125"/>
    <col min="2617" max="2617" customWidth="1" width="11.42578125"/>
    <col min="2618" max="2618" customWidth="1" width="11.42578125"/>
    <col min="2619" max="2619" customWidth="1" width="11.42578125"/>
    <col min="2620" max="2620" customWidth="1" width="11.42578125"/>
    <col min="2621" max="2621" customWidth="1" width="11.42578125"/>
    <col min="2622" max="2622" customWidth="1" width="11.42578125"/>
    <col min="2623" max="2623" customWidth="1" width="11.42578125"/>
    <col min="2624" max="2624" customWidth="1" width="11.42578125"/>
    <col min="2625" max="2625" customWidth="1" width="11.42578125"/>
    <col min="2626" max="2626" customWidth="1" width="11.42578125"/>
    <col min="2627" max="2627" customWidth="1" width="11.42578125"/>
    <col min="2628" max="2628" customWidth="1" width="11.42578125"/>
    <col min="2629" max="2629" customWidth="1" width="11.42578125"/>
    <col min="2630" max="2630" customWidth="1" width="11.42578125"/>
    <col min="2631" max="2631" customWidth="1" width="11.42578125"/>
    <col min="2632" max="2632" customWidth="1" width="11.42578125"/>
    <col min="2633" max="2633" customWidth="1" width="11.42578125"/>
    <col min="2634" max="2634" customWidth="1" width="11.42578125"/>
    <col min="2635" max="2635" customWidth="1" width="11.42578125"/>
    <col min="2636" max="2636" customWidth="1" width="11.42578125"/>
    <col min="2637" max="2637" customWidth="1" width="11.42578125"/>
    <col min="2638" max="2638" customWidth="1" width="11.42578125"/>
    <col min="2639" max="2639" customWidth="1" width="11.42578125"/>
    <col min="2640" max="2640" customWidth="1" width="11.42578125"/>
    <col min="2641" max="2641" customWidth="1" width="11.42578125"/>
    <col min="2642" max="2642" customWidth="1" width="11.42578125"/>
    <col min="2643" max="2643" customWidth="1" width="11.42578125"/>
    <col min="2644" max="2644" customWidth="1" width="11.42578125"/>
    <col min="2645" max="2645" customWidth="1" width="11.42578125"/>
    <col min="2646" max="2646" customWidth="1" width="11.42578125"/>
    <col min="2647" max="2647" customWidth="1" width="11.42578125"/>
    <col min="2648" max="2648" customWidth="1" width="11.42578125"/>
    <col min="2649" max="2649" customWidth="1" width="11.42578125"/>
    <col min="2650" max="2650" customWidth="1" width="11.42578125"/>
    <col min="2651" max="2651" customWidth="1" width="11.42578125"/>
    <col min="2652" max="2652" customWidth="1" width="11.42578125"/>
    <col min="2653" max="2653" customWidth="1" width="11.42578125"/>
    <col min="2654" max="2654" customWidth="1" width="11.42578125"/>
    <col min="2655" max="2655" customWidth="1" width="11.42578125"/>
    <col min="2656" max="2656" customWidth="1" width="11.42578125"/>
    <col min="2657" max="2657" customWidth="1" width="11.42578125"/>
    <col min="2658" max="2658" customWidth="1" width="11.42578125"/>
    <col min="2659" max="2659" customWidth="1" width="11.42578125"/>
    <col min="2660" max="2660" customWidth="1" width="11.42578125"/>
    <col min="2661" max="2661" customWidth="1" width="11.42578125"/>
    <col min="2662" max="2662" customWidth="1" width="11.42578125"/>
    <col min="2663" max="2663" customWidth="1" width="11.42578125"/>
    <col min="2664" max="2664" customWidth="1" width="11.42578125"/>
    <col min="2665" max="2665" customWidth="1" width="11.42578125"/>
    <col min="2666" max="2666" customWidth="1" width="11.42578125"/>
    <col min="2667" max="2667" customWidth="1" width="11.42578125"/>
    <col min="2668" max="2668" customWidth="1" width="11.42578125"/>
    <col min="2669" max="2669" customWidth="1" width="11.42578125"/>
    <col min="2670" max="2670" customWidth="1" width="11.42578125"/>
    <col min="2671" max="2671" customWidth="1" width="11.42578125"/>
    <col min="2672" max="2672" customWidth="1" width="11.42578125"/>
    <col min="2673" max="2673" customWidth="1" width="11.42578125"/>
    <col min="2674" max="2674" customWidth="1" width="11.42578125"/>
    <col min="2675" max="2675" customWidth="1" width="11.42578125"/>
    <col min="2676" max="2676" customWidth="1" width="11.42578125"/>
    <col min="2677" max="2677" customWidth="1" width="11.42578125"/>
    <col min="2678" max="2678" customWidth="1" width="11.42578125"/>
    <col min="2679" max="2679" customWidth="1" width="11.42578125"/>
    <col min="2680" max="2680" customWidth="1" width="11.42578125"/>
    <col min="2681" max="2681" customWidth="1" width="11.42578125"/>
    <col min="2682" max="2682" customWidth="1" width="11.42578125"/>
    <col min="2683" max="2683" customWidth="1" width="11.42578125"/>
    <col min="2684" max="2684" customWidth="1" width="11.42578125"/>
    <col min="2685" max="2685" customWidth="1" width="11.42578125"/>
    <col min="2686" max="2686" customWidth="1" width="11.42578125"/>
    <col min="2687" max="2687" customWidth="1" width="11.42578125"/>
    <col min="2688" max="2688" customWidth="1" width="11.42578125"/>
    <col min="2689" max="2689" customWidth="1" width="11.42578125"/>
    <col min="2690" max="2690" customWidth="1" width="11.42578125"/>
    <col min="2691" max="2691" customWidth="1" width="11.42578125"/>
    <col min="2692" max="2692" customWidth="1" width="11.42578125"/>
    <col min="2693" max="2693" customWidth="1" width="11.42578125"/>
    <col min="2694" max="2694" customWidth="1" width="11.42578125"/>
    <col min="2695" max="2695" customWidth="1" width="11.42578125"/>
    <col min="2696" max="2696" customWidth="1" width="11.42578125"/>
    <col min="2697" max="2697" customWidth="1" width="11.42578125"/>
    <col min="2698" max="2698" customWidth="1" width="11.42578125"/>
    <col min="2699" max="2699" customWidth="1" width="11.42578125"/>
    <col min="2700" max="2700" customWidth="1" width="11.42578125"/>
    <col min="2701" max="2701" customWidth="1" width="11.42578125"/>
    <col min="2702" max="2702" customWidth="1" width="11.42578125"/>
    <col min="2703" max="2703" customWidth="1" width="11.42578125"/>
    <col min="2704" max="2704" customWidth="1" width="11.42578125"/>
    <col min="2705" max="2705" customWidth="1" width="11.42578125"/>
    <col min="2706" max="2706" customWidth="1" width="11.42578125"/>
    <col min="2707" max="2707" customWidth="1" width="11.42578125"/>
    <col min="2708" max="2708" customWidth="1" width="11.42578125"/>
    <col min="2709" max="2709" customWidth="1" width="11.42578125"/>
    <col min="2710" max="2710" customWidth="1" width="11.42578125"/>
    <col min="2711" max="2711" customWidth="1" width="11.42578125"/>
    <col min="2712" max="2712" customWidth="1" width="11.42578125"/>
    <col min="2713" max="2713" customWidth="1" width="11.42578125"/>
    <col min="2714" max="2714" customWidth="1" width="11.42578125"/>
    <col min="2715" max="2715" customWidth="1" width="11.42578125"/>
    <col min="2716" max="2716" customWidth="1" width="11.42578125"/>
    <col min="2717" max="2717" customWidth="1" width="11.42578125"/>
    <col min="2718" max="2718" customWidth="1" width="11.42578125"/>
    <col min="2719" max="2719" customWidth="1" width="11.42578125"/>
    <col min="2720" max="2720" customWidth="1" width="11.42578125"/>
    <col min="2721" max="2721" customWidth="1" width="11.42578125"/>
    <col min="2722" max="2722" customWidth="1" width="11.42578125"/>
    <col min="2723" max="2723" customWidth="1" width="11.42578125"/>
    <col min="2724" max="2724" customWidth="1" width="11.42578125"/>
    <col min="2725" max="2725" customWidth="1" width="11.42578125"/>
    <col min="2726" max="2726" customWidth="1" width="11.42578125"/>
    <col min="2727" max="2727" customWidth="1" width="11.42578125"/>
    <col min="2728" max="2728" customWidth="1" width="11.42578125"/>
    <col min="2729" max="2729" customWidth="1" width="11.42578125"/>
    <col min="2730" max="2730" customWidth="1" width="11.42578125"/>
    <col min="2731" max="2731" customWidth="1" width="11.42578125"/>
    <col min="2732" max="2732" customWidth="1" width="11.42578125"/>
    <col min="2733" max="2733" customWidth="1" width="11.42578125"/>
    <col min="2734" max="2734" customWidth="1" width="11.42578125"/>
    <col min="2735" max="2735" customWidth="1" width="11.42578125"/>
    <col min="2736" max="2736" customWidth="1" width="11.42578125"/>
    <col min="2737" max="2737" customWidth="1" width="11.42578125"/>
    <col min="2738" max="2738" customWidth="1" width="11.42578125"/>
    <col min="2739" max="2739" customWidth="1" width="11.42578125"/>
    <col min="2740" max="2740" customWidth="1" width="11.42578125"/>
    <col min="2741" max="2741" customWidth="1" width="11.42578125"/>
    <col min="2742" max="2742" customWidth="1" width="11.42578125"/>
    <col min="2743" max="2743" customWidth="1" width="11.42578125"/>
    <col min="2744" max="2744" customWidth="1" width="11.42578125"/>
    <col min="2745" max="2745" customWidth="1" width="11.42578125"/>
    <col min="2746" max="2746" customWidth="1" width="11.42578125"/>
    <col min="2747" max="2747" customWidth="1" width="11.42578125"/>
    <col min="2748" max="2748" customWidth="1" width="11.42578125"/>
    <col min="2749" max="2749" customWidth="1" width="11.42578125"/>
    <col min="2750" max="2750" customWidth="1" width="11.42578125"/>
    <col min="2751" max="2751" customWidth="1" width="11.42578125"/>
    <col min="2752" max="2752" customWidth="1" width="11.42578125"/>
    <col min="2753" max="2753" customWidth="1" width="11.42578125"/>
    <col min="2754" max="2754" customWidth="1" width="11.42578125"/>
    <col min="2755" max="2755" customWidth="1" width="11.42578125"/>
    <col min="2756" max="2756" customWidth="1" width="11.42578125"/>
    <col min="2757" max="2757" customWidth="1" width="11.42578125"/>
    <col min="2758" max="2758" customWidth="1" width="11.42578125"/>
    <col min="2759" max="2759" customWidth="1" width="11.42578125"/>
    <col min="2760" max="2760" customWidth="1" width="11.42578125"/>
    <col min="2761" max="2761" customWidth="1" width="11.42578125"/>
    <col min="2762" max="2762" customWidth="1" width="11.42578125"/>
    <col min="2763" max="2763" customWidth="1" width="11.42578125"/>
    <col min="2764" max="2764" customWidth="1" width="11.42578125"/>
    <col min="2765" max="2765" customWidth="1" width="11.42578125"/>
    <col min="2766" max="2766" customWidth="1" width="11.42578125"/>
    <col min="2767" max="2767" customWidth="1" width="11.42578125"/>
    <col min="2768" max="2768" customWidth="1" width="11.42578125"/>
    <col min="2769" max="2769" customWidth="1" width="11.42578125"/>
    <col min="2770" max="2770" customWidth="1" width="11.42578125"/>
    <col min="2771" max="2771" customWidth="1" width="11.42578125"/>
    <col min="2772" max="2772" customWidth="1" width="11.42578125"/>
    <col min="2773" max="2773" customWidth="1" width="11.42578125"/>
    <col min="2774" max="2774" customWidth="1" width="11.42578125"/>
    <col min="2775" max="2775" customWidth="1" width="11.42578125"/>
    <col min="2776" max="2776" customWidth="1" width="11.42578125"/>
    <col min="2777" max="2777" customWidth="1" width="11.42578125"/>
    <col min="2778" max="2778" customWidth="1" width="11.42578125"/>
    <col min="2779" max="2779" customWidth="1" width="11.42578125"/>
    <col min="2780" max="2780" customWidth="1" width="11.42578125"/>
    <col min="2781" max="2781" customWidth="1" width="11.42578125"/>
    <col min="2782" max="2782" customWidth="1" width="11.42578125"/>
    <col min="2783" max="2783" customWidth="1" width="11.42578125"/>
    <col min="2784" max="2784" customWidth="1" width="11.42578125"/>
    <col min="2785" max="2785" customWidth="1" width="11.42578125"/>
    <col min="2786" max="2786" customWidth="1" width="11.42578125"/>
    <col min="2787" max="2787" customWidth="1" width="11.42578125"/>
    <col min="2788" max="2788" customWidth="1" width="11.42578125"/>
    <col min="2789" max="2789" customWidth="1" width="11.42578125"/>
    <col min="2790" max="2790" customWidth="1" width="11.42578125"/>
    <col min="2791" max="2791" customWidth="1" width="11.42578125"/>
    <col min="2792" max="2792" customWidth="1" width="11.42578125"/>
    <col min="2793" max="2793" customWidth="1" width="11.42578125"/>
    <col min="2794" max="2794" customWidth="1" width="11.42578125"/>
    <col min="2795" max="2795" customWidth="1" width="11.42578125"/>
    <col min="2796" max="2796" customWidth="1" width="11.42578125"/>
    <col min="2797" max="2797" customWidth="1" width="11.42578125"/>
    <col min="2798" max="2798" customWidth="1" width="11.42578125"/>
    <col min="2799" max="2799" customWidth="1" width="11.42578125"/>
    <col min="2800" max="2800" customWidth="1" width="11.42578125"/>
    <col min="2801" max="2801" customWidth="1" width="11.42578125"/>
    <col min="2802" max="2802" customWidth="1" width="11.42578125"/>
    <col min="2803" max="2803" customWidth="1" width="11.42578125"/>
    <col min="2804" max="2804" customWidth="1" width="11.42578125"/>
    <col min="2805" max="2805" customWidth="1" width="11.42578125"/>
    <col min="2806" max="2806" customWidth="1" width="11.42578125"/>
    <col min="2807" max="2807" customWidth="1" width="11.42578125"/>
    <col min="2808" max="2808" customWidth="1" width="11.42578125"/>
    <col min="2809" max="2809" customWidth="1" width="11.42578125"/>
    <col min="2810" max="2810" customWidth="1" width="11.42578125"/>
    <col min="2811" max="2811" customWidth="1" width="11.42578125"/>
    <col min="2812" max="2812" customWidth="1" width="11.42578125"/>
    <col min="2813" max="2813" customWidth="1" width="11.42578125"/>
    <col min="2814" max="2814" customWidth="1" width="11.42578125"/>
    <col min="2815" max="2815" customWidth="1" width="11.42578125"/>
    <col min="2816" max="2816" customWidth="1" width="11.42578125"/>
    <col min="2817" max="2817" customWidth="1" width="11.42578125"/>
    <col min="2818" max="2818" customWidth="1" width="11.42578125"/>
    <col min="2819" max="2819" customWidth="1" width="11.42578125"/>
    <col min="2820" max="2820" customWidth="1" width="11.42578125"/>
    <col min="2821" max="2821" customWidth="1" width="11.42578125"/>
    <col min="2822" max="2822" customWidth="1" width="11.42578125"/>
    <col min="2823" max="2823" customWidth="1" width="11.42578125"/>
    <col min="2824" max="2824" customWidth="1" width="11.42578125"/>
    <col min="2825" max="2825" customWidth="1" width="11.42578125"/>
    <col min="2826" max="2826" customWidth="1" width="11.42578125"/>
    <col min="2827" max="2827" customWidth="1" width="11.42578125"/>
    <col min="2828" max="2828" customWidth="1" width="11.42578125"/>
    <col min="2829" max="2829" customWidth="1" width="11.42578125"/>
    <col min="2830" max="2830" customWidth="1" width="11.42578125"/>
    <col min="2831" max="2831" customWidth="1" width="11.42578125"/>
    <col min="2832" max="2832" customWidth="1" width="11.42578125"/>
    <col min="2833" max="2833" customWidth="1" width="11.42578125"/>
    <col min="2834" max="2834" customWidth="1" width="11.42578125"/>
    <col min="2835" max="2835" customWidth="1" width="11.42578125"/>
    <col min="2836" max="2836" customWidth="1" width="11.42578125"/>
    <col min="2837" max="2837" customWidth="1" width="11.42578125"/>
    <col min="2838" max="2838" customWidth="1" width="11.42578125"/>
    <col min="2839" max="2839" customWidth="1" width="11.42578125"/>
    <col min="2840" max="2840" customWidth="1" width="11.42578125"/>
    <col min="2841" max="2841" customWidth="1" width="11.42578125"/>
    <col min="2842" max="2842" customWidth="1" width="11.42578125"/>
    <col min="2843" max="2843" customWidth="1" width="11.42578125"/>
    <col min="2844" max="2844" customWidth="1" width="11.42578125"/>
    <col min="2845" max="2845" customWidth="1" width="11.42578125"/>
    <col min="2846" max="2846" customWidth="1" width="11.42578125"/>
    <col min="2847" max="2847" customWidth="1" width="11.42578125"/>
    <col min="2848" max="2848" customWidth="1" width="11.42578125"/>
    <col min="2849" max="2849" customWidth="1" width="11.42578125"/>
    <col min="2850" max="2850" customWidth="1" width="11.42578125"/>
    <col min="2851" max="2851" customWidth="1" width="11.42578125"/>
    <col min="2852" max="2852" customWidth="1" width="11.42578125"/>
    <col min="2853" max="2853" customWidth="1" width="11.42578125"/>
    <col min="2854" max="2854" customWidth="1" width="11.42578125"/>
    <col min="2855" max="2855" customWidth="1" width="11.42578125"/>
    <col min="2856" max="2856" customWidth="1" width="11.42578125"/>
    <col min="2857" max="2857" customWidth="1" width="11.42578125"/>
    <col min="2858" max="2858" customWidth="1" width="11.42578125"/>
    <col min="2859" max="2859" customWidth="1" width="11.42578125"/>
    <col min="2860" max="2860" customWidth="1" width="11.42578125"/>
    <col min="2861" max="2861" customWidth="1" width="11.42578125"/>
    <col min="2862" max="2862" customWidth="1" width="11.42578125"/>
    <col min="2863" max="2863" customWidth="1" width="11.42578125"/>
    <col min="2864" max="2864" customWidth="1" width="11.42578125"/>
    <col min="2865" max="2865" customWidth="1" width="11.42578125"/>
    <col min="2866" max="2866" customWidth="1" width="11.42578125"/>
    <col min="2867" max="2867" customWidth="1" width="11.42578125"/>
    <col min="2868" max="2868" customWidth="1" width="11.42578125"/>
    <col min="2869" max="2869" customWidth="1" width="11.42578125"/>
    <col min="2870" max="2870" customWidth="1" width="11.42578125"/>
    <col min="2871" max="2871" customWidth="1" width="11.42578125"/>
    <col min="2872" max="2872" customWidth="1" width="11.42578125"/>
    <col min="2873" max="2873" customWidth="1" width="11.42578125"/>
    <col min="2874" max="2874" customWidth="1" width="11.42578125"/>
    <col min="2875" max="2875" customWidth="1" width="11.42578125"/>
    <col min="2876" max="2876" customWidth="1" width="11.42578125"/>
    <col min="2877" max="2877" customWidth="1" width="11.42578125"/>
    <col min="2878" max="2878" customWidth="1" width="11.42578125"/>
    <col min="2879" max="2879" customWidth="1" width="11.42578125"/>
    <col min="2880" max="2880" customWidth="1" width="11.42578125"/>
    <col min="2881" max="2881" customWidth="1" width="11.42578125"/>
    <col min="2882" max="2882" customWidth="1" width="11.42578125"/>
    <col min="2883" max="2883" customWidth="1" width="11.42578125"/>
    <col min="2884" max="2884" customWidth="1" width="11.42578125"/>
    <col min="2885" max="2885" customWidth="1" width="11.42578125"/>
    <col min="2886" max="2886" customWidth="1" width="11.42578125"/>
    <col min="2887" max="2887" customWidth="1" width="11.42578125"/>
    <col min="2888" max="2888" customWidth="1" width="11.42578125"/>
    <col min="2889" max="2889" customWidth="1" width="11.42578125"/>
    <col min="2890" max="2890" customWidth="1" width="11.42578125"/>
    <col min="2891" max="2891" customWidth="1" width="11.42578125"/>
    <col min="2892" max="2892" customWidth="1" width="11.42578125"/>
    <col min="2893" max="2893" customWidth="1" width="11.42578125"/>
    <col min="2894" max="2894" customWidth="1" width="11.42578125"/>
    <col min="2895" max="2895" customWidth="1" width="11.42578125"/>
    <col min="2896" max="2896" customWidth="1" width="11.42578125"/>
    <col min="2897" max="2897" customWidth="1" width="11.42578125"/>
    <col min="2898" max="2898" customWidth="1" width="11.42578125"/>
    <col min="2899" max="2899" customWidth="1" width="11.42578125"/>
    <col min="2900" max="2900" customWidth="1" width="11.42578125"/>
    <col min="2901" max="2901" customWidth="1" width="11.42578125"/>
    <col min="2902" max="2902" customWidth="1" width="11.42578125"/>
    <col min="2903" max="2903" customWidth="1" width="11.42578125"/>
    <col min="2904" max="2904" customWidth="1" width="11.42578125"/>
    <col min="2905" max="2905" customWidth="1" width="11.42578125"/>
    <col min="2906" max="2906" customWidth="1" width="11.42578125"/>
    <col min="2907" max="2907" customWidth="1" width="11.42578125"/>
    <col min="2908" max="2908" customWidth="1" width="11.42578125"/>
    <col min="2909" max="2909" customWidth="1" width="11.42578125"/>
    <col min="2910" max="2910" customWidth="1" width="11.42578125"/>
    <col min="2911" max="2911" customWidth="1" width="11.42578125"/>
    <col min="2912" max="2912" customWidth="1" width="11.42578125"/>
    <col min="2913" max="2913" customWidth="1" width="11.42578125"/>
    <col min="2914" max="2914" customWidth="1" width="11.42578125"/>
    <col min="2915" max="2915" customWidth="1" width="11.42578125"/>
    <col min="2916" max="2916" customWidth="1" width="11.42578125"/>
    <col min="2917" max="2917" customWidth="1" width="11.42578125"/>
    <col min="2918" max="2918" customWidth="1" width="11.42578125"/>
    <col min="2919" max="2919" customWidth="1" width="11.42578125"/>
    <col min="2920" max="2920" customWidth="1" width="11.42578125"/>
    <col min="2921" max="2921" customWidth="1" width="11.42578125"/>
    <col min="2922" max="2922" customWidth="1" width="11.42578125"/>
    <col min="2923" max="2923" customWidth="1" width="11.42578125"/>
    <col min="2924" max="2924" customWidth="1" width="11.42578125"/>
    <col min="2925" max="2925" customWidth="1" width="11.42578125"/>
    <col min="2926" max="2926" customWidth="1" width="11.42578125"/>
    <col min="2927" max="2927" customWidth="1" width="11.42578125"/>
    <col min="2928" max="2928" customWidth="1" width="11.42578125"/>
    <col min="2929" max="2929" customWidth="1" width="11.42578125"/>
    <col min="2930" max="2930" customWidth="1" width="11.42578125"/>
    <col min="2931" max="2931" customWidth="1" width="11.42578125"/>
    <col min="2932" max="2932" customWidth="1" width="11.42578125"/>
    <col min="2933" max="2933" customWidth="1" width="11.42578125"/>
    <col min="2934" max="2934" customWidth="1" width="11.42578125"/>
    <col min="2935" max="2935" customWidth="1" width="11.42578125"/>
    <col min="2936" max="2936" customWidth="1" width="11.42578125"/>
    <col min="2937" max="2937" customWidth="1" width="11.42578125"/>
    <col min="2938" max="2938" customWidth="1" width="11.42578125"/>
    <col min="2939" max="2939" customWidth="1" width="11.42578125"/>
    <col min="2940" max="2940" customWidth="1" width="11.42578125"/>
    <col min="2941" max="2941" customWidth="1" width="11.42578125"/>
    <col min="2942" max="2942" customWidth="1" width="11.42578125"/>
    <col min="2943" max="2943" customWidth="1" width="11.42578125"/>
    <col min="2944" max="2944" customWidth="1" width="11.42578125"/>
    <col min="2945" max="2945" customWidth="1" width="11.42578125"/>
    <col min="2946" max="2946" customWidth="1" width="11.42578125"/>
    <col min="2947" max="2947" customWidth="1" width="11.42578125"/>
    <col min="2948" max="2948" customWidth="1" width="11.42578125"/>
    <col min="2949" max="2949" customWidth="1" width="11.42578125"/>
    <col min="2950" max="2950" customWidth="1" width="11.42578125"/>
    <col min="2951" max="2951" customWidth="1" width="11.42578125"/>
    <col min="2952" max="2952" customWidth="1" width="11.42578125"/>
    <col min="2953" max="2953" customWidth="1" width="11.42578125"/>
    <col min="2954" max="2954" customWidth="1" width="11.42578125"/>
    <col min="2955" max="2955" customWidth="1" width="11.42578125"/>
    <col min="2956" max="2956" customWidth="1" width="11.42578125"/>
    <col min="2957" max="2957" customWidth="1" width="11.42578125"/>
    <col min="2958" max="2958" customWidth="1" width="11.42578125"/>
    <col min="2959" max="2959" customWidth="1" width="11.42578125"/>
    <col min="2960" max="2960" customWidth="1" width="11.42578125"/>
    <col min="2961" max="2961" customWidth="1" width="11.42578125"/>
    <col min="2962" max="2962" customWidth="1" width="11.42578125"/>
    <col min="2963" max="2963" customWidth="1" width="11.42578125"/>
    <col min="2964" max="2964" customWidth="1" width="11.42578125"/>
    <col min="2965" max="2965" customWidth="1" width="11.42578125"/>
    <col min="2966" max="2966" customWidth="1" width="11.42578125"/>
    <col min="2967" max="2967" customWidth="1" width="11.42578125"/>
    <col min="2968" max="2968" customWidth="1" width="11.42578125"/>
    <col min="2969" max="2969" customWidth="1" width="11.42578125"/>
    <col min="2970" max="2970" customWidth="1" width="11.42578125"/>
    <col min="2971" max="2971" customWidth="1" width="11.42578125"/>
    <col min="2972" max="2972" customWidth="1" width="11.42578125"/>
    <col min="2973" max="2973" customWidth="1" width="11.42578125"/>
    <col min="2974" max="2974" customWidth="1" width="11.42578125"/>
    <col min="2975" max="2975" customWidth="1" width="11.42578125"/>
    <col min="2976" max="2976" customWidth="1" width="11.42578125"/>
    <col min="2977" max="2977" customWidth="1" width="11.42578125"/>
    <col min="2978" max="2978" customWidth="1" width="11.42578125"/>
    <col min="2979" max="2979" customWidth="1" width="11.42578125"/>
    <col min="2980" max="2980" customWidth="1" width="11.42578125"/>
    <col min="2981" max="2981" customWidth="1" width="11.42578125"/>
    <col min="2982" max="2982" customWidth="1" width="11.42578125"/>
    <col min="2983" max="2983" customWidth="1" width="11.42578125"/>
    <col min="2984" max="2984" customWidth="1" width="11.42578125"/>
    <col min="2985" max="2985" customWidth="1" width="11.42578125"/>
    <col min="2986" max="2986" customWidth="1" width="11.42578125"/>
    <col min="2987" max="2987" customWidth="1" width="11.42578125"/>
    <col min="2988" max="2988" customWidth="1" width="11.42578125"/>
    <col min="2989" max="2989" customWidth="1" width="11.42578125"/>
    <col min="2990" max="2990" customWidth="1" width="11.42578125"/>
    <col min="2991" max="2991" customWidth="1" width="11.42578125"/>
    <col min="2992" max="2992" customWidth="1" width="11.42578125"/>
    <col min="2993" max="2993" customWidth="1" width="11.42578125"/>
    <col min="2994" max="2994" customWidth="1" width="11.42578125"/>
    <col min="2995" max="2995" customWidth="1" width="11.42578125"/>
    <col min="2996" max="2996" customWidth="1" width="11.42578125"/>
    <col min="2997" max="2997" customWidth="1" width="11.42578125"/>
    <col min="2998" max="2998" customWidth="1" width="11.42578125"/>
    <col min="2999" max="2999" customWidth="1" width="11.42578125"/>
    <col min="3000" max="3000" customWidth="1" width="11.42578125"/>
    <col min="3001" max="3001" customWidth="1" width="11.42578125"/>
    <col min="3002" max="3002" customWidth="1" width="11.42578125"/>
    <col min="3003" max="3003" customWidth="1" width="11.42578125"/>
    <col min="3004" max="3004" customWidth="1" width="11.42578125"/>
    <col min="3005" max="3005" customWidth="1" width="11.42578125"/>
    <col min="3006" max="3006" customWidth="1" width="11.42578125"/>
    <col min="3007" max="3007" customWidth="1" width="11.42578125"/>
    <col min="3008" max="3008" customWidth="1" width="11.42578125"/>
    <col min="3009" max="3009" customWidth="1" width="11.42578125"/>
    <col min="3010" max="3010" customWidth="1" width="11.42578125"/>
    <col min="3011" max="3011" customWidth="1" width="11.42578125"/>
    <col min="3012" max="3012" customWidth="1" width="11.42578125"/>
    <col min="3013" max="3013" customWidth="1" width="11.42578125"/>
    <col min="3014" max="3014" customWidth="1" width="11.42578125"/>
    <col min="3015" max="3015" customWidth="1" width="11.42578125"/>
    <col min="3016" max="3016" customWidth="1" width="11.42578125"/>
    <col min="3017" max="3017" customWidth="1" width="11.42578125"/>
    <col min="3018" max="3018" customWidth="1" width="11.42578125"/>
    <col min="3019" max="3019" customWidth="1" width="11.42578125"/>
    <col min="3020" max="3020" customWidth="1" width="11.42578125"/>
    <col min="3021" max="3021" customWidth="1" width="11.42578125"/>
    <col min="3022" max="3022" customWidth="1" width="11.42578125"/>
    <col min="3023" max="3023" customWidth="1" width="11.42578125"/>
    <col min="3024" max="3024" customWidth="1" width="11.42578125"/>
    <col min="3025" max="3025" customWidth="1" width="11.42578125"/>
    <col min="3026" max="3026" customWidth="1" width="11.42578125"/>
    <col min="3027" max="3027" customWidth="1" width="11.42578125"/>
    <col min="3028" max="3028" customWidth="1" width="11.42578125"/>
    <col min="3029" max="3029" customWidth="1" width="11.42578125"/>
    <col min="3030" max="3030" customWidth="1" width="11.42578125"/>
    <col min="3031" max="3031" customWidth="1" width="11.42578125"/>
    <col min="3032" max="3032" customWidth="1" width="11.42578125"/>
    <col min="3033" max="3033" customWidth="1" width="11.42578125"/>
    <col min="3034" max="3034" customWidth="1" width="11.42578125"/>
    <col min="3035" max="3035" customWidth="1" width="11.42578125"/>
    <col min="3036" max="3036" customWidth="1" width="11.42578125"/>
    <col min="3037" max="3037" customWidth="1" width="11.42578125"/>
    <col min="3038" max="3038" customWidth="1" width="11.42578125"/>
    <col min="3039" max="3039" customWidth="1" width="11.42578125"/>
    <col min="3040" max="3040" customWidth="1" width="11.42578125"/>
    <col min="3041" max="3041" customWidth="1" width="11.42578125"/>
    <col min="3042" max="3042" customWidth="1" width="11.42578125"/>
    <col min="3043" max="3043" customWidth="1" width="11.42578125"/>
    <col min="3044" max="3044" customWidth="1" width="11.42578125"/>
    <col min="3045" max="3045" customWidth="1" width="11.42578125"/>
    <col min="3046" max="3046" customWidth="1" width="11.42578125"/>
    <col min="3047" max="3047" customWidth="1" width="11.42578125"/>
    <col min="3048" max="3048" customWidth="1" width="11.42578125"/>
    <col min="3049" max="3049" customWidth="1" width="11.42578125"/>
    <col min="3050" max="3050" customWidth="1" width="11.42578125"/>
    <col min="3051" max="3051" customWidth="1" width="11.42578125"/>
    <col min="3052" max="3052" customWidth="1" width="11.42578125"/>
    <col min="3053" max="3053" customWidth="1" width="11.42578125"/>
    <col min="3054" max="3054" customWidth="1" width="11.42578125"/>
    <col min="3055" max="3055" customWidth="1" width="11.42578125"/>
    <col min="3056" max="3056" customWidth="1" width="11.42578125"/>
    <col min="3057" max="3057" customWidth="1" width="11.42578125"/>
    <col min="3058" max="3058" customWidth="1" width="11.42578125"/>
    <col min="3059" max="3059" customWidth="1" width="11.42578125"/>
    <col min="3060" max="3060" customWidth="1" width="11.42578125"/>
    <col min="3061" max="3061" customWidth="1" width="11.42578125"/>
    <col min="3062" max="3062" customWidth="1" width="11.42578125"/>
    <col min="3063" max="3063" customWidth="1" width="11.42578125"/>
    <col min="3064" max="3064" customWidth="1" width="11.42578125"/>
    <col min="3065" max="3065" customWidth="1" width="11.42578125"/>
    <col min="3066" max="3066" customWidth="1" width="11.42578125"/>
    <col min="3067" max="3067" customWidth="1" width="11.42578125"/>
    <col min="3068" max="3068" customWidth="1" width="11.42578125"/>
    <col min="3069" max="3069" customWidth="1" width="11.42578125"/>
    <col min="3070" max="3070" customWidth="1" width="11.42578125"/>
    <col min="3071" max="3071" customWidth="1" width="11.42578125"/>
    <col min="3072" max="3072" customWidth="1" width="11.42578125"/>
    <col min="3073" max="3073" customWidth="1" width="11.42578125"/>
    <col min="3074" max="3074" customWidth="1" width="11.42578125"/>
    <col min="3075" max="3075" customWidth="1" width="11.42578125"/>
    <col min="3076" max="3076" customWidth="1" width="11.42578125"/>
    <col min="3077" max="3077" customWidth="1" width="11.42578125"/>
    <col min="3078" max="3078" customWidth="1" width="11.42578125"/>
    <col min="3079" max="3079" customWidth="1" width="11.42578125"/>
    <col min="3080" max="3080" customWidth="1" width="11.42578125"/>
    <col min="3081" max="3081" customWidth="1" width="11.42578125"/>
    <col min="3082" max="3082" customWidth="1" width="11.42578125"/>
    <col min="3083" max="3083" customWidth="1" width="11.42578125"/>
    <col min="3084" max="3084" customWidth="1" width="11.42578125"/>
    <col min="3085" max="3085" customWidth="1" width="11.42578125"/>
    <col min="3086" max="3086" customWidth="1" width="11.42578125"/>
    <col min="3087" max="3087" customWidth="1" width="11.42578125"/>
    <col min="3088" max="3088" customWidth="1" width="11.42578125"/>
    <col min="3089" max="3089" customWidth="1" width="11.42578125"/>
    <col min="3090" max="3090" customWidth="1" width="11.42578125"/>
    <col min="3091" max="3091" customWidth="1" width="11.42578125"/>
    <col min="3092" max="3092" customWidth="1" width="11.42578125"/>
    <col min="3093" max="3093" customWidth="1" width="11.42578125"/>
    <col min="3094" max="3094" customWidth="1" width="11.42578125"/>
    <col min="3095" max="3095" customWidth="1" width="11.42578125"/>
    <col min="3096" max="3096" customWidth="1" width="11.42578125"/>
    <col min="3097" max="3097" customWidth="1" width="11.42578125"/>
    <col min="3098" max="3098" customWidth="1" width="11.42578125"/>
    <col min="3099" max="3099" customWidth="1" width="11.42578125"/>
    <col min="3100" max="3100" customWidth="1" width="11.42578125"/>
    <col min="3101" max="3101" customWidth="1" width="11.42578125"/>
    <col min="3102" max="3102" customWidth="1" width="11.42578125"/>
    <col min="3103" max="3103" customWidth="1" width="11.42578125"/>
    <col min="3104" max="3104" customWidth="1" width="11.42578125"/>
    <col min="3105" max="3105" customWidth="1" width="11.42578125"/>
    <col min="3106" max="3106" customWidth="1" width="11.42578125"/>
    <col min="3107" max="3107" customWidth="1" width="11.42578125"/>
    <col min="3108" max="3108" customWidth="1" width="11.42578125"/>
    <col min="3109" max="3109" customWidth="1" width="11.42578125"/>
    <col min="3110" max="3110" customWidth="1" width="11.42578125"/>
    <col min="3111" max="3111" customWidth="1" width="11.42578125"/>
    <col min="3112" max="3112" customWidth="1" width="11.42578125"/>
    <col min="3113" max="3113" customWidth="1" width="11.42578125"/>
    <col min="3114" max="3114" customWidth="1" width="11.42578125"/>
    <col min="3115" max="3115" customWidth="1" width="11.42578125"/>
    <col min="3116" max="3116" customWidth="1" width="11.42578125"/>
    <col min="3117" max="3117" customWidth="1" width="11.42578125"/>
    <col min="3118" max="3118" customWidth="1" width="11.42578125"/>
    <col min="3119" max="3119" customWidth="1" width="11.42578125"/>
    <col min="3120" max="3120" customWidth="1" width="11.42578125"/>
    <col min="3121" max="3121" customWidth="1" width="11.42578125"/>
    <col min="3122" max="3122" customWidth="1" width="11.42578125"/>
    <col min="3123" max="3123" customWidth="1" width="11.42578125"/>
    <col min="3124" max="3124" customWidth="1" width="11.42578125"/>
    <col min="3125" max="3125" customWidth="1" width="11.42578125"/>
    <col min="3126" max="3126" customWidth="1" width="11.42578125"/>
    <col min="3127" max="3127" customWidth="1" width="11.42578125"/>
    <col min="3128" max="3128" customWidth="1" width="11.42578125"/>
    <col min="3129" max="3129" customWidth="1" width="11.42578125"/>
    <col min="3130" max="3130" customWidth="1" width="11.42578125"/>
    <col min="3131" max="3131" customWidth="1" width="11.42578125"/>
    <col min="3132" max="3132" customWidth="1" width="11.42578125"/>
    <col min="3133" max="3133" customWidth="1" width="11.42578125"/>
    <col min="3134" max="3134" customWidth="1" width="11.42578125"/>
    <col min="3135" max="3135" customWidth="1" width="11.42578125"/>
    <col min="3136" max="3136" customWidth="1" width="11.42578125"/>
    <col min="3137" max="3137" customWidth="1" width="11.42578125"/>
    <col min="3138" max="3138" customWidth="1" width="11.42578125"/>
    <col min="3139" max="3139" customWidth="1" width="11.42578125"/>
    <col min="3140" max="3140" customWidth="1" width="11.42578125"/>
    <col min="3141" max="3141" customWidth="1" width="11.42578125"/>
    <col min="3142" max="3142" customWidth="1" width="11.42578125"/>
    <col min="3143" max="3143" customWidth="1" width="11.42578125"/>
    <col min="3144" max="3144" customWidth="1" width="11.42578125"/>
    <col min="3145" max="3145" customWidth="1" width="11.42578125"/>
    <col min="3146" max="3146" customWidth="1" width="11.42578125"/>
    <col min="3147" max="3147" customWidth="1" width="11.42578125"/>
    <col min="3148" max="3148" customWidth="1" width="11.42578125"/>
    <col min="3149" max="3149" customWidth="1" width="11.42578125"/>
    <col min="3150" max="3150" customWidth="1" width="11.42578125"/>
    <col min="3151" max="3151" customWidth="1" width="11.42578125"/>
    <col min="3152" max="3152" customWidth="1" width="11.42578125"/>
    <col min="3153" max="3153" customWidth="1" width="11.42578125"/>
    <col min="3154" max="3154" customWidth="1" width="11.42578125"/>
    <col min="3155" max="3155" customWidth="1" width="11.42578125"/>
    <col min="3156" max="3156" customWidth="1" width="11.42578125"/>
    <col min="3157" max="3157" customWidth="1" width="11.42578125"/>
    <col min="3158" max="3158" customWidth="1" width="11.42578125"/>
    <col min="3159" max="3159" customWidth="1" width="11.42578125"/>
    <col min="3160" max="3160" customWidth="1" width="11.42578125"/>
    <col min="3161" max="3161" customWidth="1" width="11.42578125"/>
    <col min="3162" max="3162" customWidth="1" width="11.42578125"/>
    <col min="3163" max="3163" customWidth="1" width="11.42578125"/>
    <col min="3164" max="3164" customWidth="1" width="11.42578125"/>
    <col min="3165" max="3165" customWidth="1" width="11.42578125"/>
    <col min="3166" max="3166" customWidth="1" width="11.42578125"/>
    <col min="3167" max="3167" customWidth="1" width="11.42578125"/>
    <col min="3168" max="3168" customWidth="1" width="11.42578125"/>
    <col min="3169" max="3169" customWidth="1" width="11.42578125"/>
    <col min="3170" max="3170" customWidth="1" width="11.42578125"/>
    <col min="3171" max="3171" customWidth="1" width="11.42578125"/>
    <col min="3172" max="3172" customWidth="1" width="11.42578125"/>
    <col min="3173" max="3173" customWidth="1" width="11.42578125"/>
    <col min="3174" max="3174" customWidth="1" width="11.42578125"/>
    <col min="3175" max="3175" customWidth="1" width="11.42578125"/>
    <col min="3176" max="3176" customWidth="1" width="11.42578125"/>
    <col min="3177" max="3177" customWidth="1" width="11.42578125"/>
    <col min="3178" max="3178" customWidth="1" width="11.42578125"/>
    <col min="3179" max="3179" customWidth="1" width="11.42578125"/>
    <col min="3180" max="3180" customWidth="1" width="11.42578125"/>
    <col min="3181" max="3181" customWidth="1" width="11.42578125"/>
    <col min="3182" max="3182" customWidth="1" width="11.42578125"/>
    <col min="3183" max="3183" customWidth="1" width="11.42578125"/>
    <col min="3184" max="3184" customWidth="1" width="11.42578125"/>
    <col min="3185" max="3185" customWidth="1" width="11.42578125"/>
    <col min="3186" max="3186" customWidth="1" width="11.42578125"/>
    <col min="3187" max="3187" customWidth="1" width="11.42578125"/>
    <col min="3188" max="3188" customWidth="1" width="11.42578125"/>
    <col min="3189" max="3189" customWidth="1" width="11.42578125"/>
    <col min="3190" max="3190" customWidth="1" width="11.42578125"/>
    <col min="3191" max="3191" customWidth="1" width="11.42578125"/>
    <col min="3192" max="3192" customWidth="1" width="11.42578125"/>
    <col min="3193" max="3193" customWidth="1" width="11.42578125"/>
    <col min="3194" max="3194" customWidth="1" width="11.42578125"/>
    <col min="3195" max="3195" customWidth="1" width="11.42578125"/>
    <col min="3196" max="3196" customWidth="1" width="11.42578125"/>
    <col min="3197" max="3197" customWidth="1" width="11.42578125"/>
    <col min="3198" max="3198" customWidth="1" width="11.42578125"/>
    <col min="3199" max="3199" customWidth="1" width="11.42578125"/>
    <col min="3200" max="3200" customWidth="1" width="11.42578125"/>
    <col min="3201" max="3201" customWidth="1" width="11.42578125"/>
    <col min="3202" max="3202" customWidth="1" width="11.42578125"/>
    <col min="3203" max="3203" customWidth="1" width="11.42578125"/>
    <col min="3204" max="3204" customWidth="1" width="11.42578125"/>
    <col min="3205" max="3205" customWidth="1" width="11.42578125"/>
    <col min="3206" max="3206" customWidth="1" width="11.42578125"/>
    <col min="3207" max="3207" customWidth="1" width="11.42578125"/>
    <col min="3208" max="3208" customWidth="1" width="11.42578125"/>
    <col min="3209" max="3209" customWidth="1" width="11.42578125"/>
    <col min="3210" max="3210" customWidth="1" width="11.42578125"/>
    <col min="3211" max="3211" customWidth="1" width="11.42578125"/>
    <col min="3212" max="3212" customWidth="1" width="11.42578125"/>
    <col min="3213" max="3213" customWidth="1" width="11.42578125"/>
    <col min="3214" max="3214" customWidth="1" width="11.42578125"/>
    <col min="3215" max="3215" customWidth="1" width="11.42578125"/>
    <col min="3216" max="3216" customWidth="1" width="11.42578125"/>
    <col min="3217" max="3217" customWidth="1" width="11.42578125"/>
    <col min="3218" max="3218" customWidth="1" width="11.42578125"/>
    <col min="3219" max="3219" customWidth="1" width="11.42578125"/>
    <col min="3220" max="3220" customWidth="1" width="11.42578125"/>
    <col min="3221" max="3221" customWidth="1" width="11.42578125"/>
    <col min="3222" max="3222" customWidth="1" width="11.42578125"/>
    <col min="3223" max="3223" customWidth="1" width="11.42578125"/>
    <col min="3224" max="3224" customWidth="1" width="11.42578125"/>
    <col min="3225" max="3225" customWidth="1" width="11.42578125"/>
    <col min="3226" max="3226" customWidth="1" width="11.42578125"/>
    <col min="3227" max="3227" customWidth="1" width="11.42578125"/>
    <col min="3228" max="3228" customWidth="1" width="11.42578125"/>
    <col min="3229" max="3229" customWidth="1" width="11.42578125"/>
    <col min="3230" max="3230" customWidth="1" width="11.42578125"/>
    <col min="3231" max="3231" customWidth="1" width="11.42578125"/>
    <col min="3232" max="3232" customWidth="1" width="11.42578125"/>
    <col min="3233" max="3233" customWidth="1" width="11.42578125"/>
    <col min="3234" max="3234" customWidth="1" width="11.42578125"/>
    <col min="3235" max="3235" customWidth="1" width="11.42578125"/>
    <col min="3236" max="3236" customWidth="1" width="11.42578125"/>
    <col min="3237" max="3237" customWidth="1" width="11.42578125"/>
    <col min="3238" max="3238" customWidth="1" width="11.42578125"/>
    <col min="3239" max="3239" customWidth="1" width="11.42578125"/>
    <col min="3240" max="3240" customWidth="1" width="11.42578125"/>
    <col min="3241" max="3241" customWidth="1" width="11.42578125"/>
    <col min="3242" max="3242" customWidth="1" width="11.42578125"/>
    <col min="3243" max="3243" customWidth="1" width="11.42578125"/>
    <col min="3244" max="3244" customWidth="1" width="11.42578125"/>
    <col min="3245" max="3245" customWidth="1" width="11.42578125"/>
    <col min="3246" max="3246" customWidth="1" width="11.42578125"/>
    <col min="3247" max="3247" customWidth="1" width="11.42578125"/>
    <col min="3248" max="3248" customWidth="1" width="11.42578125"/>
    <col min="3249" max="3249" customWidth="1" width="11.42578125"/>
    <col min="3250" max="3250" customWidth="1" width="11.42578125"/>
    <col min="3251" max="3251" customWidth="1" width="11.42578125"/>
    <col min="3252" max="3252" customWidth="1" width="11.42578125"/>
    <col min="3253" max="3253" customWidth="1" width="11.42578125"/>
    <col min="3254" max="3254" customWidth="1" width="11.42578125"/>
    <col min="3255" max="3255" customWidth="1" width="11.42578125"/>
    <col min="3256" max="3256" customWidth="1" width="11.42578125"/>
    <col min="3257" max="3257" customWidth="1" width="11.42578125"/>
    <col min="3258" max="3258" customWidth="1" width="11.42578125"/>
    <col min="3259" max="3259" customWidth="1" width="11.42578125"/>
    <col min="3260" max="3260" customWidth="1" width="11.42578125"/>
    <col min="3261" max="3261" customWidth="1" width="11.42578125"/>
    <col min="3262" max="3262" customWidth="1" width="11.42578125"/>
    <col min="3263" max="3263" customWidth="1" width="11.42578125"/>
    <col min="3264" max="3264" customWidth="1" width="11.42578125"/>
    <col min="3265" max="3265" customWidth="1" width="11.42578125"/>
    <col min="3266" max="3266" customWidth="1" width="11.42578125"/>
    <col min="3267" max="3267" customWidth="1" width="11.42578125"/>
    <col min="3268" max="3268" customWidth="1" width="11.42578125"/>
    <col min="3269" max="3269" customWidth="1" width="11.42578125"/>
    <col min="3270" max="3270" customWidth="1" width="11.42578125"/>
    <col min="3271" max="3271" customWidth="1" width="11.42578125"/>
    <col min="3272" max="3272" customWidth="1" width="11.42578125"/>
    <col min="3273" max="3273" customWidth="1" width="11.42578125"/>
    <col min="3274" max="3274" customWidth="1" width="11.42578125"/>
    <col min="3275" max="3275" customWidth="1" width="11.42578125"/>
    <col min="3276" max="3276" customWidth="1" width="11.42578125"/>
    <col min="3277" max="3277" customWidth="1" width="11.42578125"/>
    <col min="3278" max="3278" customWidth="1" width="11.42578125"/>
    <col min="3279" max="3279" customWidth="1" width="11.42578125"/>
    <col min="3280" max="3280" customWidth="1" width="11.42578125"/>
    <col min="3281" max="3281" customWidth="1" width="11.42578125"/>
    <col min="3282" max="3282" customWidth="1" width="11.42578125"/>
    <col min="3283" max="3283" customWidth="1" width="11.42578125"/>
    <col min="3284" max="3284" customWidth="1" width="11.42578125"/>
    <col min="3285" max="3285" customWidth="1" width="11.42578125"/>
    <col min="3286" max="3286" customWidth="1" width="11.42578125"/>
    <col min="3287" max="3287" customWidth="1" width="11.42578125"/>
    <col min="3288" max="3288" customWidth="1" width="11.42578125"/>
    <col min="3289" max="3289" customWidth="1" width="11.42578125"/>
    <col min="3290" max="3290" customWidth="1" width="11.42578125"/>
    <col min="3291" max="3291" customWidth="1" width="11.42578125"/>
    <col min="3292" max="3292" customWidth="1" width="11.42578125"/>
    <col min="3293" max="3293" customWidth="1" width="11.42578125"/>
    <col min="3294" max="3294" customWidth="1" width="11.42578125"/>
    <col min="3295" max="3295" customWidth="1" width="11.42578125"/>
    <col min="3296" max="3296" customWidth="1" width="11.42578125"/>
    <col min="3297" max="3297" customWidth="1" width="11.42578125"/>
    <col min="3298" max="3298" customWidth="1" width="11.42578125"/>
    <col min="3299" max="3299" customWidth="1" width="11.42578125"/>
    <col min="3300" max="3300" customWidth="1" width="11.42578125"/>
    <col min="3301" max="3301" customWidth="1" width="11.42578125"/>
    <col min="3302" max="3302" customWidth="1" width="11.42578125"/>
    <col min="3303" max="3303" customWidth="1" width="11.42578125"/>
    <col min="3304" max="3304" customWidth="1" width="11.42578125"/>
    <col min="3305" max="3305" customWidth="1" width="11.42578125"/>
    <col min="3306" max="3306" customWidth="1" width="11.42578125"/>
    <col min="3307" max="3307" customWidth="1" width="11.42578125"/>
    <col min="3308" max="3308" customWidth="1" width="11.42578125"/>
    <col min="3309" max="3309" customWidth="1" width="11.42578125"/>
    <col min="3310" max="3310" customWidth="1" width="11.42578125"/>
    <col min="3311" max="3311" customWidth="1" width="11.42578125"/>
    <col min="3312" max="3312" customWidth="1" width="11.42578125"/>
    <col min="3313" max="3313" customWidth="1" width="11.42578125"/>
    <col min="3314" max="3314" customWidth="1" width="11.42578125"/>
    <col min="3315" max="3315" customWidth="1" width="11.42578125"/>
    <col min="3316" max="3316" customWidth="1" width="11.42578125"/>
    <col min="3317" max="3317" customWidth="1" width="11.42578125"/>
    <col min="3318" max="3318" customWidth="1" width="11.42578125"/>
    <col min="3319" max="3319" customWidth="1" width="11.42578125"/>
    <col min="3320" max="3320" customWidth="1" width="11.42578125"/>
    <col min="3321" max="3321" customWidth="1" width="11.42578125"/>
    <col min="3322" max="3322" customWidth="1" width="11.42578125"/>
    <col min="3323" max="3323" customWidth="1" width="11.42578125"/>
    <col min="3324" max="3324" customWidth="1" width="11.42578125"/>
    <col min="3325" max="3325" customWidth="1" width="11.42578125"/>
    <col min="3326" max="3326" customWidth="1" width="11.42578125"/>
    <col min="3327" max="3327" customWidth="1" width="11.42578125"/>
    <col min="3328" max="3328" customWidth="1" width="11.42578125"/>
    <col min="3329" max="3329" customWidth="1" width="11.42578125"/>
    <col min="3330" max="3330" customWidth="1" width="11.42578125"/>
    <col min="3331" max="3331" customWidth="1" width="11.42578125"/>
    <col min="3332" max="3332" customWidth="1" width="11.42578125"/>
    <col min="3333" max="3333" customWidth="1" width="11.42578125"/>
    <col min="3334" max="3334" customWidth="1" width="11.42578125"/>
    <col min="3335" max="3335" customWidth="1" width="11.42578125"/>
    <col min="3336" max="3336" customWidth="1" width="11.42578125"/>
    <col min="3337" max="3337" customWidth="1" width="11.42578125"/>
    <col min="3338" max="3338" customWidth="1" width="11.42578125"/>
    <col min="3339" max="3339" customWidth="1" width="11.42578125"/>
    <col min="3340" max="3340" customWidth="1" width="11.42578125"/>
    <col min="3341" max="3341" customWidth="1" width="11.42578125"/>
    <col min="3342" max="3342" customWidth="1" width="11.42578125"/>
    <col min="3343" max="3343" customWidth="1" width="11.42578125"/>
    <col min="3344" max="3344" customWidth="1" width="11.42578125"/>
    <col min="3345" max="3345" customWidth="1" width="11.42578125"/>
    <col min="3346" max="3346" customWidth="1" width="11.42578125"/>
    <col min="3347" max="3347" customWidth="1" width="11.42578125"/>
    <col min="3348" max="3348" customWidth="1" width="11.42578125"/>
    <col min="3349" max="3349" customWidth="1" width="11.42578125"/>
    <col min="3350" max="3350" customWidth="1" width="11.42578125"/>
    <col min="3351" max="3351" customWidth="1" width="11.42578125"/>
    <col min="3352" max="3352" customWidth="1" width="11.42578125"/>
    <col min="3353" max="3353" customWidth="1" width="11.42578125"/>
    <col min="3354" max="3354" customWidth="1" width="11.42578125"/>
    <col min="3355" max="3355" customWidth="1" width="11.42578125"/>
    <col min="3356" max="3356" customWidth="1" width="11.42578125"/>
    <col min="3357" max="3357" customWidth="1" width="11.42578125"/>
    <col min="3358" max="3358" customWidth="1" width="11.42578125"/>
    <col min="3359" max="3359" customWidth="1" width="11.42578125"/>
    <col min="3360" max="3360" customWidth="1" width="11.42578125"/>
    <col min="3361" max="3361" customWidth="1" width="11.42578125"/>
    <col min="3362" max="3362" customWidth="1" width="11.42578125"/>
    <col min="3363" max="3363" customWidth="1" width="11.42578125"/>
    <col min="3364" max="3364" customWidth="1" width="11.42578125"/>
    <col min="3365" max="3365" customWidth="1" width="11.42578125"/>
    <col min="3366" max="3366" customWidth="1" width="11.42578125"/>
    <col min="3367" max="3367" customWidth="1" width="11.42578125"/>
    <col min="3368" max="3368" customWidth="1" width="11.42578125"/>
    <col min="3369" max="3369" customWidth="1" width="11.42578125"/>
    <col min="3370" max="3370" customWidth="1" width="11.42578125"/>
    <col min="3371" max="3371" customWidth="1" width="11.42578125"/>
    <col min="3372" max="3372" customWidth="1" width="11.42578125"/>
    <col min="3373" max="3373" customWidth="1" width="11.42578125"/>
    <col min="3374" max="3374" customWidth="1" width="11.42578125"/>
    <col min="3375" max="3375" customWidth="1" width="11.42578125"/>
    <col min="3376" max="3376" customWidth="1" width="11.42578125"/>
    <col min="3377" max="3377" customWidth="1" width="11.42578125"/>
    <col min="3378" max="3378" customWidth="1" width="11.42578125"/>
    <col min="3379" max="3379" customWidth="1" width="11.42578125"/>
    <col min="3380" max="3380" customWidth="1" width="11.42578125"/>
    <col min="3381" max="3381" customWidth="1" width="11.42578125"/>
    <col min="3382" max="3382" customWidth="1" width="11.42578125"/>
    <col min="3383" max="3383" customWidth="1" width="11.42578125"/>
    <col min="3384" max="3384" customWidth="1" width="11.42578125"/>
    <col min="3385" max="3385" customWidth="1" width="11.42578125"/>
    <col min="3386" max="3386" customWidth="1" width="11.42578125"/>
    <col min="3387" max="3387" customWidth="1" width="11.42578125"/>
    <col min="3388" max="3388" customWidth="1" width="11.42578125"/>
    <col min="3389" max="3389" customWidth="1" width="11.42578125"/>
    <col min="3390" max="3390" customWidth="1" width="11.42578125"/>
    <col min="3391" max="3391" customWidth="1" width="11.42578125"/>
    <col min="3392" max="3392" customWidth="1" width="11.42578125"/>
    <col min="3393" max="3393" customWidth="1" width="11.42578125"/>
    <col min="3394" max="3394" customWidth="1" width="11.42578125"/>
    <col min="3395" max="3395" customWidth="1" width="11.42578125"/>
    <col min="3396" max="3396" customWidth="1" width="11.42578125"/>
    <col min="3397" max="3397" customWidth="1" width="11.42578125"/>
    <col min="3398" max="3398" customWidth="1" width="11.42578125"/>
    <col min="3399" max="3399" customWidth="1" width="11.42578125"/>
    <col min="3400" max="3400" customWidth="1" width="11.42578125"/>
    <col min="3401" max="3401" customWidth="1" width="11.42578125"/>
    <col min="3402" max="3402" customWidth="1" width="11.42578125"/>
    <col min="3403" max="3403" customWidth="1" width="11.42578125"/>
    <col min="3404" max="3404" customWidth="1" width="11.42578125"/>
    <col min="3405" max="3405" customWidth="1" width="11.42578125"/>
    <col min="3406" max="3406" customWidth="1" width="11.42578125"/>
    <col min="3407" max="3407" customWidth="1" width="11.42578125"/>
    <col min="3408" max="3408" customWidth="1" width="11.42578125"/>
    <col min="3409" max="3409" customWidth="1" width="11.42578125"/>
    <col min="3410" max="3410" customWidth="1" width="11.42578125"/>
    <col min="3411" max="3411" customWidth="1" width="11.42578125"/>
    <col min="3412" max="3412" customWidth="1" width="11.42578125"/>
    <col min="3413" max="3413" customWidth="1" width="11.42578125"/>
    <col min="3414" max="3414" customWidth="1" width="11.42578125"/>
    <col min="3415" max="3415" customWidth="1" width="11.42578125"/>
    <col min="3416" max="3416" customWidth="1" width="11.42578125"/>
    <col min="3417" max="3417" customWidth="1" width="11.42578125"/>
    <col min="3418" max="3418" customWidth="1" width="11.42578125"/>
    <col min="3419" max="3419" customWidth="1" width="11.42578125"/>
    <col min="3420" max="3420" customWidth="1" width="11.42578125"/>
    <col min="3421" max="3421" customWidth="1" width="11.42578125"/>
    <col min="3422" max="3422" customWidth="1" width="11.42578125"/>
    <col min="3423" max="3423" customWidth="1" width="11.42578125"/>
    <col min="3424" max="3424" customWidth="1" width="11.42578125"/>
    <col min="3425" max="3425" customWidth="1" width="11.42578125"/>
    <col min="3426" max="3426" customWidth="1" width="11.42578125"/>
    <col min="3427" max="3427" customWidth="1" width="11.42578125"/>
    <col min="3428" max="3428" customWidth="1" width="11.42578125"/>
    <col min="3429" max="3429" customWidth="1" width="11.42578125"/>
    <col min="3430" max="3430" customWidth="1" width="11.42578125"/>
    <col min="3431" max="3431" customWidth="1" width="11.42578125"/>
    <col min="3432" max="3432" customWidth="1" width="11.42578125"/>
    <col min="3433" max="3433" customWidth="1" width="11.42578125"/>
    <col min="3434" max="3434" customWidth="1" width="11.42578125"/>
    <col min="3435" max="3435" customWidth="1" width="11.42578125"/>
    <col min="3436" max="3436" customWidth="1" width="11.42578125"/>
    <col min="3437" max="3437" customWidth="1" width="11.42578125"/>
    <col min="3438" max="3438" customWidth="1" width="11.42578125"/>
    <col min="3439" max="3439" customWidth="1" width="11.42578125"/>
    <col min="3440" max="3440" customWidth="1" width="11.42578125"/>
    <col min="3441" max="3441" customWidth="1" width="11.42578125"/>
    <col min="3442" max="3442" customWidth="1" width="11.42578125"/>
    <col min="3443" max="3443" customWidth="1" width="11.42578125"/>
    <col min="3444" max="3444" customWidth="1" width="11.42578125"/>
    <col min="3445" max="3445" customWidth="1" width="11.42578125"/>
    <col min="3446" max="3446" customWidth="1" width="11.42578125"/>
    <col min="3447" max="3447" customWidth="1" width="11.42578125"/>
    <col min="3448" max="3448" customWidth="1" width="11.42578125"/>
    <col min="3449" max="3449" customWidth="1" width="11.42578125"/>
    <col min="3450" max="3450" customWidth="1" width="11.42578125"/>
    <col min="3451" max="3451" customWidth="1" width="11.42578125"/>
    <col min="3452" max="3452" customWidth="1" width="11.42578125"/>
    <col min="3453" max="3453" customWidth="1" width="11.42578125"/>
    <col min="3454" max="3454" customWidth="1" width="11.42578125"/>
    <col min="3455" max="3455" customWidth="1" width="11.42578125"/>
    <col min="3456" max="3456" customWidth="1" width="11.42578125"/>
    <col min="3457" max="3457" customWidth="1" width="11.42578125"/>
    <col min="3458" max="3458" customWidth="1" width="11.42578125"/>
    <col min="3459" max="3459" customWidth="1" width="11.42578125"/>
    <col min="3460" max="3460" customWidth="1" width="11.42578125"/>
    <col min="3461" max="3461" customWidth="1" width="11.42578125"/>
    <col min="3462" max="3462" customWidth="1" width="11.42578125"/>
    <col min="3463" max="3463" customWidth="1" width="11.42578125"/>
    <col min="3464" max="3464" customWidth="1" width="11.42578125"/>
    <col min="3465" max="3465" customWidth="1" width="11.42578125"/>
    <col min="3466" max="3466" customWidth="1" width="11.42578125"/>
    <col min="3467" max="3467" customWidth="1" width="11.42578125"/>
    <col min="3468" max="3468" customWidth="1" width="11.42578125"/>
    <col min="3469" max="3469" customWidth="1" width="11.42578125"/>
    <col min="3470" max="3470" customWidth="1" width="11.42578125"/>
    <col min="3471" max="3471" customWidth="1" width="11.42578125"/>
    <col min="3472" max="3472" customWidth="1" width="11.42578125"/>
    <col min="3473" max="3473" customWidth="1" width="11.42578125"/>
    <col min="3474" max="3474" customWidth="1" width="11.42578125"/>
    <col min="3475" max="3475" customWidth="1" width="11.42578125"/>
    <col min="3476" max="3476" customWidth="1" width="11.42578125"/>
    <col min="3477" max="3477" customWidth="1" width="11.42578125"/>
    <col min="3478" max="3478" customWidth="1" width="11.42578125"/>
    <col min="3479" max="3479" customWidth="1" width="11.42578125"/>
    <col min="3480" max="3480" customWidth="1" width="11.42578125"/>
    <col min="3481" max="3481" customWidth="1" width="11.42578125"/>
    <col min="3482" max="3482" customWidth="1" width="11.42578125"/>
    <col min="3483" max="3483" customWidth="1" width="11.42578125"/>
    <col min="3484" max="3484" customWidth="1" width="11.42578125"/>
    <col min="3485" max="3485" customWidth="1" width="11.42578125"/>
    <col min="3486" max="3486" customWidth="1" width="11.42578125"/>
    <col min="3487" max="3487" customWidth="1" width="11.42578125"/>
    <col min="3488" max="3488" customWidth="1" width="11.42578125"/>
    <col min="3489" max="3489" customWidth="1" width="11.42578125"/>
    <col min="3490" max="3490" customWidth="1" width="11.42578125"/>
    <col min="3491" max="3491" customWidth="1" width="11.42578125"/>
    <col min="3492" max="3492" customWidth="1" width="11.42578125"/>
    <col min="3493" max="3493" customWidth="1" width="11.42578125"/>
    <col min="3494" max="3494" customWidth="1" width="11.42578125"/>
    <col min="3495" max="3495" customWidth="1" width="11.42578125"/>
    <col min="3496" max="3496" customWidth="1" width="11.42578125"/>
    <col min="3497" max="3497" customWidth="1" width="11.42578125"/>
    <col min="3498" max="3498" customWidth="1" width="11.42578125"/>
    <col min="3499" max="3499" customWidth="1" width="11.42578125"/>
    <col min="3500" max="3500" customWidth="1" width="11.42578125"/>
    <col min="3501" max="3501" customWidth="1" width="11.42578125"/>
    <col min="3502" max="3502" customWidth="1" width="11.42578125"/>
    <col min="3503" max="3503" customWidth="1" width="11.42578125"/>
    <col min="3504" max="3504" customWidth="1" width="11.42578125"/>
    <col min="3505" max="3505" customWidth="1" width="11.42578125"/>
    <col min="3506" max="3506" customWidth="1" width="11.42578125"/>
    <col min="3507" max="3507" customWidth="1" width="11.42578125"/>
    <col min="3508" max="3508" customWidth="1" width="11.42578125"/>
    <col min="3509" max="3509" customWidth="1" width="11.42578125"/>
    <col min="3510" max="3510" customWidth="1" width="11.42578125"/>
    <col min="3511" max="3511" customWidth="1" width="11.42578125"/>
    <col min="3512" max="3512" customWidth="1" width="11.42578125"/>
    <col min="3513" max="3513" customWidth="1" width="11.42578125"/>
    <col min="3514" max="3514" customWidth="1" width="11.42578125"/>
    <col min="3515" max="3515" customWidth="1" width="11.42578125"/>
    <col min="3516" max="3516" customWidth="1" width="11.42578125"/>
    <col min="3517" max="3517" customWidth="1" width="11.42578125"/>
    <col min="3518" max="3518" customWidth="1" width="11.42578125"/>
    <col min="3519" max="3519" customWidth="1" width="11.42578125"/>
    <col min="3520" max="3520" customWidth="1" width="11.42578125"/>
    <col min="3521" max="3521" customWidth="1" width="11.42578125"/>
    <col min="3522" max="3522" customWidth="1" width="11.42578125"/>
    <col min="3523" max="3523" customWidth="1" width="11.42578125"/>
    <col min="3524" max="3524" customWidth="1" width="11.42578125"/>
    <col min="3525" max="3525" customWidth="1" width="11.42578125"/>
    <col min="3526" max="3526" customWidth="1" width="11.42578125"/>
    <col min="3527" max="3527" customWidth="1" width="11.42578125"/>
    <col min="3528" max="3528" customWidth="1" width="11.42578125"/>
    <col min="3529" max="3529" customWidth="1" width="11.42578125"/>
    <col min="3530" max="3530" customWidth="1" width="11.42578125"/>
    <col min="3531" max="3531" customWidth="1" width="11.42578125"/>
    <col min="3532" max="3532" customWidth="1" width="11.42578125"/>
    <col min="3533" max="3533" customWidth="1" width="11.42578125"/>
    <col min="3534" max="3534" customWidth="1" width="11.42578125"/>
    <col min="3535" max="3535" customWidth="1" width="11.42578125"/>
    <col min="3536" max="3536" customWidth="1" width="11.42578125"/>
    <col min="3537" max="3537" customWidth="1" width="11.42578125"/>
    <col min="3538" max="3538" customWidth="1" width="11.42578125"/>
    <col min="3539" max="3539" customWidth="1" width="11.42578125"/>
    <col min="3540" max="3540" customWidth="1" width="11.42578125"/>
    <col min="3541" max="3541" customWidth="1" width="11.42578125"/>
    <col min="3542" max="3542" customWidth="1" width="11.42578125"/>
    <col min="3543" max="3543" customWidth="1" width="11.42578125"/>
    <col min="3544" max="3544" customWidth="1" width="11.42578125"/>
    <col min="3545" max="3545" customWidth="1" width="11.42578125"/>
    <col min="3546" max="3546" customWidth="1" width="11.42578125"/>
    <col min="3547" max="3547" customWidth="1" width="11.42578125"/>
    <col min="3548" max="3548" customWidth="1" width="11.42578125"/>
    <col min="3549" max="3549" customWidth="1" width="11.42578125"/>
    <col min="3550" max="3550" customWidth="1" width="11.42578125"/>
    <col min="3551" max="3551" customWidth="1" width="11.42578125"/>
    <col min="3552" max="3552" customWidth="1" width="11.42578125"/>
    <col min="3553" max="3553" customWidth="1" width="11.42578125"/>
    <col min="3554" max="3554" customWidth="1" width="11.42578125"/>
    <col min="3555" max="3555" customWidth="1" width="11.42578125"/>
    <col min="3556" max="3556" customWidth="1" width="11.42578125"/>
    <col min="3557" max="3557" customWidth="1" width="11.42578125"/>
    <col min="3558" max="3558" customWidth="1" width="11.42578125"/>
    <col min="3559" max="3559" customWidth="1" width="11.42578125"/>
    <col min="3560" max="3560" customWidth="1" width="11.42578125"/>
    <col min="3561" max="3561" customWidth="1" width="11.42578125"/>
    <col min="3562" max="3562" customWidth="1" width="11.42578125"/>
    <col min="3563" max="3563" customWidth="1" width="11.42578125"/>
    <col min="3564" max="3564" customWidth="1" width="11.42578125"/>
    <col min="3565" max="3565" customWidth="1" width="11.42578125"/>
    <col min="3566" max="3566" customWidth="1" width="11.42578125"/>
    <col min="3567" max="3567" customWidth="1" width="11.42578125"/>
    <col min="3568" max="3568" customWidth="1" width="11.42578125"/>
    <col min="3569" max="3569" customWidth="1" width="11.42578125"/>
    <col min="3570" max="3570" customWidth="1" width="11.42578125"/>
    <col min="3571" max="3571" customWidth="1" width="11.42578125"/>
    <col min="3572" max="3572" customWidth="1" width="11.42578125"/>
    <col min="3573" max="3573" customWidth="1" width="11.42578125"/>
    <col min="3574" max="3574" customWidth="1" width="11.42578125"/>
    <col min="3575" max="3575" customWidth="1" width="11.42578125"/>
    <col min="3576" max="3576" customWidth="1" width="11.42578125"/>
    <col min="3577" max="3577" customWidth="1" width="11.42578125"/>
    <col min="3578" max="3578" customWidth="1" width="11.42578125"/>
    <col min="3579" max="3579" customWidth="1" width="11.42578125"/>
    <col min="3580" max="3580" customWidth="1" width="11.42578125"/>
    <col min="3581" max="3581" customWidth="1" width="11.42578125"/>
    <col min="3582" max="3582" customWidth="1" width="11.42578125"/>
    <col min="3583" max="3583" customWidth="1" width="11.42578125"/>
    <col min="3584" max="3584" customWidth="1" width="11.42578125"/>
    <col min="3585" max="3585" customWidth="1" width="11.42578125"/>
    <col min="3586" max="3586" customWidth="1" width="11.42578125"/>
    <col min="3587" max="3587" customWidth="1" width="11.42578125"/>
    <col min="3588" max="3588" customWidth="1" width="11.42578125"/>
    <col min="3589" max="3589" customWidth="1" width="11.42578125"/>
    <col min="3590" max="3590" customWidth="1" width="11.42578125"/>
    <col min="3591" max="3591" customWidth="1" width="11.42578125"/>
    <col min="3592" max="3592" customWidth="1" width="11.42578125"/>
    <col min="3593" max="3593" customWidth="1" width="11.42578125"/>
    <col min="3594" max="3594" customWidth="1" width="11.42578125"/>
    <col min="3595" max="3595" customWidth="1" width="11.42578125"/>
    <col min="3596" max="3596" customWidth="1" width="11.42578125"/>
    <col min="3597" max="3597" customWidth="1" width="11.42578125"/>
    <col min="3598" max="3598" customWidth="1" width="11.42578125"/>
    <col min="3599" max="3599" customWidth="1" width="11.42578125"/>
    <col min="3600" max="3600" customWidth="1" width="11.42578125"/>
    <col min="3601" max="3601" customWidth="1" width="11.42578125"/>
    <col min="3602" max="3602" customWidth="1" width="11.42578125"/>
    <col min="3603" max="3603" customWidth="1" width="11.42578125"/>
    <col min="3604" max="3604" customWidth="1" width="11.42578125"/>
    <col min="3605" max="3605" customWidth="1" width="11.42578125"/>
    <col min="3606" max="3606" customWidth="1" width="11.42578125"/>
    <col min="3607" max="3607" customWidth="1" width="11.42578125"/>
    <col min="3608" max="3608" customWidth="1" width="11.42578125"/>
    <col min="3609" max="3609" customWidth="1" width="11.42578125"/>
    <col min="3610" max="3610" customWidth="1" width="11.42578125"/>
    <col min="3611" max="3611" customWidth="1" width="11.42578125"/>
    <col min="3612" max="3612" customWidth="1" width="11.42578125"/>
    <col min="3613" max="3613" customWidth="1" width="11.42578125"/>
    <col min="3614" max="3614" customWidth="1" width="11.42578125"/>
    <col min="3615" max="3615" customWidth="1" width="11.42578125"/>
    <col min="3616" max="3616" customWidth="1" width="11.42578125"/>
    <col min="3617" max="3617" customWidth="1" width="11.42578125"/>
    <col min="3618" max="3618" customWidth="1" width="11.42578125"/>
    <col min="3619" max="3619" customWidth="1" width="11.42578125"/>
    <col min="3620" max="3620" customWidth="1" width="11.42578125"/>
    <col min="3621" max="3621" customWidth="1" width="11.42578125"/>
    <col min="3622" max="3622" customWidth="1" width="11.42578125"/>
    <col min="3623" max="3623" customWidth="1" width="11.42578125"/>
    <col min="3624" max="3624" customWidth="1" width="11.42578125"/>
    <col min="3625" max="3625" customWidth="1" width="11.42578125"/>
    <col min="3626" max="3626" customWidth="1" width="11.42578125"/>
    <col min="3627" max="3627" customWidth="1" width="11.42578125"/>
    <col min="3628" max="3628" customWidth="1" width="11.42578125"/>
    <col min="3629" max="3629" customWidth="1" width="11.42578125"/>
    <col min="3630" max="3630" customWidth="1" width="11.42578125"/>
    <col min="3631" max="3631" customWidth="1" width="11.42578125"/>
    <col min="3632" max="3632" customWidth="1" width="11.42578125"/>
    <col min="3633" max="3633" customWidth="1" width="11.42578125"/>
    <col min="3634" max="3634" customWidth="1" width="11.42578125"/>
    <col min="3635" max="3635" customWidth="1" width="11.42578125"/>
    <col min="3636" max="3636" customWidth="1" width="11.42578125"/>
    <col min="3637" max="3637" customWidth="1" width="11.42578125"/>
    <col min="3638" max="3638" customWidth="1" width="11.42578125"/>
    <col min="3639" max="3639" customWidth="1" width="11.42578125"/>
    <col min="3640" max="3640" customWidth="1" width="11.42578125"/>
    <col min="3641" max="3641" customWidth="1" width="11.42578125"/>
    <col min="3642" max="3642" customWidth="1" width="11.42578125"/>
    <col min="3643" max="3643" customWidth="1" width="11.42578125"/>
    <col min="3644" max="3644" customWidth="1" width="11.42578125"/>
    <col min="3645" max="3645" customWidth="1" width="11.42578125"/>
    <col min="3646" max="3646" customWidth="1" width="11.42578125"/>
    <col min="3647" max="3647" customWidth="1" width="11.42578125"/>
    <col min="3648" max="3648" customWidth="1" width="11.42578125"/>
    <col min="3649" max="3649" customWidth="1" width="11.42578125"/>
    <col min="3650" max="3650" customWidth="1" width="11.42578125"/>
    <col min="3651" max="3651" customWidth="1" width="11.42578125"/>
    <col min="3652" max="3652" customWidth="1" width="11.42578125"/>
    <col min="3653" max="3653" customWidth="1" width="11.42578125"/>
    <col min="3654" max="3654" customWidth="1" width="11.42578125"/>
    <col min="3655" max="3655" customWidth="1" width="11.42578125"/>
    <col min="3656" max="3656" customWidth="1" width="11.42578125"/>
    <col min="3657" max="3657" customWidth="1" width="11.42578125"/>
    <col min="3658" max="3658" customWidth="1" width="11.42578125"/>
    <col min="3659" max="3659" customWidth="1" width="11.42578125"/>
    <col min="3660" max="3660" customWidth="1" width="11.42578125"/>
    <col min="3661" max="3661" customWidth="1" width="11.42578125"/>
    <col min="3662" max="3662" customWidth="1" width="11.42578125"/>
    <col min="3663" max="3663" customWidth="1" width="11.42578125"/>
    <col min="3664" max="3664" customWidth="1" width="11.42578125"/>
    <col min="3665" max="3665" customWidth="1" width="11.42578125"/>
    <col min="3666" max="3666" customWidth="1" width="11.42578125"/>
    <col min="3667" max="3667" customWidth="1" width="11.42578125"/>
    <col min="3668" max="3668" customWidth="1" width="11.42578125"/>
    <col min="3669" max="3669" customWidth="1" width="11.42578125"/>
    <col min="3670" max="3670" customWidth="1" width="11.42578125"/>
    <col min="3671" max="3671" customWidth="1" width="11.42578125"/>
    <col min="3672" max="3672" customWidth="1" width="11.42578125"/>
    <col min="3673" max="3673" customWidth="1" width="11.42578125"/>
    <col min="3674" max="3674" customWidth="1" width="11.42578125"/>
    <col min="3675" max="3675" customWidth="1" width="11.42578125"/>
    <col min="3676" max="3676" customWidth="1" width="11.42578125"/>
    <col min="3677" max="3677" customWidth="1" width="11.42578125"/>
    <col min="3678" max="3678" customWidth="1" width="11.42578125"/>
    <col min="3679" max="3679" customWidth="1" width="11.42578125"/>
    <col min="3680" max="3680" customWidth="1" width="11.42578125"/>
    <col min="3681" max="3681" customWidth="1" width="11.42578125"/>
    <col min="3682" max="3682" customWidth="1" width="11.42578125"/>
    <col min="3683" max="3683" customWidth="1" width="11.42578125"/>
    <col min="3684" max="3684" customWidth="1" width="11.42578125"/>
    <col min="3685" max="3685" customWidth="1" width="11.42578125"/>
    <col min="3686" max="3686" customWidth="1" width="11.42578125"/>
    <col min="3687" max="3687" customWidth="1" width="11.42578125"/>
    <col min="3688" max="3688" customWidth="1" width="11.42578125"/>
    <col min="3689" max="3689" customWidth="1" width="11.42578125"/>
    <col min="3690" max="3690" customWidth="1" width="11.42578125"/>
    <col min="3691" max="3691" customWidth="1" width="11.42578125"/>
    <col min="3692" max="3692" customWidth="1" width="11.42578125"/>
    <col min="3693" max="3693" customWidth="1" width="11.42578125"/>
    <col min="3694" max="3694" customWidth="1" width="11.42578125"/>
    <col min="3695" max="3695" customWidth="1" width="11.42578125"/>
    <col min="3696" max="3696" customWidth="1" width="11.42578125"/>
    <col min="3697" max="3697" customWidth="1" width="11.42578125"/>
    <col min="3698" max="3698" customWidth="1" width="11.42578125"/>
    <col min="3699" max="3699" customWidth="1" width="11.42578125"/>
    <col min="3700" max="3700" customWidth="1" width="11.42578125"/>
    <col min="3701" max="3701" customWidth="1" width="11.42578125"/>
    <col min="3702" max="3702" customWidth="1" width="11.42578125"/>
    <col min="3703" max="3703" customWidth="1" width="11.42578125"/>
    <col min="3704" max="3704" customWidth="1" width="11.42578125"/>
    <col min="3705" max="3705" customWidth="1" width="11.42578125"/>
    <col min="3706" max="3706" customWidth="1" width="11.42578125"/>
    <col min="3707" max="3707" customWidth="1" width="11.42578125"/>
    <col min="3708" max="3708" customWidth="1" width="11.42578125"/>
    <col min="3709" max="3709" customWidth="1" width="11.42578125"/>
    <col min="3710" max="3710" customWidth="1" width="11.42578125"/>
    <col min="3711" max="3711" customWidth="1" width="11.42578125"/>
    <col min="3712" max="3712" customWidth="1" width="11.42578125"/>
    <col min="3713" max="3713" customWidth="1" width="11.42578125"/>
    <col min="3714" max="3714" customWidth="1" width="11.42578125"/>
    <col min="3715" max="3715" customWidth="1" width="11.42578125"/>
    <col min="3716" max="3716" customWidth="1" width="11.42578125"/>
    <col min="3717" max="3717" customWidth="1" width="11.42578125"/>
    <col min="3718" max="3718" customWidth="1" width="11.42578125"/>
    <col min="3719" max="3719" customWidth="1" width="11.42578125"/>
    <col min="3720" max="3720" customWidth="1" width="11.42578125"/>
    <col min="3721" max="3721" customWidth="1" width="11.42578125"/>
    <col min="3722" max="3722" customWidth="1" width="11.42578125"/>
    <col min="3723" max="3723" customWidth="1" width="11.42578125"/>
    <col min="3724" max="3724" customWidth="1" width="11.42578125"/>
    <col min="3725" max="3725" customWidth="1" width="11.42578125"/>
    <col min="3726" max="3726" customWidth="1" width="11.42578125"/>
    <col min="3727" max="3727" customWidth="1" width="11.42578125"/>
    <col min="3728" max="3728" customWidth="1" width="11.42578125"/>
    <col min="3729" max="3729" customWidth="1" width="11.42578125"/>
    <col min="3730" max="3730" customWidth="1" width="11.42578125"/>
    <col min="3731" max="3731" customWidth="1" width="11.42578125"/>
    <col min="3732" max="3732" customWidth="1" width="11.42578125"/>
    <col min="3733" max="3733" customWidth="1" width="11.42578125"/>
    <col min="3734" max="3734" customWidth="1" width="11.42578125"/>
    <col min="3735" max="3735" customWidth="1" width="11.42578125"/>
    <col min="3736" max="3736" customWidth="1" width="11.42578125"/>
    <col min="3737" max="3737" customWidth="1" width="11.42578125"/>
    <col min="3738" max="3738" customWidth="1" width="11.42578125"/>
    <col min="3739" max="3739" customWidth="1" width="11.42578125"/>
    <col min="3740" max="3740" customWidth="1" width="11.42578125"/>
    <col min="3741" max="3741" customWidth="1" width="11.42578125"/>
    <col min="3742" max="3742" customWidth="1" width="11.42578125"/>
    <col min="3743" max="3743" customWidth="1" width="11.42578125"/>
    <col min="3744" max="3744" customWidth="1" width="11.42578125"/>
    <col min="3745" max="3745" customWidth="1" width="11.42578125"/>
    <col min="3746" max="3746" customWidth="1" width="11.42578125"/>
    <col min="3747" max="3747" customWidth="1" width="11.42578125"/>
    <col min="3748" max="3748" customWidth="1" width="11.42578125"/>
    <col min="3749" max="3749" customWidth="1" width="11.42578125"/>
    <col min="3750" max="3750" customWidth="1" width="11.42578125"/>
    <col min="3751" max="3751" customWidth="1" width="11.42578125"/>
    <col min="3752" max="3752" customWidth="1" width="11.42578125"/>
    <col min="3753" max="3753" customWidth="1" width="11.42578125"/>
    <col min="3754" max="3754" customWidth="1" width="11.42578125"/>
    <col min="3755" max="3755" customWidth="1" width="11.42578125"/>
    <col min="3756" max="3756" customWidth="1" width="11.42578125"/>
    <col min="3757" max="3757" customWidth="1" width="11.42578125"/>
    <col min="3758" max="3758" customWidth="1" width="11.42578125"/>
    <col min="3759" max="3759" customWidth="1" width="11.42578125"/>
    <col min="3760" max="3760" customWidth="1" width="11.42578125"/>
    <col min="3761" max="3761" customWidth="1" width="11.42578125"/>
    <col min="3762" max="3762" customWidth="1" width="11.42578125"/>
    <col min="3763" max="3763" customWidth="1" width="11.42578125"/>
    <col min="3764" max="3764" customWidth="1" width="11.42578125"/>
    <col min="3765" max="3765" customWidth="1" width="11.42578125"/>
    <col min="3766" max="3766" customWidth="1" width="11.42578125"/>
    <col min="3767" max="3767" customWidth="1" width="11.42578125"/>
    <col min="3768" max="3768" customWidth="1" width="11.42578125"/>
    <col min="3769" max="3769" customWidth="1" width="11.42578125"/>
    <col min="3770" max="3770" customWidth="1" width="11.42578125"/>
    <col min="3771" max="3771" customWidth="1" width="11.42578125"/>
    <col min="3772" max="3772" customWidth="1" width="11.42578125"/>
    <col min="3773" max="3773" customWidth="1" width="11.42578125"/>
    <col min="3774" max="3774" customWidth="1" width="11.42578125"/>
    <col min="3775" max="3775" customWidth="1" width="11.42578125"/>
    <col min="3776" max="3776" customWidth="1" width="11.42578125"/>
    <col min="3777" max="3777" customWidth="1" width="11.42578125"/>
    <col min="3778" max="3778" customWidth="1" width="11.42578125"/>
    <col min="3779" max="3779" customWidth="1" width="11.42578125"/>
    <col min="3780" max="3780" customWidth="1" width="11.42578125"/>
    <col min="3781" max="3781" customWidth="1" width="11.42578125"/>
    <col min="3782" max="3782" customWidth="1" width="11.42578125"/>
    <col min="3783" max="3783" customWidth="1" width="11.42578125"/>
    <col min="3784" max="3784" customWidth="1" width="11.42578125"/>
    <col min="3785" max="3785" customWidth="1" width="11.42578125"/>
    <col min="3786" max="3786" customWidth="1" width="11.42578125"/>
    <col min="3787" max="3787" customWidth="1" width="11.42578125"/>
    <col min="3788" max="3788" customWidth="1" width="11.42578125"/>
    <col min="3789" max="3789" customWidth="1" width="11.42578125"/>
    <col min="3790" max="3790" customWidth="1" width="11.42578125"/>
    <col min="3791" max="3791" customWidth="1" width="11.42578125"/>
    <col min="3792" max="3792" customWidth="1" width="11.42578125"/>
    <col min="3793" max="3793" customWidth="1" width="11.42578125"/>
    <col min="3794" max="3794" customWidth="1" width="11.42578125"/>
    <col min="3795" max="3795" customWidth="1" width="11.42578125"/>
    <col min="3796" max="3796" customWidth="1" width="11.42578125"/>
    <col min="3797" max="3797" customWidth="1" width="11.42578125"/>
    <col min="3798" max="3798" customWidth="1" width="11.42578125"/>
    <col min="3799" max="3799" customWidth="1" width="11.42578125"/>
    <col min="3800" max="3800" customWidth="1" width="11.42578125"/>
    <col min="3801" max="3801" customWidth="1" width="11.42578125"/>
    <col min="3802" max="3802" customWidth="1" width="11.42578125"/>
    <col min="3803" max="3803" customWidth="1" width="11.42578125"/>
    <col min="3804" max="3804" customWidth="1" width="11.42578125"/>
    <col min="3805" max="3805" customWidth="1" width="11.42578125"/>
    <col min="3806" max="3806" customWidth="1" width="11.42578125"/>
    <col min="3807" max="3807" customWidth="1" width="11.42578125"/>
    <col min="3808" max="3808" customWidth="1" width="11.42578125"/>
    <col min="3809" max="3809" customWidth="1" width="11.42578125"/>
    <col min="3810" max="3810" customWidth="1" width="11.42578125"/>
    <col min="3811" max="3811" customWidth="1" width="11.42578125"/>
    <col min="3812" max="3812" customWidth="1" width="11.42578125"/>
    <col min="3813" max="3813" customWidth="1" width="11.42578125"/>
    <col min="3814" max="3814" customWidth="1" width="11.42578125"/>
    <col min="3815" max="3815" customWidth="1" width="11.42578125"/>
    <col min="3816" max="3816" customWidth="1" width="11.42578125"/>
    <col min="3817" max="3817" customWidth="1" width="11.42578125"/>
    <col min="3818" max="3818" customWidth="1" width="11.42578125"/>
    <col min="3819" max="3819" customWidth="1" width="11.42578125"/>
    <col min="3820" max="3820" customWidth="1" width="11.42578125"/>
    <col min="3821" max="3821" customWidth="1" width="11.42578125"/>
    <col min="3822" max="3822" customWidth="1" width="11.42578125"/>
    <col min="3823" max="3823" customWidth="1" width="11.42578125"/>
    <col min="3824" max="3824" customWidth="1" width="11.42578125"/>
    <col min="3825" max="3825" customWidth="1" width="11.42578125"/>
    <col min="3826" max="3826" customWidth="1" width="11.42578125"/>
    <col min="3827" max="3827" customWidth="1" width="11.42578125"/>
    <col min="3828" max="3828" customWidth="1" width="11.42578125"/>
    <col min="3829" max="3829" customWidth="1" width="11.42578125"/>
    <col min="3830" max="3830" customWidth="1" width="11.42578125"/>
    <col min="3831" max="3831" customWidth="1" width="11.42578125"/>
    <col min="3832" max="3832" customWidth="1" width="11.42578125"/>
    <col min="3833" max="3833" customWidth="1" width="11.42578125"/>
    <col min="3834" max="3834" customWidth="1" width="11.42578125"/>
    <col min="3835" max="3835" customWidth="1" width="11.42578125"/>
    <col min="3836" max="3836" customWidth="1" width="11.42578125"/>
    <col min="3837" max="3837" customWidth="1" width="11.42578125"/>
    <col min="3838" max="3838" customWidth="1" width="11.42578125"/>
    <col min="3839" max="3839" customWidth="1" width="11.42578125"/>
    <col min="3840" max="3840" customWidth="1" width="11.42578125"/>
    <col min="3841" max="3841" customWidth="1" width="11.42578125"/>
    <col min="3842" max="3842" customWidth="1" width="11.42578125"/>
    <col min="3843" max="3843" customWidth="1" width="11.42578125"/>
    <col min="3844" max="3844" customWidth="1" width="11.42578125"/>
    <col min="3845" max="3845" customWidth="1" width="11.42578125"/>
    <col min="3846" max="3846" customWidth="1" width="11.42578125"/>
    <col min="3847" max="3847" customWidth="1" width="11.42578125"/>
    <col min="3848" max="3848" customWidth="1" width="11.42578125"/>
    <col min="3849" max="3849" customWidth="1" width="11.42578125"/>
    <col min="3850" max="3850" customWidth="1" width="11.42578125"/>
    <col min="3851" max="3851" customWidth="1" width="11.42578125"/>
    <col min="3852" max="3852" customWidth="1" width="11.42578125"/>
    <col min="3853" max="3853" customWidth="1" width="11.42578125"/>
    <col min="3854" max="3854" customWidth="1" width="11.42578125"/>
    <col min="3855" max="3855" customWidth="1" width="11.42578125"/>
    <col min="3856" max="3856" customWidth="1" width="11.42578125"/>
    <col min="3857" max="3857" customWidth="1" width="11.42578125"/>
    <col min="3858" max="3858" customWidth="1" width="11.42578125"/>
    <col min="3859" max="3859" customWidth="1" width="11.42578125"/>
    <col min="3860" max="3860" customWidth="1" width="11.42578125"/>
    <col min="3861" max="3861" customWidth="1" width="11.42578125"/>
    <col min="3862" max="3862" customWidth="1" width="11.42578125"/>
    <col min="3863" max="3863" customWidth="1" width="11.42578125"/>
    <col min="3864" max="3864" customWidth="1" width="11.42578125"/>
    <col min="3865" max="3865" customWidth="1" width="11.42578125"/>
    <col min="3866" max="3866" customWidth="1" width="11.42578125"/>
    <col min="3867" max="3867" customWidth="1" width="11.42578125"/>
    <col min="3868" max="3868" customWidth="1" width="11.42578125"/>
    <col min="3869" max="3869" customWidth="1" width="11.42578125"/>
    <col min="3870" max="3870" customWidth="1" width="11.42578125"/>
    <col min="3871" max="3871" customWidth="1" width="11.42578125"/>
    <col min="3872" max="3872" customWidth="1" width="11.42578125"/>
    <col min="3873" max="3873" customWidth="1" width="11.42578125"/>
    <col min="3874" max="3874" customWidth="1" width="11.42578125"/>
    <col min="3875" max="3875" customWidth="1" width="11.42578125"/>
    <col min="3876" max="3876" customWidth="1" width="11.42578125"/>
    <col min="3877" max="3877" customWidth="1" width="11.42578125"/>
    <col min="3878" max="3878" customWidth="1" width="11.42578125"/>
    <col min="3879" max="3879" customWidth="1" width="11.42578125"/>
    <col min="3880" max="3880" customWidth="1" width="11.42578125"/>
    <col min="3881" max="3881" customWidth="1" width="11.42578125"/>
    <col min="3882" max="3882" customWidth="1" width="11.42578125"/>
    <col min="3883" max="3883" customWidth="1" width="11.42578125"/>
    <col min="3884" max="3884" customWidth="1" width="11.42578125"/>
    <col min="3885" max="3885" customWidth="1" width="11.42578125"/>
    <col min="3886" max="3886" customWidth="1" width="11.42578125"/>
    <col min="3887" max="3887" customWidth="1" width="11.42578125"/>
    <col min="3888" max="3888" customWidth="1" width="11.42578125"/>
    <col min="3889" max="3889" customWidth="1" width="11.42578125"/>
    <col min="3890" max="3890" customWidth="1" width="11.42578125"/>
    <col min="3891" max="3891" customWidth="1" width="11.42578125"/>
    <col min="3892" max="3892" customWidth="1" width="11.42578125"/>
    <col min="3893" max="3893" customWidth="1" width="11.42578125"/>
    <col min="3894" max="3894" customWidth="1" width="11.42578125"/>
    <col min="3895" max="3895" customWidth="1" width="11.42578125"/>
    <col min="3896" max="3896" customWidth="1" width="11.42578125"/>
    <col min="3897" max="3897" customWidth="1" width="11.42578125"/>
    <col min="3898" max="3898" customWidth="1" width="11.42578125"/>
    <col min="3899" max="3899" customWidth="1" width="11.42578125"/>
    <col min="3900" max="3900" customWidth="1" width="11.42578125"/>
    <col min="3901" max="3901" customWidth="1" width="11.42578125"/>
    <col min="3902" max="3902" customWidth="1" width="11.42578125"/>
    <col min="3903" max="3903" customWidth="1" width="11.42578125"/>
    <col min="3904" max="3904" customWidth="1" width="11.42578125"/>
    <col min="3905" max="3905" customWidth="1" width="11.42578125"/>
    <col min="3906" max="3906" customWidth="1" width="11.42578125"/>
    <col min="3907" max="3907" customWidth="1" width="11.42578125"/>
    <col min="3908" max="3908" customWidth="1" width="11.42578125"/>
    <col min="3909" max="3909" customWidth="1" width="11.42578125"/>
    <col min="3910" max="3910" customWidth="1" width="11.42578125"/>
    <col min="3911" max="3911" customWidth="1" width="11.42578125"/>
    <col min="3912" max="3912" customWidth="1" width="11.42578125"/>
    <col min="3913" max="3913" customWidth="1" width="11.42578125"/>
    <col min="3914" max="3914" customWidth="1" width="11.42578125"/>
    <col min="3915" max="3915" customWidth="1" width="11.42578125"/>
    <col min="3916" max="3916" customWidth="1" width="11.42578125"/>
    <col min="3917" max="3917" customWidth="1" width="11.42578125"/>
    <col min="3918" max="3918" customWidth="1" width="11.42578125"/>
    <col min="3919" max="3919" customWidth="1" width="11.42578125"/>
    <col min="3920" max="3920" customWidth="1" width="11.42578125"/>
    <col min="3921" max="3921" customWidth="1" width="11.42578125"/>
    <col min="3922" max="3922" customWidth="1" width="11.42578125"/>
    <col min="3923" max="3923" customWidth="1" width="11.42578125"/>
    <col min="3924" max="3924" customWidth="1" width="11.42578125"/>
    <col min="3925" max="3925" customWidth="1" width="11.42578125"/>
    <col min="3926" max="3926" customWidth="1" width="11.42578125"/>
    <col min="3927" max="3927" customWidth="1" width="11.42578125"/>
    <col min="3928" max="3928" customWidth="1" width="11.42578125"/>
    <col min="3929" max="3929" customWidth="1" width="11.42578125"/>
    <col min="3930" max="3930" customWidth="1" width="11.42578125"/>
    <col min="3931" max="3931" customWidth="1" width="11.42578125"/>
    <col min="3932" max="3932" customWidth="1" width="11.42578125"/>
    <col min="3933" max="3933" customWidth="1" width="11.42578125"/>
    <col min="3934" max="3934" customWidth="1" width="11.42578125"/>
    <col min="3935" max="3935" customWidth="1" width="11.42578125"/>
    <col min="3936" max="3936" customWidth="1" width="11.42578125"/>
    <col min="3937" max="3937" customWidth="1" width="11.42578125"/>
    <col min="3938" max="3938" customWidth="1" width="11.42578125"/>
    <col min="3939" max="3939" customWidth="1" width="11.42578125"/>
    <col min="3940" max="3940" customWidth="1" width="11.42578125"/>
    <col min="3941" max="3941" customWidth="1" width="11.42578125"/>
    <col min="3942" max="3942" customWidth="1" width="11.42578125"/>
    <col min="3943" max="3943" customWidth="1" width="11.42578125"/>
    <col min="3944" max="3944" customWidth="1" width="11.42578125"/>
    <col min="3945" max="3945" customWidth="1" width="11.42578125"/>
    <col min="3946" max="3946" customWidth="1" width="11.42578125"/>
    <col min="3947" max="3947" customWidth="1" width="11.42578125"/>
    <col min="3948" max="3948" customWidth="1" width="11.42578125"/>
    <col min="3949" max="3949" customWidth="1" width="11.42578125"/>
    <col min="3950" max="3950" customWidth="1" width="11.42578125"/>
    <col min="3951" max="3951" customWidth="1" width="11.42578125"/>
    <col min="3952" max="3952" customWidth="1" width="11.42578125"/>
    <col min="3953" max="3953" customWidth="1" width="11.42578125"/>
    <col min="3954" max="3954" customWidth="1" width="11.42578125"/>
    <col min="3955" max="3955" customWidth="1" width="11.42578125"/>
    <col min="3956" max="3956" customWidth="1" width="11.42578125"/>
    <col min="3957" max="3957" customWidth="1" width="11.42578125"/>
    <col min="3958" max="3958" customWidth="1" width="11.42578125"/>
    <col min="3959" max="3959" customWidth="1" width="11.42578125"/>
    <col min="3960" max="3960" customWidth="1" width="11.42578125"/>
    <col min="3961" max="3961" customWidth="1" width="11.42578125"/>
    <col min="3962" max="3962" customWidth="1" width="11.42578125"/>
    <col min="3963" max="3963" customWidth="1" width="11.42578125"/>
    <col min="3964" max="3964" customWidth="1" width="11.42578125"/>
    <col min="3965" max="3965" customWidth="1" width="11.42578125"/>
    <col min="3966" max="3966" customWidth="1" width="11.42578125"/>
    <col min="3967" max="3967" customWidth="1" width="11.42578125"/>
    <col min="3968" max="3968" customWidth="1" width="11.42578125"/>
    <col min="3969" max="3969" customWidth="1" width="11.42578125"/>
    <col min="3970" max="3970" customWidth="1" width="11.42578125"/>
    <col min="3971" max="3971" customWidth="1" width="11.42578125"/>
    <col min="3972" max="3972" customWidth="1" width="11.42578125"/>
    <col min="3973" max="3973" customWidth="1" width="11.42578125"/>
    <col min="3974" max="3974" customWidth="1" width="11.42578125"/>
    <col min="3975" max="3975" customWidth="1" width="11.42578125"/>
    <col min="3976" max="3976" customWidth="1" width="11.42578125"/>
    <col min="3977" max="3977" customWidth="1" width="11.42578125"/>
    <col min="3978" max="3978" customWidth="1" width="11.42578125"/>
    <col min="3979" max="3979" customWidth="1" width="11.42578125"/>
    <col min="3980" max="3980" customWidth="1" width="11.42578125"/>
    <col min="3981" max="3981" customWidth="1" width="11.42578125"/>
    <col min="3982" max="3982" customWidth="1" width="11.42578125"/>
    <col min="3983" max="3983" customWidth="1" width="11.42578125"/>
    <col min="3984" max="3984" customWidth="1" width="11.42578125"/>
    <col min="3985" max="3985" customWidth="1" width="11.42578125"/>
    <col min="3986" max="3986" customWidth="1" width="11.42578125"/>
    <col min="3987" max="3987" customWidth="1" width="11.42578125"/>
    <col min="3988" max="3988" customWidth="1" width="11.42578125"/>
    <col min="3989" max="3989" customWidth="1" width="11.42578125"/>
    <col min="3990" max="3990" customWidth="1" width="11.42578125"/>
    <col min="3991" max="3991" customWidth="1" width="11.42578125"/>
    <col min="3992" max="3992" customWidth="1" width="11.42578125"/>
    <col min="3993" max="3993" customWidth="1" width="11.42578125"/>
    <col min="3994" max="3994" customWidth="1" width="11.42578125"/>
    <col min="3995" max="3995" customWidth="1" width="11.42578125"/>
    <col min="3996" max="3996" customWidth="1" width="11.42578125"/>
    <col min="3997" max="3997" customWidth="1" width="11.42578125"/>
    <col min="3998" max="3998" customWidth="1" width="11.42578125"/>
    <col min="3999" max="3999" customWidth="1" width="11.42578125"/>
    <col min="4000" max="4000" customWidth="1" width="11.42578125"/>
    <col min="4001" max="4001" customWidth="1" width="11.42578125"/>
    <col min="4002" max="4002" customWidth="1" width="11.42578125"/>
    <col min="4003" max="4003" customWidth="1" width="11.42578125"/>
    <col min="4004" max="4004" customWidth="1" width="11.42578125"/>
    <col min="4005" max="4005" customWidth="1" width="11.42578125"/>
    <col min="4006" max="4006" customWidth="1" width="11.42578125"/>
    <col min="4007" max="4007" customWidth="1" width="11.42578125"/>
    <col min="4008" max="4008" customWidth="1" width="11.42578125"/>
    <col min="4009" max="4009" customWidth="1" width="11.42578125"/>
    <col min="4010" max="4010" customWidth="1" width="11.42578125"/>
    <col min="4011" max="4011" customWidth="1" width="11.42578125"/>
    <col min="4012" max="4012" customWidth="1" width="11.42578125"/>
    <col min="4013" max="4013" customWidth="1" width="11.42578125"/>
    <col min="4014" max="4014" customWidth="1" width="11.42578125"/>
    <col min="4015" max="4015" customWidth="1" width="11.42578125"/>
    <col min="4016" max="4016" customWidth="1" width="11.42578125"/>
    <col min="4017" max="4017" customWidth="1" width="11.42578125"/>
    <col min="4018" max="4018" customWidth="1" width="11.42578125"/>
    <col min="4019" max="4019" customWidth="1" width="11.42578125"/>
    <col min="4020" max="4020" customWidth="1" width="11.42578125"/>
    <col min="4021" max="4021" customWidth="1" width="11.42578125"/>
    <col min="4022" max="4022" customWidth="1" width="11.42578125"/>
    <col min="4023" max="4023" customWidth="1" width="11.42578125"/>
    <col min="4024" max="4024" customWidth="1" width="11.42578125"/>
    <col min="4025" max="4025" customWidth="1" width="11.42578125"/>
    <col min="4026" max="4026" customWidth="1" width="11.42578125"/>
    <col min="4027" max="4027" customWidth="1" width="11.42578125"/>
    <col min="4028" max="4028" customWidth="1" width="11.42578125"/>
    <col min="4029" max="4029" customWidth="1" width="11.42578125"/>
    <col min="4030" max="4030" customWidth="1" width="11.42578125"/>
    <col min="4031" max="4031" customWidth="1" width="11.42578125"/>
    <col min="4032" max="4032" customWidth="1" width="11.42578125"/>
    <col min="4033" max="4033" customWidth="1" width="11.42578125"/>
    <col min="4034" max="4034" customWidth="1" width="11.42578125"/>
    <col min="4035" max="4035" customWidth="1" width="11.42578125"/>
    <col min="4036" max="4036" customWidth="1" width="11.42578125"/>
    <col min="4037" max="4037" customWidth="1" width="11.42578125"/>
    <col min="4038" max="4038" customWidth="1" width="11.42578125"/>
    <col min="4039" max="4039" customWidth="1" width="11.42578125"/>
    <col min="4040" max="4040" customWidth="1" width="11.42578125"/>
    <col min="4041" max="4041" customWidth="1" width="11.42578125"/>
    <col min="4042" max="4042" customWidth="1" width="11.42578125"/>
    <col min="4043" max="4043" customWidth="1" width="11.42578125"/>
    <col min="4044" max="4044" customWidth="1" width="11.42578125"/>
    <col min="4045" max="4045" customWidth="1" width="11.42578125"/>
    <col min="4046" max="4046" customWidth="1" width="11.42578125"/>
    <col min="4047" max="4047" customWidth="1" width="11.42578125"/>
    <col min="4048" max="4048" customWidth="1" width="11.42578125"/>
    <col min="4049" max="4049" customWidth="1" width="11.42578125"/>
    <col min="4050" max="4050" customWidth="1" width="11.42578125"/>
    <col min="4051" max="4051" customWidth="1" width="11.42578125"/>
    <col min="4052" max="4052" customWidth="1" width="11.42578125"/>
    <col min="4053" max="4053" customWidth="1" width="11.42578125"/>
    <col min="4054" max="4054" customWidth="1" width="11.42578125"/>
    <col min="4055" max="4055" customWidth="1" width="11.42578125"/>
    <col min="4056" max="4056" customWidth="1" width="11.42578125"/>
    <col min="4057" max="4057" customWidth="1" width="11.42578125"/>
    <col min="4058" max="4058" customWidth="1" width="11.42578125"/>
    <col min="4059" max="4059" customWidth="1" width="11.42578125"/>
    <col min="4060" max="4060" customWidth="1" width="11.42578125"/>
    <col min="4061" max="4061" customWidth="1" width="11.42578125"/>
    <col min="4062" max="4062" customWidth="1" width="11.42578125"/>
    <col min="4063" max="4063" customWidth="1" width="11.42578125"/>
    <col min="4064" max="4064" customWidth="1" width="11.42578125"/>
    <col min="4065" max="4065" customWidth="1" width="11.42578125"/>
    <col min="4066" max="4066" customWidth="1" width="11.42578125"/>
    <col min="4067" max="4067" customWidth="1" width="11.42578125"/>
    <col min="4068" max="4068" customWidth="1" width="11.42578125"/>
    <col min="4069" max="4069" customWidth="1" width="11.42578125"/>
    <col min="4070" max="4070" customWidth="1" width="11.42578125"/>
    <col min="4071" max="4071" customWidth="1" width="11.42578125"/>
    <col min="4072" max="4072" customWidth="1" width="11.42578125"/>
    <col min="4073" max="4073" customWidth="1" width="11.42578125"/>
    <col min="4074" max="4074" customWidth="1" width="11.42578125"/>
    <col min="4075" max="4075" customWidth="1" width="11.42578125"/>
    <col min="4076" max="4076" customWidth="1" width="11.42578125"/>
    <col min="4077" max="4077" customWidth="1" width="11.42578125"/>
    <col min="4078" max="4078" customWidth="1" width="11.42578125"/>
    <col min="4079" max="4079" customWidth="1" width="11.42578125"/>
    <col min="4080" max="4080" customWidth="1" width="11.42578125"/>
    <col min="4081" max="4081" customWidth="1" width="11.42578125"/>
    <col min="4082" max="4082" customWidth="1" width="11.42578125"/>
    <col min="4083" max="4083" customWidth="1" width="11.42578125"/>
    <col min="4084" max="4084" customWidth="1" width="11.42578125"/>
    <col min="4085" max="4085" customWidth="1" width="11.42578125"/>
    <col min="4086" max="4086" customWidth="1" width="11.42578125"/>
    <col min="4087" max="4087" customWidth="1" width="11.42578125"/>
    <col min="4088" max="4088" customWidth="1" width="11.42578125"/>
    <col min="4089" max="4089" customWidth="1" width="11.42578125"/>
    <col min="4090" max="4090" customWidth="1" width="11.42578125"/>
    <col min="4091" max="4091" customWidth="1" width="11.42578125"/>
    <col min="4092" max="4092" customWidth="1" width="11.42578125"/>
    <col min="4093" max="4093" customWidth="1" width="11.42578125"/>
    <col min="4094" max="4094" customWidth="1" width="11.42578125"/>
    <col min="4095" max="4095" customWidth="1" width="11.42578125"/>
    <col min="4096" max="4096" customWidth="1" width="11.42578125"/>
    <col min="4097" max="4097" customWidth="1" width="11.42578125"/>
    <col min="4098" max="4098" customWidth="1" width="11.42578125"/>
    <col min="4099" max="4099" customWidth="1" width="11.42578125"/>
    <col min="4100" max="4100" customWidth="1" width="11.42578125"/>
    <col min="4101" max="4101" customWidth="1" width="11.42578125"/>
    <col min="4102" max="4102" customWidth="1" width="11.42578125"/>
    <col min="4103" max="4103" customWidth="1" width="11.42578125"/>
    <col min="4104" max="4104" customWidth="1" width="11.42578125"/>
    <col min="4105" max="4105" customWidth="1" width="11.42578125"/>
    <col min="4106" max="4106" customWidth="1" width="11.42578125"/>
    <col min="4107" max="4107" customWidth="1" width="11.42578125"/>
    <col min="4108" max="4108" customWidth="1" width="11.42578125"/>
    <col min="4109" max="4109" customWidth="1" width="11.42578125"/>
    <col min="4110" max="4110" customWidth="1" width="11.42578125"/>
    <col min="4111" max="4111" customWidth="1" width="11.42578125"/>
    <col min="4112" max="4112" customWidth="1" width="11.42578125"/>
    <col min="4113" max="4113" customWidth="1" width="11.42578125"/>
    <col min="4114" max="4114" customWidth="1" width="11.42578125"/>
    <col min="4115" max="4115" customWidth="1" width="11.42578125"/>
    <col min="4116" max="4116" customWidth="1" width="11.42578125"/>
    <col min="4117" max="4117" customWidth="1" width="11.42578125"/>
    <col min="4118" max="4118" customWidth="1" width="11.42578125"/>
    <col min="4119" max="4119" customWidth="1" width="11.42578125"/>
    <col min="4120" max="4120" customWidth="1" width="11.42578125"/>
    <col min="4121" max="4121" customWidth="1" width="11.42578125"/>
    <col min="4122" max="4122" customWidth="1" width="11.42578125"/>
    <col min="4123" max="4123" customWidth="1" width="11.42578125"/>
    <col min="4124" max="4124" customWidth="1" width="11.42578125"/>
    <col min="4125" max="4125" customWidth="1" width="11.42578125"/>
    <col min="4126" max="4126" customWidth="1" width="11.42578125"/>
    <col min="4127" max="4127" customWidth="1" width="11.42578125"/>
    <col min="4128" max="4128" customWidth="1" width="11.42578125"/>
    <col min="4129" max="4129" customWidth="1" width="11.42578125"/>
    <col min="4130" max="4130" customWidth="1" width="11.42578125"/>
    <col min="4131" max="4131" customWidth="1" width="11.42578125"/>
    <col min="4132" max="4132" customWidth="1" width="11.42578125"/>
    <col min="4133" max="4133" customWidth="1" width="11.42578125"/>
    <col min="4134" max="4134" customWidth="1" width="11.42578125"/>
    <col min="4135" max="4135" customWidth="1" width="11.42578125"/>
    <col min="4136" max="4136" customWidth="1" width="11.42578125"/>
    <col min="4137" max="4137" customWidth="1" width="11.42578125"/>
    <col min="4138" max="4138" customWidth="1" width="11.42578125"/>
    <col min="4139" max="4139" customWidth="1" width="11.42578125"/>
    <col min="4140" max="4140" customWidth="1" width="11.42578125"/>
    <col min="4141" max="4141" customWidth="1" width="11.42578125"/>
    <col min="4142" max="4142" customWidth="1" width="11.42578125"/>
    <col min="4143" max="4143" customWidth="1" width="11.42578125"/>
    <col min="4144" max="4144" customWidth="1" width="11.42578125"/>
    <col min="4145" max="4145" customWidth="1" width="11.42578125"/>
    <col min="4146" max="4146" customWidth="1" width="11.42578125"/>
    <col min="4147" max="4147" customWidth="1" width="11.42578125"/>
    <col min="4148" max="4148" customWidth="1" width="11.42578125"/>
    <col min="4149" max="4149" customWidth="1" width="11.42578125"/>
    <col min="4150" max="4150" customWidth="1" width="11.42578125"/>
    <col min="4151" max="4151" customWidth="1" width="11.42578125"/>
    <col min="4152" max="4152" customWidth="1" width="11.42578125"/>
    <col min="4153" max="4153" customWidth="1" width="11.42578125"/>
    <col min="4154" max="4154" customWidth="1" width="11.42578125"/>
    <col min="4155" max="4155" customWidth="1" width="11.42578125"/>
    <col min="4156" max="4156" customWidth="1" width="11.42578125"/>
    <col min="4157" max="4157" customWidth="1" width="11.42578125"/>
    <col min="4158" max="4158" customWidth="1" width="11.42578125"/>
    <col min="4159" max="4159" customWidth="1" width="11.42578125"/>
    <col min="4160" max="4160" customWidth="1" width="11.42578125"/>
    <col min="4161" max="4161" customWidth="1" width="11.42578125"/>
    <col min="4162" max="4162" customWidth="1" width="11.42578125"/>
    <col min="4163" max="4163" customWidth="1" width="11.42578125"/>
    <col min="4164" max="4164" customWidth="1" width="11.42578125"/>
    <col min="4165" max="4165" customWidth="1" width="11.42578125"/>
    <col min="4166" max="4166" customWidth="1" width="11.42578125"/>
    <col min="4167" max="4167" customWidth="1" width="11.42578125"/>
    <col min="4168" max="4168" customWidth="1" width="11.42578125"/>
    <col min="4169" max="4169" customWidth="1" width="11.42578125"/>
    <col min="4170" max="4170" customWidth="1" width="11.42578125"/>
    <col min="4171" max="4171" customWidth="1" width="11.42578125"/>
    <col min="4172" max="4172" customWidth="1" width="11.42578125"/>
    <col min="4173" max="4173" customWidth="1" width="11.42578125"/>
    <col min="4174" max="4174" customWidth="1" width="11.42578125"/>
    <col min="4175" max="4175" customWidth="1" width="11.42578125"/>
    <col min="4176" max="4176" customWidth="1" width="11.42578125"/>
    <col min="4177" max="4177" customWidth="1" width="11.42578125"/>
    <col min="4178" max="4178" customWidth="1" width="11.42578125"/>
    <col min="4179" max="4179" customWidth="1" width="11.42578125"/>
    <col min="4180" max="4180" customWidth="1" width="11.42578125"/>
    <col min="4181" max="4181" customWidth="1" width="11.42578125"/>
    <col min="4182" max="4182" customWidth="1" width="11.42578125"/>
    <col min="4183" max="4183" customWidth="1" width="11.42578125"/>
    <col min="4184" max="4184" customWidth="1" width="11.42578125"/>
    <col min="4185" max="4185" customWidth="1" width="11.42578125"/>
    <col min="4186" max="4186" customWidth="1" width="11.42578125"/>
    <col min="4187" max="4187" customWidth="1" width="11.42578125"/>
    <col min="4188" max="4188" customWidth="1" width="11.42578125"/>
    <col min="4189" max="4189" customWidth="1" width="11.42578125"/>
    <col min="4190" max="4190" customWidth="1" width="11.42578125"/>
    <col min="4191" max="4191" customWidth="1" width="11.42578125"/>
    <col min="4192" max="4192" customWidth="1" width="11.42578125"/>
    <col min="4193" max="4193" customWidth="1" width="11.42578125"/>
    <col min="4194" max="4194" customWidth="1" width="11.42578125"/>
    <col min="4195" max="4195" customWidth="1" width="11.42578125"/>
    <col min="4196" max="4196" customWidth="1" width="11.42578125"/>
    <col min="4197" max="4197" customWidth="1" width="11.42578125"/>
    <col min="4198" max="4198" customWidth="1" width="11.42578125"/>
    <col min="4199" max="4199" customWidth="1" width="11.42578125"/>
    <col min="4200" max="4200" customWidth="1" width="11.42578125"/>
    <col min="4201" max="4201" customWidth="1" width="11.42578125"/>
    <col min="4202" max="4202" customWidth="1" width="11.42578125"/>
    <col min="4203" max="4203" customWidth="1" width="11.42578125"/>
    <col min="4204" max="4204" customWidth="1" width="11.42578125"/>
    <col min="4205" max="4205" customWidth="1" width="11.42578125"/>
    <col min="4206" max="4206" customWidth="1" width="11.42578125"/>
    <col min="4207" max="4207" customWidth="1" width="11.42578125"/>
    <col min="4208" max="4208" customWidth="1" width="11.42578125"/>
    <col min="4209" max="4209" customWidth="1" width="11.42578125"/>
    <col min="4210" max="4210" customWidth="1" width="11.42578125"/>
    <col min="4211" max="4211" customWidth="1" width="11.42578125"/>
    <col min="4212" max="4212" customWidth="1" width="11.42578125"/>
    <col min="4213" max="4213" customWidth="1" width="11.42578125"/>
    <col min="4214" max="4214" customWidth="1" width="11.42578125"/>
    <col min="4215" max="4215" customWidth="1" width="11.42578125"/>
    <col min="4216" max="4216" customWidth="1" width="11.42578125"/>
    <col min="4217" max="4217" customWidth="1" width="11.42578125"/>
    <col min="4218" max="4218" customWidth="1" width="11.42578125"/>
    <col min="4219" max="4219" customWidth="1" width="11.42578125"/>
    <col min="4220" max="4220" customWidth="1" width="11.42578125"/>
    <col min="4221" max="4221" customWidth="1" width="11.42578125"/>
    <col min="4222" max="4222" customWidth="1" width="11.42578125"/>
    <col min="4223" max="4223" customWidth="1" width="11.42578125"/>
    <col min="4224" max="4224" customWidth="1" width="11.42578125"/>
    <col min="4225" max="4225" customWidth="1" width="11.42578125"/>
    <col min="4226" max="4226" customWidth="1" width="11.42578125"/>
    <col min="4227" max="4227" customWidth="1" width="11.42578125"/>
    <col min="4228" max="4228" customWidth="1" width="11.42578125"/>
    <col min="4229" max="4229" customWidth="1" width="11.42578125"/>
    <col min="4230" max="4230" customWidth="1" width="11.42578125"/>
    <col min="4231" max="4231" customWidth="1" width="11.42578125"/>
    <col min="4232" max="4232" customWidth="1" width="11.42578125"/>
    <col min="4233" max="4233" customWidth="1" width="11.42578125"/>
    <col min="4234" max="4234" customWidth="1" width="11.42578125"/>
    <col min="4235" max="4235" customWidth="1" width="11.42578125"/>
    <col min="4236" max="4236" customWidth="1" width="11.42578125"/>
    <col min="4237" max="4237" customWidth="1" width="11.42578125"/>
    <col min="4238" max="4238" customWidth="1" width="11.42578125"/>
    <col min="4239" max="4239" customWidth="1" width="11.42578125"/>
    <col min="4240" max="4240" customWidth="1" width="11.42578125"/>
    <col min="4241" max="4241" customWidth="1" width="11.42578125"/>
    <col min="4242" max="4242" customWidth="1" width="11.42578125"/>
    <col min="4243" max="4243" customWidth="1" width="11.42578125"/>
    <col min="4244" max="4244" customWidth="1" width="11.42578125"/>
    <col min="4245" max="4245" customWidth="1" width="11.42578125"/>
    <col min="4246" max="4246" customWidth="1" width="11.42578125"/>
    <col min="4247" max="4247" customWidth="1" width="11.42578125"/>
    <col min="4248" max="4248" customWidth="1" width="11.42578125"/>
    <col min="4249" max="4249" customWidth="1" width="11.42578125"/>
    <col min="4250" max="4250" customWidth="1" width="11.42578125"/>
    <col min="4251" max="4251" customWidth="1" width="11.42578125"/>
    <col min="4252" max="4252" customWidth="1" width="11.42578125"/>
    <col min="4253" max="4253" customWidth="1" width="11.42578125"/>
    <col min="4254" max="4254" customWidth="1" width="11.42578125"/>
    <col min="4255" max="4255" customWidth="1" width="11.42578125"/>
    <col min="4256" max="4256" customWidth="1" width="11.42578125"/>
    <col min="4257" max="4257" customWidth="1" width="11.42578125"/>
    <col min="4258" max="4258" customWidth="1" width="11.42578125"/>
    <col min="4259" max="4259" customWidth="1" width="11.42578125"/>
    <col min="4260" max="4260" customWidth="1" width="11.42578125"/>
    <col min="4261" max="4261" customWidth="1" width="11.42578125"/>
    <col min="4262" max="4262" customWidth="1" width="11.42578125"/>
    <col min="4263" max="4263" customWidth="1" width="11.42578125"/>
    <col min="4264" max="4264" customWidth="1" width="11.42578125"/>
    <col min="4265" max="4265" customWidth="1" width="11.42578125"/>
    <col min="4266" max="4266" customWidth="1" width="11.42578125"/>
    <col min="4267" max="4267" customWidth="1" width="11.42578125"/>
    <col min="4268" max="4268" customWidth="1" width="11.42578125"/>
    <col min="4269" max="4269" customWidth="1" width="11.42578125"/>
    <col min="4270" max="4270" customWidth="1" width="11.42578125"/>
    <col min="4271" max="4271" customWidth="1" width="11.42578125"/>
    <col min="4272" max="4272" customWidth="1" width="11.42578125"/>
    <col min="4273" max="4273" customWidth="1" width="11.42578125"/>
    <col min="4274" max="4274" customWidth="1" width="11.42578125"/>
    <col min="4275" max="4275" customWidth="1" width="11.42578125"/>
    <col min="4276" max="4276" customWidth="1" width="11.42578125"/>
    <col min="4277" max="4277" customWidth="1" width="11.42578125"/>
    <col min="4278" max="4278" customWidth="1" width="11.42578125"/>
    <col min="4279" max="4279" customWidth="1" width="11.42578125"/>
    <col min="4280" max="4280" customWidth="1" width="11.42578125"/>
    <col min="4281" max="4281" customWidth="1" width="11.42578125"/>
    <col min="4282" max="4282" customWidth="1" width="11.42578125"/>
    <col min="4283" max="4283" customWidth="1" width="11.42578125"/>
    <col min="4284" max="4284" customWidth="1" width="11.42578125"/>
    <col min="4285" max="4285" customWidth="1" width="11.42578125"/>
    <col min="4286" max="4286" customWidth="1" width="11.42578125"/>
    <col min="4287" max="4287" customWidth="1" width="11.42578125"/>
    <col min="4288" max="4288" customWidth="1" width="11.42578125"/>
    <col min="4289" max="4289" customWidth="1" width="11.42578125"/>
    <col min="4290" max="4290" customWidth="1" width="11.42578125"/>
    <col min="4291" max="4291" customWidth="1" width="11.42578125"/>
    <col min="4292" max="4292" customWidth="1" width="11.42578125"/>
    <col min="4293" max="4293" customWidth="1" width="11.42578125"/>
    <col min="4294" max="4294" customWidth="1" width="11.42578125"/>
    <col min="4295" max="4295" customWidth="1" width="11.42578125"/>
    <col min="4296" max="4296" customWidth="1" width="11.42578125"/>
    <col min="4297" max="4297" customWidth="1" width="11.42578125"/>
    <col min="4298" max="4298" customWidth="1" width="11.42578125"/>
    <col min="4299" max="4299" customWidth="1" width="11.42578125"/>
    <col min="4300" max="4300" customWidth="1" width="11.42578125"/>
    <col min="4301" max="4301" customWidth="1" width="11.42578125"/>
    <col min="4302" max="4302" customWidth="1" width="11.42578125"/>
    <col min="4303" max="4303" customWidth="1" width="11.42578125"/>
    <col min="4304" max="4304" customWidth="1" width="11.42578125"/>
    <col min="4305" max="4305" customWidth="1" width="11.42578125"/>
    <col min="4306" max="4306" customWidth="1" width="11.42578125"/>
    <col min="4307" max="4307" customWidth="1" width="11.42578125"/>
    <col min="4308" max="4308" customWidth="1" width="11.42578125"/>
    <col min="4309" max="4309" customWidth="1" width="11.42578125"/>
    <col min="4310" max="4310" customWidth="1" width="11.42578125"/>
    <col min="4311" max="4311" customWidth="1" width="11.42578125"/>
    <col min="4312" max="4312" customWidth="1" width="11.42578125"/>
    <col min="4313" max="4313" customWidth="1" width="11.42578125"/>
    <col min="4314" max="4314" customWidth="1" width="11.42578125"/>
    <col min="4315" max="4315" customWidth="1" width="11.42578125"/>
    <col min="4316" max="4316" customWidth="1" width="11.42578125"/>
    <col min="4317" max="4317" customWidth="1" width="11.42578125"/>
    <col min="4318" max="4318" customWidth="1" width="11.42578125"/>
    <col min="4319" max="4319" customWidth="1" width="11.42578125"/>
    <col min="4320" max="4320" customWidth="1" width="11.42578125"/>
    <col min="4321" max="4321" customWidth="1" width="11.42578125"/>
    <col min="4322" max="4322" customWidth="1" width="11.42578125"/>
    <col min="4323" max="4323" customWidth="1" width="11.42578125"/>
    <col min="4324" max="4324" customWidth="1" width="11.42578125"/>
    <col min="4325" max="4325" customWidth="1" width="11.42578125"/>
    <col min="4326" max="4326" customWidth="1" width="11.42578125"/>
    <col min="4327" max="4327" customWidth="1" width="11.42578125"/>
    <col min="4328" max="4328" customWidth="1" width="11.42578125"/>
    <col min="4329" max="4329" customWidth="1" width="11.42578125"/>
    <col min="4330" max="4330" customWidth="1" width="11.42578125"/>
    <col min="4331" max="4331" customWidth="1" width="11.42578125"/>
    <col min="4332" max="4332" customWidth="1" width="11.42578125"/>
    <col min="4333" max="4333" customWidth="1" width="11.42578125"/>
    <col min="4334" max="4334" customWidth="1" width="11.42578125"/>
    <col min="4335" max="4335" customWidth="1" width="11.42578125"/>
    <col min="4336" max="4336" customWidth="1" width="11.42578125"/>
    <col min="4337" max="4337" customWidth="1" width="11.42578125"/>
    <col min="4338" max="4338" customWidth="1" width="11.42578125"/>
    <col min="4339" max="4339" customWidth="1" width="11.42578125"/>
    <col min="4340" max="4340" customWidth="1" width="11.42578125"/>
    <col min="4341" max="4341" customWidth="1" width="11.42578125"/>
    <col min="4342" max="4342" customWidth="1" width="11.42578125"/>
    <col min="4343" max="4343" customWidth="1" width="11.42578125"/>
    <col min="4344" max="4344" customWidth="1" width="11.42578125"/>
    <col min="4345" max="4345" customWidth="1" width="11.42578125"/>
    <col min="4346" max="4346" customWidth="1" width="11.42578125"/>
    <col min="4347" max="4347" customWidth="1" width="11.42578125"/>
    <col min="4348" max="4348" customWidth="1" width="11.42578125"/>
    <col min="4349" max="4349" customWidth="1" width="11.42578125"/>
    <col min="4350" max="4350" customWidth="1" width="11.42578125"/>
    <col min="4351" max="4351" customWidth="1" width="11.42578125"/>
    <col min="4352" max="4352" customWidth="1" width="11.42578125"/>
    <col min="4353" max="4353" customWidth="1" width="11.42578125"/>
    <col min="4354" max="4354" customWidth="1" width="11.42578125"/>
    <col min="4355" max="4355" customWidth="1" width="11.42578125"/>
    <col min="4356" max="4356" customWidth="1" width="11.42578125"/>
    <col min="4357" max="4357" customWidth="1" width="11.42578125"/>
    <col min="4358" max="4358" customWidth="1" width="11.42578125"/>
    <col min="4359" max="4359" customWidth="1" width="11.42578125"/>
    <col min="4360" max="4360" customWidth="1" width="11.42578125"/>
    <col min="4361" max="4361" customWidth="1" width="11.42578125"/>
    <col min="4362" max="4362" customWidth="1" width="11.42578125"/>
    <col min="4363" max="4363" customWidth="1" width="11.42578125"/>
    <col min="4364" max="4364" customWidth="1" width="11.42578125"/>
    <col min="4365" max="4365" customWidth="1" width="11.42578125"/>
    <col min="4366" max="4366" customWidth="1" width="11.42578125"/>
    <col min="4367" max="4367" customWidth="1" width="11.42578125"/>
    <col min="4368" max="4368" customWidth="1" width="11.42578125"/>
    <col min="4369" max="4369" customWidth="1" width="11.42578125"/>
    <col min="4370" max="4370" customWidth="1" width="11.42578125"/>
    <col min="4371" max="4371" customWidth="1" width="11.42578125"/>
    <col min="4372" max="4372" customWidth="1" width="11.42578125"/>
    <col min="4373" max="4373" customWidth="1" width="11.42578125"/>
    <col min="4374" max="4374" customWidth="1" width="11.42578125"/>
    <col min="4375" max="4375" customWidth="1" width="11.42578125"/>
    <col min="4376" max="4376" customWidth="1" width="11.42578125"/>
    <col min="4377" max="4377" customWidth="1" width="11.42578125"/>
    <col min="4378" max="4378" customWidth="1" width="11.42578125"/>
    <col min="4379" max="4379" customWidth="1" width="11.42578125"/>
    <col min="4380" max="4380" customWidth="1" width="11.42578125"/>
    <col min="4381" max="4381" customWidth="1" width="11.42578125"/>
    <col min="4382" max="4382" customWidth="1" width="11.42578125"/>
    <col min="4383" max="4383" customWidth="1" width="11.42578125"/>
    <col min="4384" max="4384" customWidth="1" width="11.42578125"/>
    <col min="4385" max="4385" customWidth="1" width="11.42578125"/>
    <col min="4386" max="4386" customWidth="1" width="11.42578125"/>
    <col min="4387" max="4387" customWidth="1" width="11.42578125"/>
    <col min="4388" max="4388" customWidth="1" width="11.42578125"/>
    <col min="4389" max="4389" customWidth="1" width="11.42578125"/>
    <col min="4390" max="4390" customWidth="1" width="11.42578125"/>
    <col min="4391" max="4391" customWidth="1" width="11.42578125"/>
    <col min="4392" max="4392" customWidth="1" width="11.42578125"/>
    <col min="4393" max="4393" customWidth="1" width="11.42578125"/>
    <col min="4394" max="4394" customWidth="1" width="11.42578125"/>
    <col min="4395" max="4395" customWidth="1" width="11.42578125"/>
    <col min="4396" max="4396" customWidth="1" width="11.42578125"/>
    <col min="4397" max="4397" customWidth="1" width="11.42578125"/>
    <col min="4398" max="4398" customWidth="1" width="11.42578125"/>
    <col min="4399" max="4399" customWidth="1" width="11.42578125"/>
    <col min="4400" max="4400" customWidth="1" width="11.42578125"/>
    <col min="4401" max="4401" customWidth="1" width="11.42578125"/>
    <col min="4402" max="4402" customWidth="1" width="11.42578125"/>
    <col min="4403" max="4403" customWidth="1" width="11.42578125"/>
    <col min="4404" max="4404" customWidth="1" width="11.42578125"/>
    <col min="4405" max="4405" customWidth="1" width="11.42578125"/>
    <col min="4406" max="4406" customWidth="1" width="11.42578125"/>
    <col min="4407" max="4407" customWidth="1" width="11.42578125"/>
    <col min="4408" max="4408" customWidth="1" width="11.42578125"/>
    <col min="4409" max="4409" customWidth="1" width="11.42578125"/>
    <col min="4410" max="4410" customWidth="1" width="11.42578125"/>
    <col min="4411" max="4411" customWidth="1" width="11.42578125"/>
    <col min="4412" max="4412" customWidth="1" width="11.42578125"/>
    <col min="4413" max="4413" customWidth="1" width="11.42578125"/>
    <col min="4414" max="4414" customWidth="1" width="11.42578125"/>
    <col min="4415" max="4415" customWidth="1" width="11.42578125"/>
    <col min="4416" max="4416" customWidth="1" width="11.42578125"/>
    <col min="4417" max="4417" customWidth="1" width="11.42578125"/>
    <col min="4418" max="4418" customWidth="1" width="11.42578125"/>
    <col min="4419" max="4419" customWidth="1" width="11.42578125"/>
    <col min="4420" max="4420" customWidth="1" width="11.42578125"/>
    <col min="4421" max="4421" customWidth="1" width="11.42578125"/>
    <col min="4422" max="4422" customWidth="1" width="11.42578125"/>
    <col min="4423" max="4423" customWidth="1" width="11.42578125"/>
    <col min="4424" max="4424" customWidth="1" width="11.42578125"/>
    <col min="4425" max="4425" customWidth="1" width="11.42578125"/>
    <col min="4426" max="4426" customWidth="1" width="11.42578125"/>
    <col min="4427" max="4427" customWidth="1" width="11.42578125"/>
    <col min="4428" max="4428" customWidth="1" width="11.42578125"/>
    <col min="4429" max="4429" customWidth="1" width="11.42578125"/>
    <col min="4430" max="4430" customWidth="1" width="11.42578125"/>
    <col min="4431" max="4431" customWidth="1" width="11.42578125"/>
    <col min="4432" max="4432" customWidth="1" width="11.42578125"/>
    <col min="4433" max="4433" customWidth="1" width="11.42578125"/>
    <col min="4434" max="4434" customWidth="1" width="11.42578125"/>
    <col min="4435" max="4435" customWidth="1" width="11.42578125"/>
    <col min="4436" max="4436" customWidth="1" width="11.42578125"/>
    <col min="4437" max="4437" customWidth="1" width="11.42578125"/>
    <col min="4438" max="4438" customWidth="1" width="11.42578125"/>
    <col min="4439" max="4439" customWidth="1" width="11.42578125"/>
    <col min="4440" max="4440" customWidth="1" width="11.42578125"/>
    <col min="4441" max="4441" customWidth="1" width="11.42578125"/>
    <col min="4442" max="4442" customWidth="1" width="11.42578125"/>
    <col min="4443" max="4443" customWidth="1" width="11.42578125"/>
    <col min="4444" max="4444" customWidth="1" width="11.42578125"/>
    <col min="4445" max="4445" customWidth="1" width="11.42578125"/>
    <col min="4446" max="4446" customWidth="1" width="11.42578125"/>
    <col min="4447" max="4447" customWidth="1" width="11.42578125"/>
    <col min="4448" max="4448" customWidth="1" width="11.42578125"/>
    <col min="4449" max="4449" customWidth="1" width="11.42578125"/>
    <col min="4450" max="4450" customWidth="1" width="11.42578125"/>
    <col min="4451" max="4451" customWidth="1" width="11.42578125"/>
    <col min="4452" max="4452" customWidth="1" width="11.42578125"/>
    <col min="4453" max="4453" customWidth="1" width="11.42578125"/>
    <col min="4454" max="4454" customWidth="1" width="11.42578125"/>
    <col min="4455" max="4455" customWidth="1" width="11.42578125"/>
    <col min="4456" max="4456" customWidth="1" width="11.42578125"/>
    <col min="4457" max="4457" customWidth="1" width="11.42578125"/>
    <col min="4458" max="4458" customWidth="1" width="11.42578125"/>
    <col min="4459" max="4459" customWidth="1" width="11.42578125"/>
    <col min="4460" max="4460" customWidth="1" width="11.42578125"/>
    <col min="4461" max="4461" customWidth="1" width="11.42578125"/>
    <col min="4462" max="4462" customWidth="1" width="11.42578125"/>
    <col min="4463" max="4463" customWidth="1" width="11.42578125"/>
    <col min="4464" max="4464" customWidth="1" width="11.42578125"/>
    <col min="4465" max="4465" customWidth="1" width="11.42578125"/>
    <col min="4466" max="4466" customWidth="1" width="11.42578125"/>
    <col min="4467" max="4467" customWidth="1" width="11.42578125"/>
    <col min="4468" max="4468" customWidth="1" width="11.42578125"/>
    <col min="4469" max="4469" customWidth="1" width="11.42578125"/>
    <col min="4470" max="4470" customWidth="1" width="11.42578125"/>
    <col min="4471" max="4471" customWidth="1" width="11.42578125"/>
    <col min="4472" max="4472" customWidth="1" width="11.42578125"/>
    <col min="4473" max="4473" customWidth="1" width="11.42578125"/>
    <col min="4474" max="4474" customWidth="1" width="11.42578125"/>
    <col min="4475" max="4475" customWidth="1" width="11.42578125"/>
    <col min="4476" max="4476" customWidth="1" width="11.42578125"/>
    <col min="4477" max="4477" customWidth="1" width="11.42578125"/>
    <col min="4478" max="4478" customWidth="1" width="11.42578125"/>
    <col min="4479" max="4479" customWidth="1" width="11.42578125"/>
    <col min="4480" max="4480" customWidth="1" width="11.42578125"/>
    <col min="4481" max="4481" customWidth="1" width="11.42578125"/>
    <col min="4482" max="4482" customWidth="1" width="11.42578125"/>
    <col min="4483" max="4483" customWidth="1" width="11.42578125"/>
    <col min="4484" max="4484" customWidth="1" width="11.42578125"/>
    <col min="4485" max="4485" customWidth="1" width="11.42578125"/>
    <col min="4486" max="4486" customWidth="1" width="11.42578125"/>
    <col min="4487" max="4487" customWidth="1" width="11.42578125"/>
    <col min="4488" max="4488" customWidth="1" width="11.42578125"/>
    <col min="4489" max="4489" customWidth="1" width="11.42578125"/>
    <col min="4490" max="4490" customWidth="1" width="11.42578125"/>
    <col min="4491" max="4491" customWidth="1" width="11.42578125"/>
    <col min="4492" max="4492" customWidth="1" width="11.42578125"/>
    <col min="4493" max="4493" customWidth="1" width="11.42578125"/>
    <col min="4494" max="4494" customWidth="1" width="11.42578125"/>
    <col min="4495" max="4495" customWidth="1" width="11.42578125"/>
    <col min="4496" max="4496" customWidth="1" width="11.42578125"/>
    <col min="4497" max="4497" customWidth="1" width="11.42578125"/>
    <col min="4498" max="4498" customWidth="1" width="11.42578125"/>
    <col min="4499" max="4499" customWidth="1" width="11.42578125"/>
    <col min="4500" max="4500" customWidth="1" width="11.42578125"/>
    <col min="4501" max="4501" customWidth="1" width="11.42578125"/>
    <col min="4502" max="4502" customWidth="1" width="11.42578125"/>
    <col min="4503" max="4503" customWidth="1" width="11.42578125"/>
    <col min="4504" max="4504" customWidth="1" width="11.42578125"/>
    <col min="4505" max="4505" customWidth="1" width="11.42578125"/>
    <col min="4506" max="4506" customWidth="1" width="11.42578125"/>
    <col min="4507" max="4507" customWidth="1" width="11.42578125"/>
    <col min="4508" max="4508" customWidth="1" width="11.42578125"/>
    <col min="4509" max="4509" customWidth="1" width="11.42578125"/>
    <col min="4510" max="4510" customWidth="1" width="11.42578125"/>
    <col min="4511" max="4511" customWidth="1" width="11.42578125"/>
    <col min="4512" max="4512" customWidth="1" width="11.42578125"/>
    <col min="4513" max="4513" customWidth="1" width="11.42578125"/>
    <col min="4514" max="4514" customWidth="1" width="11.42578125"/>
    <col min="4515" max="4515" customWidth="1" width="11.42578125"/>
    <col min="4516" max="4516" customWidth="1" width="11.42578125"/>
    <col min="4517" max="4517" customWidth="1" width="11.42578125"/>
    <col min="4518" max="4518" customWidth="1" width="11.42578125"/>
    <col min="4519" max="4519" customWidth="1" width="11.42578125"/>
    <col min="4520" max="4520" customWidth="1" width="11.42578125"/>
    <col min="4521" max="4521" customWidth="1" width="11.42578125"/>
    <col min="4522" max="4522" customWidth="1" width="11.42578125"/>
    <col min="4523" max="4523" customWidth="1" width="11.42578125"/>
    <col min="4524" max="4524" customWidth="1" width="11.42578125"/>
    <col min="4525" max="4525" customWidth="1" width="11.42578125"/>
    <col min="4526" max="4526" customWidth="1" width="11.42578125"/>
    <col min="4527" max="4527" customWidth="1" width="11.42578125"/>
    <col min="4528" max="4528" customWidth="1" width="11.42578125"/>
    <col min="4529" max="4529" customWidth="1" width="11.42578125"/>
    <col min="4530" max="4530" customWidth="1" width="11.42578125"/>
    <col min="4531" max="4531" customWidth="1" width="11.42578125"/>
    <col min="4532" max="4532" customWidth="1" width="11.42578125"/>
    <col min="4533" max="4533" customWidth="1" width="11.42578125"/>
    <col min="4534" max="4534" customWidth="1" width="11.42578125"/>
    <col min="4535" max="4535" customWidth="1" width="11.42578125"/>
    <col min="4536" max="4536" customWidth="1" width="11.42578125"/>
    <col min="4537" max="4537" customWidth="1" width="11.42578125"/>
    <col min="4538" max="4538" customWidth="1" width="11.42578125"/>
    <col min="4539" max="4539" customWidth="1" width="11.42578125"/>
    <col min="4540" max="4540" customWidth="1" width="11.42578125"/>
    <col min="4541" max="4541" customWidth="1" width="11.42578125"/>
    <col min="4542" max="4542" customWidth="1" width="11.42578125"/>
    <col min="4543" max="4543" customWidth="1" width="11.42578125"/>
    <col min="4544" max="4544" customWidth="1" width="11.42578125"/>
    <col min="4545" max="4545" customWidth="1" width="11.42578125"/>
    <col min="4546" max="4546" customWidth="1" width="11.42578125"/>
    <col min="4547" max="4547" customWidth="1" width="11.42578125"/>
    <col min="4548" max="4548" customWidth="1" width="11.42578125"/>
    <col min="4549" max="4549" customWidth="1" width="11.42578125"/>
    <col min="4550" max="4550" customWidth="1" width="11.42578125"/>
    <col min="4551" max="4551" customWidth="1" width="11.42578125"/>
    <col min="4552" max="4552" customWidth="1" width="11.42578125"/>
    <col min="4553" max="4553" customWidth="1" width="11.42578125"/>
    <col min="4554" max="4554" customWidth="1" width="11.42578125"/>
    <col min="4555" max="4555" customWidth="1" width="11.42578125"/>
    <col min="4556" max="4556" customWidth="1" width="11.42578125"/>
    <col min="4557" max="4557" customWidth="1" width="11.42578125"/>
    <col min="4558" max="4558" customWidth="1" width="11.42578125"/>
    <col min="4559" max="4559" customWidth="1" width="11.42578125"/>
    <col min="4560" max="4560" customWidth="1" width="11.42578125"/>
    <col min="4561" max="4561" customWidth="1" width="11.42578125"/>
    <col min="4562" max="4562" customWidth="1" width="11.42578125"/>
    <col min="4563" max="4563" customWidth="1" width="11.42578125"/>
    <col min="4564" max="4564" customWidth="1" width="11.42578125"/>
    <col min="4565" max="4565" customWidth="1" width="11.42578125"/>
    <col min="4566" max="4566" customWidth="1" width="11.42578125"/>
    <col min="4567" max="4567" customWidth="1" width="11.42578125"/>
    <col min="4568" max="4568" customWidth="1" width="11.42578125"/>
    <col min="4569" max="4569" customWidth="1" width="11.42578125"/>
    <col min="4570" max="4570" customWidth="1" width="11.42578125"/>
    <col min="4571" max="4571" customWidth="1" width="11.42578125"/>
    <col min="4572" max="4572" customWidth="1" width="11.42578125"/>
    <col min="4573" max="4573" customWidth="1" width="11.42578125"/>
    <col min="4574" max="4574" customWidth="1" width="11.42578125"/>
    <col min="4575" max="4575" customWidth="1" width="11.42578125"/>
    <col min="4576" max="4576" customWidth="1" width="11.42578125"/>
    <col min="4577" max="4577" customWidth="1" width="11.42578125"/>
    <col min="4578" max="4578" customWidth="1" width="11.42578125"/>
    <col min="4579" max="4579" customWidth="1" width="11.42578125"/>
    <col min="4580" max="4580" customWidth="1" width="11.42578125"/>
    <col min="4581" max="4581" customWidth="1" width="11.42578125"/>
    <col min="4582" max="4582" customWidth="1" width="11.42578125"/>
    <col min="4583" max="4583" customWidth="1" width="11.42578125"/>
    <col min="4584" max="4584" customWidth="1" width="11.42578125"/>
    <col min="4585" max="4585" customWidth="1" width="11.42578125"/>
    <col min="4586" max="4586" customWidth="1" width="11.42578125"/>
    <col min="4587" max="4587" customWidth="1" width="11.42578125"/>
    <col min="4588" max="4588" customWidth="1" width="11.42578125"/>
    <col min="4589" max="4589" customWidth="1" width="11.42578125"/>
    <col min="4590" max="4590" customWidth="1" width="11.42578125"/>
    <col min="4591" max="4591" customWidth="1" width="11.42578125"/>
    <col min="4592" max="4592" customWidth="1" width="11.42578125"/>
    <col min="4593" max="4593" customWidth="1" width="11.42578125"/>
    <col min="4594" max="4594" customWidth="1" width="11.42578125"/>
    <col min="4595" max="4595" customWidth="1" width="11.42578125"/>
    <col min="4596" max="4596" customWidth="1" width="11.42578125"/>
    <col min="4597" max="4597" customWidth="1" width="11.42578125"/>
    <col min="4598" max="4598" customWidth="1" width="11.42578125"/>
    <col min="4599" max="4599" customWidth="1" width="11.42578125"/>
    <col min="4600" max="4600" customWidth="1" width="11.42578125"/>
    <col min="4601" max="4601" customWidth="1" width="11.42578125"/>
    <col min="4602" max="4602" customWidth="1" width="11.42578125"/>
    <col min="4603" max="4603" customWidth="1" width="11.42578125"/>
    <col min="4604" max="4604" customWidth="1" width="11.42578125"/>
    <col min="4605" max="4605" customWidth="1" width="11.42578125"/>
    <col min="4606" max="4606" customWidth="1" width="11.42578125"/>
    <col min="4607" max="4607" customWidth="1" width="11.42578125"/>
    <col min="4608" max="4608" customWidth="1" width="11.42578125"/>
    <col min="4609" max="4609" customWidth="1" width="11.42578125"/>
    <col min="4610" max="4610" customWidth="1" width="11.42578125"/>
    <col min="4611" max="4611" customWidth="1" width="11.42578125"/>
    <col min="4612" max="4612" customWidth="1" width="11.42578125"/>
    <col min="4613" max="4613" customWidth="1" width="11.42578125"/>
    <col min="4614" max="4614" customWidth="1" width="11.42578125"/>
    <col min="4615" max="4615" customWidth="1" width="11.42578125"/>
    <col min="4616" max="4616" customWidth="1" width="11.42578125"/>
    <col min="4617" max="4617" customWidth="1" width="11.42578125"/>
    <col min="4618" max="4618" customWidth="1" width="11.42578125"/>
    <col min="4619" max="4619" customWidth="1" width="11.42578125"/>
    <col min="4620" max="4620" customWidth="1" width="11.42578125"/>
    <col min="4621" max="4621" customWidth="1" width="11.42578125"/>
    <col min="4622" max="4622" customWidth="1" width="11.42578125"/>
    <col min="4623" max="4623" customWidth="1" width="11.42578125"/>
    <col min="4624" max="4624" customWidth="1" width="11.42578125"/>
    <col min="4625" max="4625" customWidth="1" width="11.42578125"/>
    <col min="4626" max="4626" customWidth="1" width="11.42578125"/>
    <col min="4627" max="4627" customWidth="1" width="11.42578125"/>
    <col min="4628" max="4628" customWidth="1" width="11.42578125"/>
    <col min="4629" max="4629" customWidth="1" width="11.42578125"/>
    <col min="4630" max="4630" customWidth="1" width="11.42578125"/>
    <col min="4631" max="4631" customWidth="1" width="11.42578125"/>
    <col min="4632" max="4632" customWidth="1" width="11.42578125"/>
    <col min="4633" max="4633" customWidth="1" width="11.42578125"/>
    <col min="4634" max="4634" customWidth="1" width="11.42578125"/>
    <col min="4635" max="4635" customWidth="1" width="11.42578125"/>
    <col min="4636" max="4636" customWidth="1" width="11.42578125"/>
    <col min="4637" max="4637" customWidth="1" width="11.42578125"/>
    <col min="4638" max="4638" customWidth="1" width="11.42578125"/>
    <col min="4639" max="4639" customWidth="1" width="11.42578125"/>
    <col min="4640" max="4640" customWidth="1" width="11.42578125"/>
    <col min="4641" max="4641" customWidth="1" width="11.42578125"/>
    <col min="4642" max="4642" customWidth="1" width="11.42578125"/>
    <col min="4643" max="4643" customWidth="1" width="11.42578125"/>
    <col min="4644" max="4644" customWidth="1" width="11.42578125"/>
    <col min="4645" max="4645" customWidth="1" width="11.42578125"/>
    <col min="4646" max="4646" customWidth="1" width="11.42578125"/>
    <col min="4647" max="4647" customWidth="1" width="11.42578125"/>
    <col min="4648" max="4648" customWidth="1" width="11.42578125"/>
    <col min="4649" max="4649" customWidth="1" width="11.42578125"/>
    <col min="4650" max="4650" customWidth="1" width="11.42578125"/>
    <col min="4651" max="4651" customWidth="1" width="11.42578125"/>
    <col min="4652" max="4652" customWidth="1" width="11.42578125"/>
    <col min="4653" max="4653" customWidth="1" width="11.42578125"/>
    <col min="4654" max="4654" customWidth="1" width="11.42578125"/>
    <col min="4655" max="4655" customWidth="1" width="11.42578125"/>
    <col min="4656" max="4656" customWidth="1" width="11.42578125"/>
    <col min="4657" max="4657" customWidth="1" width="11.42578125"/>
    <col min="4658" max="4658" customWidth="1" width="11.42578125"/>
    <col min="4659" max="4659" customWidth="1" width="11.42578125"/>
    <col min="4660" max="4660" customWidth="1" width="11.42578125"/>
    <col min="4661" max="4661" customWidth="1" width="11.42578125"/>
    <col min="4662" max="4662" customWidth="1" width="11.42578125"/>
    <col min="4663" max="4663" customWidth="1" width="11.42578125"/>
    <col min="4664" max="4664" customWidth="1" width="11.42578125"/>
    <col min="4665" max="4665" customWidth="1" width="11.42578125"/>
    <col min="4666" max="4666" customWidth="1" width="11.42578125"/>
    <col min="4667" max="4667" customWidth="1" width="11.42578125"/>
    <col min="4668" max="4668" customWidth="1" width="11.42578125"/>
    <col min="4669" max="4669" customWidth="1" width="11.42578125"/>
    <col min="4670" max="4670" customWidth="1" width="11.42578125"/>
    <col min="4671" max="4671" customWidth="1" width="11.42578125"/>
    <col min="4672" max="4672" customWidth="1" width="11.42578125"/>
    <col min="4673" max="4673" customWidth="1" width="11.42578125"/>
    <col min="4674" max="4674" customWidth="1" width="11.42578125"/>
    <col min="4675" max="4675" customWidth="1" width="11.42578125"/>
    <col min="4676" max="4676" customWidth="1" width="11.42578125"/>
    <col min="4677" max="4677" customWidth="1" width="11.42578125"/>
    <col min="4678" max="4678" customWidth="1" width="11.42578125"/>
    <col min="4679" max="4679" customWidth="1" width="11.42578125"/>
    <col min="4680" max="4680" customWidth="1" width="11.42578125"/>
    <col min="4681" max="4681" customWidth="1" width="11.42578125"/>
    <col min="4682" max="4682" customWidth="1" width="11.42578125"/>
    <col min="4683" max="4683" customWidth="1" width="11.42578125"/>
    <col min="4684" max="4684" customWidth="1" width="11.42578125"/>
    <col min="4685" max="4685" customWidth="1" width="11.42578125"/>
    <col min="4686" max="4686" customWidth="1" width="11.42578125"/>
    <col min="4687" max="4687" customWidth="1" width="11.42578125"/>
    <col min="4688" max="4688" customWidth="1" width="11.42578125"/>
    <col min="4689" max="4689" customWidth="1" width="11.42578125"/>
    <col min="4690" max="4690" customWidth="1" width="11.42578125"/>
    <col min="4691" max="4691" customWidth="1" width="11.42578125"/>
    <col min="4692" max="4692" customWidth="1" width="11.42578125"/>
    <col min="4693" max="4693" customWidth="1" width="11.42578125"/>
    <col min="4694" max="4694" customWidth="1" width="11.42578125"/>
    <col min="4695" max="4695" customWidth="1" width="11.42578125"/>
    <col min="4696" max="4696" customWidth="1" width="11.42578125"/>
    <col min="4697" max="4697" customWidth="1" width="11.42578125"/>
    <col min="4698" max="4698" customWidth="1" width="11.42578125"/>
    <col min="4699" max="4699" customWidth="1" width="11.42578125"/>
    <col min="4700" max="4700" customWidth="1" width="11.42578125"/>
    <col min="4701" max="4701" customWidth="1" width="11.42578125"/>
    <col min="4702" max="4702" customWidth="1" width="11.42578125"/>
    <col min="4703" max="4703" customWidth="1" width="11.42578125"/>
    <col min="4704" max="4704" customWidth="1" width="11.42578125"/>
    <col min="4705" max="4705" customWidth="1" width="11.42578125"/>
    <col min="4706" max="4706" customWidth="1" width="11.42578125"/>
    <col min="4707" max="4707" customWidth="1" width="11.42578125"/>
    <col min="4708" max="4708" customWidth="1" width="11.42578125"/>
    <col min="4709" max="4709" customWidth="1" width="11.42578125"/>
    <col min="4710" max="4710" customWidth="1" width="11.42578125"/>
    <col min="4711" max="4711" customWidth="1" width="11.42578125"/>
    <col min="4712" max="4712" customWidth="1" width="11.42578125"/>
    <col min="4713" max="4713" customWidth="1" width="11.42578125"/>
    <col min="4714" max="4714" customWidth="1" width="11.42578125"/>
    <col min="4715" max="4715" customWidth="1" width="11.42578125"/>
    <col min="4716" max="4716" customWidth="1" width="11.42578125"/>
    <col min="4717" max="4717" customWidth="1" width="11.42578125"/>
    <col min="4718" max="4718" customWidth="1" width="11.42578125"/>
    <col min="4719" max="4719" customWidth="1" width="11.42578125"/>
    <col min="4720" max="4720" customWidth="1" width="11.42578125"/>
    <col min="4721" max="4721" customWidth="1" width="11.42578125"/>
    <col min="4722" max="4722" customWidth="1" width="11.42578125"/>
    <col min="4723" max="4723" customWidth="1" width="11.42578125"/>
    <col min="4724" max="4724" customWidth="1" width="11.42578125"/>
    <col min="4725" max="4725" customWidth="1" width="11.42578125"/>
    <col min="4726" max="4726" customWidth="1" width="11.42578125"/>
    <col min="4727" max="4727" customWidth="1" width="11.42578125"/>
    <col min="4728" max="4728" customWidth="1" width="11.42578125"/>
    <col min="4729" max="4729" customWidth="1" width="11.42578125"/>
    <col min="4730" max="4730" customWidth="1" width="11.42578125"/>
    <col min="4731" max="4731" customWidth="1" width="11.42578125"/>
    <col min="4732" max="4732" customWidth="1" width="11.42578125"/>
    <col min="4733" max="4733" customWidth="1" width="11.42578125"/>
    <col min="4734" max="4734" customWidth="1" width="11.42578125"/>
    <col min="4735" max="4735" customWidth="1" width="11.42578125"/>
    <col min="4736" max="4736" customWidth="1" width="11.42578125"/>
    <col min="4737" max="4737" customWidth="1" width="11.42578125"/>
    <col min="4738" max="4738" customWidth="1" width="11.42578125"/>
    <col min="4739" max="4739" customWidth="1" width="11.42578125"/>
    <col min="4740" max="4740" customWidth="1" width="11.42578125"/>
    <col min="4741" max="4741" customWidth="1" width="11.42578125"/>
    <col min="4742" max="4742" customWidth="1" width="11.42578125"/>
    <col min="4743" max="4743" customWidth="1" width="11.42578125"/>
    <col min="4744" max="4744" customWidth="1" width="11.42578125"/>
    <col min="4745" max="4745" customWidth="1" width="11.42578125"/>
    <col min="4746" max="4746" customWidth="1" width="11.42578125"/>
    <col min="4747" max="4747" customWidth="1" width="11.42578125"/>
    <col min="4748" max="4748" customWidth="1" width="11.42578125"/>
    <col min="4749" max="4749" customWidth="1" width="11.42578125"/>
    <col min="4750" max="4750" customWidth="1" width="11.42578125"/>
    <col min="4751" max="4751" customWidth="1" width="11.42578125"/>
    <col min="4752" max="4752" customWidth="1" width="11.42578125"/>
    <col min="4753" max="4753" customWidth="1" width="11.42578125"/>
    <col min="4754" max="4754" customWidth="1" width="11.42578125"/>
    <col min="4755" max="4755" customWidth="1" width="11.42578125"/>
    <col min="4756" max="4756" customWidth="1" width="11.42578125"/>
    <col min="4757" max="4757" customWidth="1" width="11.42578125"/>
    <col min="4758" max="4758" customWidth="1" width="11.42578125"/>
    <col min="4759" max="4759" customWidth="1" width="11.42578125"/>
    <col min="4760" max="4760" customWidth="1" width="11.42578125"/>
    <col min="4761" max="4761" customWidth="1" width="11.42578125"/>
    <col min="4762" max="4762" customWidth="1" width="11.42578125"/>
    <col min="4763" max="4763" customWidth="1" width="11.42578125"/>
    <col min="4764" max="4764" customWidth="1" width="11.42578125"/>
    <col min="4765" max="4765" customWidth="1" width="11.42578125"/>
    <col min="4766" max="4766" customWidth="1" width="11.42578125"/>
    <col min="4767" max="4767" customWidth="1" width="11.42578125"/>
    <col min="4768" max="4768" customWidth="1" width="11.42578125"/>
    <col min="4769" max="4769" customWidth="1" width="11.42578125"/>
    <col min="4770" max="4770" customWidth="1" width="11.42578125"/>
    <col min="4771" max="4771" customWidth="1" width="11.42578125"/>
    <col min="4772" max="4772" customWidth="1" width="11.42578125"/>
    <col min="4773" max="4773" customWidth="1" width="11.42578125"/>
    <col min="4774" max="4774" customWidth="1" width="11.42578125"/>
    <col min="4775" max="4775" customWidth="1" width="11.42578125"/>
    <col min="4776" max="4776" customWidth="1" width="11.42578125"/>
    <col min="4777" max="4777" customWidth="1" width="11.42578125"/>
    <col min="4778" max="4778" customWidth="1" width="11.42578125"/>
    <col min="4779" max="4779" customWidth="1" width="11.42578125"/>
    <col min="4780" max="4780" customWidth="1" width="11.42578125"/>
    <col min="4781" max="4781" customWidth="1" width="11.42578125"/>
    <col min="4782" max="4782" customWidth="1" width="11.42578125"/>
    <col min="4783" max="4783" customWidth="1" width="11.42578125"/>
    <col min="4784" max="4784" customWidth="1" width="11.42578125"/>
    <col min="4785" max="4785" customWidth="1" width="11.42578125"/>
    <col min="4786" max="4786" customWidth="1" width="11.42578125"/>
    <col min="4787" max="4787" customWidth="1" width="11.42578125"/>
    <col min="4788" max="4788" customWidth="1" width="11.42578125"/>
    <col min="4789" max="4789" customWidth="1" width="11.42578125"/>
    <col min="4790" max="4790" customWidth="1" width="11.42578125"/>
    <col min="4791" max="4791" customWidth="1" width="11.42578125"/>
    <col min="4792" max="4792" customWidth="1" width="11.42578125"/>
    <col min="4793" max="4793" customWidth="1" width="11.42578125"/>
    <col min="4794" max="4794" customWidth="1" width="11.42578125"/>
    <col min="4795" max="4795" customWidth="1" width="11.42578125"/>
    <col min="4796" max="4796" customWidth="1" width="11.42578125"/>
    <col min="4797" max="4797" customWidth="1" width="11.42578125"/>
    <col min="4798" max="4798" customWidth="1" width="11.42578125"/>
    <col min="4799" max="4799" customWidth="1" width="11.42578125"/>
    <col min="4800" max="4800" customWidth="1" width="11.42578125"/>
    <col min="4801" max="4801" customWidth="1" width="11.42578125"/>
    <col min="4802" max="4802" customWidth="1" width="11.42578125"/>
    <col min="4803" max="4803" customWidth="1" width="11.42578125"/>
    <col min="4804" max="4804" customWidth="1" width="11.42578125"/>
    <col min="4805" max="4805" customWidth="1" width="11.42578125"/>
    <col min="4806" max="4806" customWidth="1" width="11.42578125"/>
    <col min="4807" max="4807" customWidth="1" width="11.42578125"/>
    <col min="4808" max="4808" customWidth="1" width="11.42578125"/>
    <col min="4809" max="4809" customWidth="1" width="11.42578125"/>
    <col min="4810" max="4810" customWidth="1" width="11.42578125"/>
    <col min="4811" max="4811" customWidth="1" width="11.42578125"/>
    <col min="4812" max="4812" customWidth="1" width="11.42578125"/>
    <col min="4813" max="4813" customWidth="1" width="11.42578125"/>
    <col min="4814" max="4814" customWidth="1" width="11.42578125"/>
    <col min="4815" max="4815" customWidth="1" width="11.42578125"/>
    <col min="4816" max="4816" customWidth="1" width="11.42578125"/>
    <col min="4817" max="4817" customWidth="1" width="11.42578125"/>
    <col min="4818" max="4818" customWidth="1" width="11.42578125"/>
    <col min="4819" max="4819" customWidth="1" width="11.42578125"/>
    <col min="4820" max="4820" customWidth="1" width="11.42578125"/>
    <col min="4821" max="4821" customWidth="1" width="11.42578125"/>
    <col min="4822" max="4822" customWidth="1" width="11.42578125"/>
    <col min="4823" max="4823" customWidth="1" width="11.42578125"/>
    <col min="4824" max="4824" customWidth="1" width="11.42578125"/>
    <col min="4825" max="4825" customWidth="1" width="11.42578125"/>
    <col min="4826" max="4826" customWidth="1" width="11.42578125"/>
    <col min="4827" max="4827" customWidth="1" width="11.42578125"/>
    <col min="4828" max="4828" customWidth="1" width="11.42578125"/>
    <col min="4829" max="4829" customWidth="1" width="11.42578125"/>
    <col min="4830" max="4830" customWidth="1" width="11.42578125"/>
    <col min="4831" max="4831" customWidth="1" width="11.42578125"/>
    <col min="4832" max="4832" customWidth="1" width="11.42578125"/>
    <col min="4833" max="4833" customWidth="1" width="11.42578125"/>
    <col min="4834" max="4834" customWidth="1" width="11.42578125"/>
    <col min="4835" max="4835" customWidth="1" width="11.42578125"/>
    <col min="4836" max="4836" customWidth="1" width="11.42578125"/>
    <col min="4837" max="4837" customWidth="1" width="11.42578125"/>
    <col min="4838" max="4838" customWidth="1" width="11.42578125"/>
    <col min="4839" max="4839" customWidth="1" width="11.42578125"/>
    <col min="4840" max="4840" customWidth="1" width="11.42578125"/>
    <col min="4841" max="4841" customWidth="1" width="11.42578125"/>
    <col min="4842" max="4842" customWidth="1" width="11.42578125"/>
    <col min="4843" max="4843" customWidth="1" width="11.42578125"/>
    <col min="4844" max="4844" customWidth="1" width="11.42578125"/>
    <col min="4845" max="4845" customWidth="1" width="11.42578125"/>
    <col min="4846" max="4846" customWidth="1" width="11.42578125"/>
    <col min="4847" max="4847" customWidth="1" width="11.42578125"/>
    <col min="4848" max="4848" customWidth="1" width="11.42578125"/>
    <col min="4849" max="4849" customWidth="1" width="11.42578125"/>
    <col min="4850" max="4850" customWidth="1" width="11.42578125"/>
    <col min="4851" max="4851" customWidth="1" width="11.42578125"/>
    <col min="4852" max="4852" customWidth="1" width="11.42578125"/>
    <col min="4853" max="4853" customWidth="1" width="11.42578125"/>
    <col min="4854" max="4854" customWidth="1" width="11.42578125"/>
    <col min="4855" max="4855" customWidth="1" width="11.42578125"/>
    <col min="4856" max="4856" customWidth="1" width="11.42578125"/>
    <col min="4857" max="4857" customWidth="1" width="11.42578125"/>
    <col min="4858" max="4858" customWidth="1" width="11.42578125"/>
    <col min="4859" max="4859" customWidth="1" width="11.42578125"/>
    <col min="4860" max="4860" customWidth="1" width="11.42578125"/>
    <col min="4861" max="4861" customWidth="1" width="11.42578125"/>
    <col min="4862" max="4862" customWidth="1" width="11.42578125"/>
    <col min="4863" max="4863" customWidth="1" width="11.42578125"/>
    <col min="4864" max="4864" customWidth="1" width="11.42578125"/>
    <col min="4865" max="4865" customWidth="1" width="11.42578125"/>
    <col min="4866" max="4866" customWidth="1" width="11.42578125"/>
    <col min="4867" max="4867" customWidth="1" width="11.42578125"/>
    <col min="4868" max="4868" customWidth="1" width="11.42578125"/>
    <col min="4869" max="4869" customWidth="1" width="11.42578125"/>
    <col min="4870" max="4870" customWidth="1" width="11.42578125"/>
    <col min="4871" max="4871" customWidth="1" width="11.42578125"/>
    <col min="4872" max="4872" customWidth="1" width="11.42578125"/>
    <col min="4873" max="4873" customWidth="1" width="11.42578125"/>
    <col min="4874" max="4874" customWidth="1" width="11.42578125"/>
    <col min="4875" max="4875" customWidth="1" width="11.42578125"/>
    <col min="4876" max="4876" customWidth="1" width="11.42578125"/>
    <col min="4877" max="4877" customWidth="1" width="11.42578125"/>
    <col min="4878" max="4878" customWidth="1" width="11.42578125"/>
    <col min="4879" max="4879" customWidth="1" width="11.42578125"/>
    <col min="4880" max="4880" customWidth="1" width="11.42578125"/>
    <col min="4881" max="4881" customWidth="1" width="11.42578125"/>
    <col min="4882" max="4882" customWidth="1" width="11.42578125"/>
    <col min="4883" max="4883" customWidth="1" width="11.42578125"/>
    <col min="4884" max="4884" customWidth="1" width="11.42578125"/>
    <col min="4885" max="4885" customWidth="1" width="11.42578125"/>
    <col min="4886" max="4886" customWidth="1" width="11.42578125"/>
    <col min="4887" max="4887" customWidth="1" width="11.42578125"/>
    <col min="4888" max="4888" customWidth="1" width="11.42578125"/>
    <col min="4889" max="4889" customWidth="1" width="11.42578125"/>
    <col min="4890" max="4890" customWidth="1" width="11.42578125"/>
    <col min="4891" max="4891" customWidth="1" width="11.42578125"/>
    <col min="4892" max="4892" customWidth="1" width="11.42578125"/>
    <col min="4893" max="4893" customWidth="1" width="11.42578125"/>
    <col min="4894" max="4894" customWidth="1" width="11.42578125"/>
    <col min="4895" max="4895" customWidth="1" width="11.42578125"/>
    <col min="4896" max="4896" customWidth="1" width="11.42578125"/>
    <col min="4897" max="4897" customWidth="1" width="11.42578125"/>
    <col min="4898" max="4898" customWidth="1" width="11.42578125"/>
    <col min="4899" max="4899" customWidth="1" width="11.42578125"/>
    <col min="4900" max="4900" customWidth="1" width="11.42578125"/>
    <col min="4901" max="4901" customWidth="1" width="11.42578125"/>
    <col min="4902" max="4902" customWidth="1" width="11.42578125"/>
    <col min="4903" max="4903" customWidth="1" width="11.42578125"/>
    <col min="4904" max="4904" customWidth="1" width="11.42578125"/>
    <col min="4905" max="4905" customWidth="1" width="11.42578125"/>
    <col min="4906" max="4906" customWidth="1" width="11.42578125"/>
    <col min="4907" max="4907" customWidth="1" width="11.42578125"/>
    <col min="4908" max="4908" customWidth="1" width="11.42578125"/>
    <col min="4909" max="4909" customWidth="1" width="11.42578125"/>
    <col min="4910" max="4910" customWidth="1" width="11.42578125"/>
    <col min="4911" max="4911" customWidth="1" width="11.42578125"/>
    <col min="4912" max="4912" customWidth="1" width="11.42578125"/>
    <col min="4913" max="4913" customWidth="1" width="11.42578125"/>
    <col min="4914" max="4914" customWidth="1" width="11.42578125"/>
    <col min="4915" max="4915" customWidth="1" width="11.42578125"/>
    <col min="4916" max="4916" customWidth="1" width="11.42578125"/>
    <col min="4917" max="4917" customWidth="1" width="11.42578125"/>
    <col min="4918" max="4918" customWidth="1" width="11.42578125"/>
    <col min="4919" max="4919" customWidth="1" width="11.42578125"/>
    <col min="4920" max="4920" customWidth="1" width="11.42578125"/>
    <col min="4921" max="4921" customWidth="1" width="11.42578125"/>
    <col min="4922" max="4922" customWidth="1" width="11.42578125"/>
    <col min="4923" max="4923" customWidth="1" width="11.42578125"/>
    <col min="4924" max="4924" customWidth="1" width="11.42578125"/>
    <col min="4925" max="4925" customWidth="1" width="11.42578125"/>
    <col min="4926" max="4926" customWidth="1" width="11.42578125"/>
    <col min="4927" max="4927" customWidth="1" width="11.42578125"/>
    <col min="4928" max="4928" customWidth="1" width="11.42578125"/>
    <col min="4929" max="4929" customWidth="1" width="11.42578125"/>
    <col min="4930" max="4930" customWidth="1" width="11.42578125"/>
    <col min="4931" max="4931" customWidth="1" width="11.42578125"/>
    <col min="4932" max="4932" customWidth="1" width="11.42578125"/>
    <col min="4933" max="4933" customWidth="1" width="11.42578125"/>
    <col min="4934" max="4934" customWidth="1" width="11.42578125"/>
    <col min="4935" max="4935" customWidth="1" width="11.42578125"/>
    <col min="4936" max="4936" customWidth="1" width="11.42578125"/>
    <col min="4937" max="4937" customWidth="1" width="11.42578125"/>
    <col min="4938" max="4938" customWidth="1" width="11.42578125"/>
    <col min="4939" max="4939" customWidth="1" width="11.42578125"/>
    <col min="4940" max="4940" customWidth="1" width="11.42578125"/>
    <col min="4941" max="4941" customWidth="1" width="11.42578125"/>
    <col min="4942" max="4942" customWidth="1" width="11.42578125"/>
    <col min="4943" max="4943" customWidth="1" width="11.42578125"/>
    <col min="4944" max="4944" customWidth="1" width="11.42578125"/>
    <col min="4945" max="4945" customWidth="1" width="11.42578125"/>
    <col min="4946" max="4946" customWidth="1" width="11.42578125"/>
    <col min="4947" max="4947" customWidth="1" width="11.42578125"/>
    <col min="4948" max="4948" customWidth="1" width="11.42578125"/>
    <col min="4949" max="4949" customWidth="1" width="11.42578125"/>
    <col min="4950" max="4950" customWidth="1" width="11.42578125"/>
    <col min="4951" max="4951" customWidth="1" width="11.42578125"/>
    <col min="4952" max="4952" customWidth="1" width="11.42578125"/>
    <col min="4953" max="4953" customWidth="1" width="11.42578125"/>
    <col min="4954" max="4954" customWidth="1" width="11.42578125"/>
    <col min="4955" max="4955" customWidth="1" width="11.42578125"/>
    <col min="4956" max="4956" customWidth="1" width="11.42578125"/>
    <col min="4957" max="4957" customWidth="1" width="11.42578125"/>
    <col min="4958" max="4958" customWidth="1" width="11.42578125"/>
    <col min="4959" max="4959" customWidth="1" width="11.42578125"/>
    <col min="4960" max="4960" customWidth="1" width="11.42578125"/>
    <col min="4961" max="4961" customWidth="1" width="11.42578125"/>
    <col min="4962" max="4962" customWidth="1" width="11.42578125"/>
    <col min="4963" max="4963" customWidth="1" width="11.42578125"/>
    <col min="4964" max="4964" customWidth="1" width="11.42578125"/>
    <col min="4965" max="4965" customWidth="1" width="11.42578125"/>
    <col min="4966" max="4966" customWidth="1" width="11.42578125"/>
    <col min="4967" max="4967" customWidth="1" width="11.42578125"/>
    <col min="4968" max="4968" customWidth="1" width="11.42578125"/>
    <col min="4969" max="4969" customWidth="1" width="11.42578125"/>
    <col min="4970" max="4970" customWidth="1" width="11.42578125"/>
    <col min="4971" max="4971" customWidth="1" width="11.42578125"/>
    <col min="4972" max="4972" customWidth="1" width="11.42578125"/>
    <col min="4973" max="4973" customWidth="1" width="11.42578125"/>
    <col min="4974" max="4974" customWidth="1" width="11.42578125"/>
    <col min="4975" max="4975" customWidth="1" width="11.42578125"/>
    <col min="4976" max="4976" customWidth="1" width="11.42578125"/>
    <col min="4977" max="4977" customWidth="1" width="11.42578125"/>
    <col min="4978" max="4978" customWidth="1" width="11.42578125"/>
    <col min="4979" max="4979" customWidth="1" width="11.42578125"/>
    <col min="4980" max="4980" customWidth="1" width="11.42578125"/>
    <col min="4981" max="4981" customWidth="1" width="11.42578125"/>
    <col min="4982" max="4982" customWidth="1" width="11.42578125"/>
    <col min="4983" max="4983" customWidth="1" width="11.42578125"/>
    <col min="4984" max="4984" customWidth="1" width="11.42578125"/>
    <col min="4985" max="4985" customWidth="1" width="11.42578125"/>
    <col min="4986" max="4986" customWidth="1" width="11.42578125"/>
    <col min="4987" max="4987" customWidth="1" width="11.42578125"/>
    <col min="4988" max="4988" customWidth="1" width="11.42578125"/>
    <col min="4989" max="4989" customWidth="1" width="11.42578125"/>
    <col min="4990" max="4990" customWidth="1" width="11.42578125"/>
    <col min="4991" max="4991" customWidth="1" width="11.42578125"/>
    <col min="4992" max="4992" customWidth="1" width="11.42578125"/>
    <col min="4993" max="4993" customWidth="1" width="11.42578125"/>
    <col min="4994" max="4994" customWidth="1" width="11.42578125"/>
    <col min="4995" max="4995" customWidth="1" width="11.42578125"/>
    <col min="4996" max="4996" customWidth="1" width="11.42578125"/>
    <col min="4997" max="4997" customWidth="1" width="11.42578125"/>
    <col min="4998" max="4998" customWidth="1" width="11.42578125"/>
    <col min="4999" max="4999" customWidth="1" width="11.42578125"/>
    <col min="5000" max="5000" customWidth="1" width="11.42578125"/>
    <col min="5001" max="5001" customWidth="1" width="11.42578125"/>
    <col min="5002" max="5002" customWidth="1" width="11.42578125"/>
    <col min="5003" max="5003" customWidth="1" width="11.42578125"/>
    <col min="5004" max="5004" customWidth="1" width="11.42578125"/>
    <col min="5005" max="5005" customWidth="1" width="11.42578125"/>
    <col min="5006" max="5006" customWidth="1" width="11.42578125"/>
    <col min="5007" max="5007" customWidth="1" width="11.42578125"/>
    <col min="5008" max="5008" customWidth="1" width="11.42578125"/>
    <col min="5009" max="5009" customWidth="1" width="11.42578125"/>
    <col min="5010" max="5010" customWidth="1" width="11.42578125"/>
    <col min="5011" max="5011" customWidth="1" width="11.42578125"/>
    <col min="5012" max="5012" customWidth="1" width="11.42578125"/>
    <col min="5013" max="5013" customWidth="1" width="11.42578125"/>
    <col min="5014" max="5014" customWidth="1" width="11.42578125"/>
    <col min="5015" max="5015" customWidth="1" width="11.42578125"/>
    <col min="5016" max="5016" customWidth="1" width="11.42578125"/>
    <col min="5017" max="5017" customWidth="1" width="11.42578125"/>
    <col min="5018" max="5018" customWidth="1" width="11.42578125"/>
    <col min="5019" max="5019" customWidth="1" width="11.42578125"/>
    <col min="5020" max="5020" customWidth="1" width="11.42578125"/>
    <col min="5021" max="5021" customWidth="1" width="11.42578125"/>
    <col min="5022" max="5022" customWidth="1" width="11.42578125"/>
    <col min="5023" max="5023" customWidth="1" width="11.42578125"/>
    <col min="5024" max="5024" customWidth="1" width="11.42578125"/>
    <col min="5025" max="5025" customWidth="1" width="11.42578125"/>
    <col min="5026" max="5026" customWidth="1" width="11.42578125"/>
    <col min="5027" max="5027" customWidth="1" width="11.42578125"/>
    <col min="5028" max="5028" customWidth="1" width="11.42578125"/>
    <col min="5029" max="5029" customWidth="1" width="11.42578125"/>
    <col min="5030" max="5030" customWidth="1" width="11.42578125"/>
    <col min="5031" max="5031" customWidth="1" width="11.42578125"/>
    <col min="5032" max="5032" customWidth="1" width="11.42578125"/>
    <col min="5033" max="5033" customWidth="1" width="11.42578125"/>
    <col min="5034" max="5034" customWidth="1" width="11.42578125"/>
    <col min="5035" max="5035" customWidth="1" width="11.42578125"/>
    <col min="5036" max="5036" customWidth="1" width="11.42578125"/>
    <col min="5037" max="5037" customWidth="1" width="11.42578125"/>
    <col min="5038" max="5038" customWidth="1" width="11.42578125"/>
    <col min="5039" max="5039" customWidth="1" width="11.42578125"/>
    <col min="5040" max="5040" customWidth="1" width="11.42578125"/>
    <col min="5041" max="5041" customWidth="1" width="11.42578125"/>
    <col min="5042" max="5042" customWidth="1" width="11.42578125"/>
    <col min="5043" max="5043" customWidth="1" width="11.42578125"/>
    <col min="5044" max="5044" customWidth="1" width="11.42578125"/>
    <col min="5045" max="5045" customWidth="1" width="11.42578125"/>
    <col min="5046" max="5046" customWidth="1" width="11.42578125"/>
    <col min="5047" max="5047" customWidth="1" width="11.42578125"/>
    <col min="5048" max="5048" customWidth="1" width="11.42578125"/>
    <col min="5049" max="5049" customWidth="1" width="11.42578125"/>
    <col min="5050" max="5050" customWidth="1" width="11.42578125"/>
    <col min="5051" max="5051" customWidth="1" width="11.42578125"/>
    <col min="5052" max="5052" customWidth="1" width="11.42578125"/>
    <col min="5053" max="5053" customWidth="1" width="11.42578125"/>
    <col min="5054" max="5054" customWidth="1" width="11.42578125"/>
    <col min="5055" max="5055" customWidth="1" width="11.42578125"/>
    <col min="5056" max="5056" customWidth="1" width="11.42578125"/>
    <col min="5057" max="5057" customWidth="1" width="11.42578125"/>
    <col min="5058" max="5058" customWidth="1" width="11.42578125"/>
    <col min="5059" max="5059" customWidth="1" width="11.42578125"/>
    <col min="5060" max="5060" customWidth="1" width="11.42578125"/>
    <col min="5061" max="5061" customWidth="1" width="11.42578125"/>
    <col min="5062" max="5062" customWidth="1" width="11.42578125"/>
    <col min="5063" max="5063" customWidth="1" width="11.42578125"/>
    <col min="5064" max="5064" customWidth="1" width="11.42578125"/>
    <col min="5065" max="5065" customWidth="1" width="11.42578125"/>
    <col min="5066" max="5066" customWidth="1" width="11.42578125"/>
    <col min="5067" max="5067" customWidth="1" width="11.42578125"/>
    <col min="5068" max="5068" customWidth="1" width="11.42578125"/>
    <col min="5069" max="5069" customWidth="1" width="11.42578125"/>
    <col min="5070" max="5070" customWidth="1" width="11.42578125"/>
    <col min="5071" max="5071" customWidth="1" width="11.42578125"/>
    <col min="5072" max="5072" customWidth="1" width="11.42578125"/>
    <col min="5073" max="5073" customWidth="1" width="11.42578125"/>
    <col min="5074" max="5074" customWidth="1" width="11.42578125"/>
    <col min="5075" max="5075" customWidth="1" width="11.42578125"/>
    <col min="5076" max="5076" customWidth="1" width="11.42578125"/>
    <col min="5077" max="5077" customWidth="1" width="11.42578125"/>
    <col min="5078" max="5078" customWidth="1" width="11.42578125"/>
    <col min="5079" max="5079" customWidth="1" width="11.42578125"/>
    <col min="5080" max="5080" customWidth="1" width="11.42578125"/>
    <col min="5081" max="5081" customWidth="1" width="11.42578125"/>
    <col min="5082" max="5082" customWidth="1" width="11.42578125"/>
    <col min="5083" max="5083" customWidth="1" width="11.42578125"/>
    <col min="5084" max="5084" customWidth="1" width="11.42578125"/>
    <col min="5085" max="5085" customWidth="1" width="11.42578125"/>
    <col min="5086" max="5086" customWidth="1" width="11.42578125"/>
    <col min="5087" max="5087" customWidth="1" width="11.42578125"/>
    <col min="5088" max="5088" customWidth="1" width="11.42578125"/>
    <col min="5089" max="5089" customWidth="1" width="11.42578125"/>
    <col min="5090" max="5090" customWidth="1" width="11.42578125"/>
    <col min="5091" max="5091" customWidth="1" width="11.42578125"/>
    <col min="5092" max="5092" customWidth="1" width="11.42578125"/>
    <col min="5093" max="5093" customWidth="1" width="11.42578125"/>
    <col min="5094" max="5094" customWidth="1" width="11.42578125"/>
    <col min="5095" max="5095" customWidth="1" width="11.42578125"/>
    <col min="5096" max="5096" customWidth="1" width="11.42578125"/>
    <col min="5097" max="5097" customWidth="1" width="11.42578125"/>
    <col min="5098" max="5098" customWidth="1" width="11.42578125"/>
    <col min="5099" max="5099" customWidth="1" width="11.42578125"/>
    <col min="5100" max="5100" customWidth="1" width="11.42578125"/>
    <col min="5101" max="5101" customWidth="1" width="11.42578125"/>
    <col min="5102" max="5102" customWidth="1" width="11.42578125"/>
    <col min="5103" max="5103" customWidth="1" width="11.42578125"/>
    <col min="5104" max="5104" customWidth="1" width="11.42578125"/>
    <col min="5105" max="5105" customWidth="1" width="11.42578125"/>
    <col min="5106" max="5106" customWidth="1" width="11.42578125"/>
    <col min="5107" max="5107" customWidth="1" width="11.42578125"/>
    <col min="5108" max="5108" customWidth="1" width="11.42578125"/>
    <col min="5109" max="5109" customWidth="1" width="11.42578125"/>
    <col min="5110" max="5110" customWidth="1" width="11.42578125"/>
    <col min="5111" max="5111" customWidth="1" width="11.42578125"/>
    <col min="5112" max="5112" customWidth="1" width="11.42578125"/>
    <col min="5113" max="5113" customWidth="1" width="11.42578125"/>
    <col min="5114" max="5114" customWidth="1" width="11.42578125"/>
    <col min="5115" max="5115" customWidth="1" width="11.42578125"/>
    <col min="5116" max="5116" customWidth="1" width="11.42578125"/>
    <col min="5117" max="5117" customWidth="1" width="11.42578125"/>
    <col min="5118" max="5118" customWidth="1" width="11.42578125"/>
    <col min="5119" max="5119" customWidth="1" width="11.42578125"/>
    <col min="5120" max="5120" customWidth="1" width="11.42578125"/>
    <col min="5121" max="5121" customWidth="1" width="11.42578125"/>
    <col min="5122" max="5122" customWidth="1" width="11.42578125"/>
    <col min="5123" max="5123" customWidth="1" width="11.42578125"/>
    <col min="5124" max="5124" customWidth="1" width="11.42578125"/>
    <col min="5125" max="5125" customWidth="1" width="11.42578125"/>
    <col min="5126" max="5126" customWidth="1" width="11.42578125"/>
    <col min="5127" max="5127" customWidth="1" width="11.42578125"/>
    <col min="5128" max="5128" customWidth="1" width="11.42578125"/>
    <col min="5129" max="5129" customWidth="1" width="11.42578125"/>
    <col min="5130" max="5130" customWidth="1" width="11.42578125"/>
    <col min="5131" max="5131" customWidth="1" width="11.42578125"/>
    <col min="5132" max="5132" customWidth="1" width="11.42578125"/>
    <col min="5133" max="5133" customWidth="1" width="11.42578125"/>
    <col min="5134" max="5134" customWidth="1" width="11.42578125"/>
    <col min="5135" max="5135" customWidth="1" width="11.42578125"/>
    <col min="5136" max="5136" customWidth="1" width="11.42578125"/>
    <col min="5137" max="5137" customWidth="1" width="11.42578125"/>
    <col min="5138" max="5138" customWidth="1" width="11.42578125"/>
    <col min="5139" max="5139" customWidth="1" width="11.42578125"/>
    <col min="5140" max="5140" customWidth="1" width="11.42578125"/>
    <col min="5141" max="5141" customWidth="1" width="11.42578125"/>
    <col min="5142" max="5142" customWidth="1" width="11.42578125"/>
    <col min="5143" max="5143" customWidth="1" width="11.42578125"/>
    <col min="5144" max="5144" customWidth="1" width="11.42578125"/>
    <col min="5145" max="5145" customWidth="1" width="11.42578125"/>
    <col min="5146" max="5146" customWidth="1" width="11.42578125"/>
    <col min="5147" max="5147" customWidth="1" width="11.42578125"/>
    <col min="5148" max="5148" customWidth="1" width="11.42578125"/>
    <col min="5149" max="5149" customWidth="1" width="11.42578125"/>
    <col min="5150" max="5150" customWidth="1" width="11.42578125"/>
    <col min="5151" max="5151" customWidth="1" width="11.42578125"/>
    <col min="5152" max="5152" customWidth="1" width="11.42578125"/>
    <col min="5153" max="5153" customWidth="1" width="11.42578125"/>
    <col min="5154" max="5154" customWidth="1" width="11.42578125"/>
    <col min="5155" max="5155" customWidth="1" width="11.42578125"/>
    <col min="5156" max="5156" customWidth="1" width="11.42578125"/>
    <col min="5157" max="5157" customWidth="1" width="11.42578125"/>
    <col min="5158" max="5158" customWidth="1" width="11.42578125"/>
    <col min="5159" max="5159" customWidth="1" width="11.42578125"/>
    <col min="5160" max="5160" customWidth="1" width="11.42578125"/>
    <col min="5161" max="5161" customWidth="1" width="11.42578125"/>
    <col min="5162" max="5162" customWidth="1" width="11.42578125"/>
    <col min="5163" max="5163" customWidth="1" width="11.42578125"/>
    <col min="5164" max="5164" customWidth="1" width="11.42578125"/>
    <col min="5165" max="5165" customWidth="1" width="11.42578125"/>
    <col min="5166" max="5166" customWidth="1" width="11.42578125"/>
    <col min="5167" max="5167" customWidth="1" width="11.42578125"/>
    <col min="5168" max="5168" customWidth="1" width="11.42578125"/>
    <col min="5169" max="5169" customWidth="1" width="11.42578125"/>
    <col min="5170" max="5170" customWidth="1" width="11.42578125"/>
    <col min="5171" max="5171" customWidth="1" width="11.42578125"/>
    <col min="5172" max="5172" customWidth="1" width="11.42578125"/>
    <col min="5173" max="5173" customWidth="1" width="11.42578125"/>
    <col min="5174" max="5174" customWidth="1" width="11.42578125"/>
    <col min="5175" max="5175" customWidth="1" width="11.42578125"/>
    <col min="5176" max="5176" customWidth="1" width="11.42578125"/>
    <col min="5177" max="5177" customWidth="1" width="11.42578125"/>
    <col min="5178" max="5178" customWidth="1" width="11.42578125"/>
    <col min="5179" max="5179" customWidth="1" width="11.42578125"/>
    <col min="5180" max="5180" customWidth="1" width="11.42578125"/>
    <col min="5181" max="5181" customWidth="1" width="11.42578125"/>
    <col min="5182" max="5182" customWidth="1" width="11.42578125"/>
    <col min="5183" max="5183" customWidth="1" width="11.42578125"/>
    <col min="5184" max="5184" customWidth="1" width="11.42578125"/>
    <col min="5185" max="5185" customWidth="1" width="11.42578125"/>
    <col min="5186" max="5186" customWidth="1" width="11.42578125"/>
    <col min="5187" max="5187" customWidth="1" width="11.42578125"/>
    <col min="5188" max="5188" customWidth="1" width="11.42578125"/>
    <col min="5189" max="5189" customWidth="1" width="11.42578125"/>
    <col min="5190" max="5190" customWidth="1" width="11.42578125"/>
    <col min="5191" max="5191" customWidth="1" width="11.42578125"/>
    <col min="5192" max="5192" customWidth="1" width="11.42578125"/>
    <col min="5193" max="5193" customWidth="1" width="11.42578125"/>
    <col min="5194" max="5194" customWidth="1" width="11.42578125"/>
    <col min="5195" max="5195" customWidth="1" width="11.42578125"/>
    <col min="5196" max="5196" customWidth="1" width="11.42578125"/>
    <col min="5197" max="5197" customWidth="1" width="11.42578125"/>
    <col min="5198" max="5198" customWidth="1" width="11.42578125"/>
    <col min="5199" max="5199" customWidth="1" width="11.42578125"/>
    <col min="5200" max="5200" customWidth="1" width="11.42578125"/>
    <col min="5201" max="5201" customWidth="1" width="11.42578125"/>
    <col min="5202" max="5202" customWidth="1" width="11.42578125"/>
    <col min="5203" max="5203" customWidth="1" width="11.42578125"/>
    <col min="5204" max="5204" customWidth="1" width="11.42578125"/>
    <col min="5205" max="5205" customWidth="1" width="11.42578125"/>
    <col min="5206" max="5206" customWidth="1" width="11.42578125"/>
    <col min="5207" max="5207" customWidth="1" width="11.42578125"/>
    <col min="5208" max="5208" customWidth="1" width="11.42578125"/>
    <col min="5209" max="5209" customWidth="1" width="11.42578125"/>
    <col min="5210" max="5210" customWidth="1" width="11.42578125"/>
    <col min="5211" max="5211" customWidth="1" width="11.42578125"/>
    <col min="5212" max="5212" customWidth="1" width="11.42578125"/>
    <col min="5213" max="5213" customWidth="1" width="11.42578125"/>
    <col min="5214" max="5214" customWidth="1" width="11.42578125"/>
    <col min="5215" max="5215" customWidth="1" width="11.42578125"/>
    <col min="5216" max="5216" customWidth="1" width="11.42578125"/>
    <col min="5217" max="5217" customWidth="1" width="11.42578125"/>
    <col min="5218" max="5218" customWidth="1" width="11.42578125"/>
    <col min="5219" max="5219" customWidth="1" width="11.42578125"/>
    <col min="5220" max="5220" customWidth="1" width="11.42578125"/>
    <col min="5221" max="5221" customWidth="1" width="11.42578125"/>
    <col min="5222" max="5222" customWidth="1" width="11.42578125"/>
    <col min="5223" max="5223" customWidth="1" width="11.42578125"/>
    <col min="5224" max="5224" customWidth="1" width="11.42578125"/>
    <col min="5225" max="5225" customWidth="1" width="11.42578125"/>
    <col min="5226" max="5226" customWidth="1" width="11.42578125"/>
    <col min="5227" max="5227" customWidth="1" width="11.42578125"/>
    <col min="5228" max="5228" customWidth="1" width="11.42578125"/>
    <col min="5229" max="5229" customWidth="1" width="11.42578125"/>
    <col min="5230" max="5230" customWidth="1" width="11.42578125"/>
    <col min="5231" max="5231" customWidth="1" width="11.42578125"/>
    <col min="5232" max="5232" customWidth="1" width="11.42578125"/>
    <col min="5233" max="5233" customWidth="1" width="11.42578125"/>
    <col min="5234" max="5234" customWidth="1" width="11.42578125"/>
    <col min="5235" max="5235" customWidth="1" width="11.42578125"/>
    <col min="5236" max="5236" customWidth="1" width="11.42578125"/>
    <col min="5237" max="5237" customWidth="1" width="11.42578125"/>
    <col min="5238" max="5238" customWidth="1" width="11.42578125"/>
    <col min="5239" max="5239" customWidth="1" width="11.42578125"/>
    <col min="5240" max="5240" customWidth="1" width="11.42578125"/>
    <col min="5241" max="5241" customWidth="1" width="11.42578125"/>
    <col min="5242" max="5242" customWidth="1" width="11.42578125"/>
    <col min="5243" max="5243" customWidth="1" width="11.42578125"/>
    <col min="5244" max="5244" customWidth="1" width="11.42578125"/>
    <col min="5245" max="5245" customWidth="1" width="11.42578125"/>
    <col min="5246" max="5246" customWidth="1" width="11.42578125"/>
    <col min="5247" max="5247" customWidth="1" width="11.42578125"/>
    <col min="5248" max="5248" customWidth="1" width="11.42578125"/>
    <col min="5249" max="5249" customWidth="1" width="11.42578125"/>
    <col min="5250" max="5250" customWidth="1" width="11.42578125"/>
    <col min="5251" max="5251" customWidth="1" width="11.42578125"/>
    <col min="5252" max="5252" customWidth="1" width="11.42578125"/>
    <col min="5253" max="5253" customWidth="1" width="11.42578125"/>
    <col min="5254" max="5254" customWidth="1" width="11.42578125"/>
    <col min="5255" max="5255" customWidth="1" width="11.42578125"/>
    <col min="5256" max="5256" customWidth="1" width="11.42578125"/>
    <col min="5257" max="5257" customWidth="1" width="11.42578125"/>
    <col min="5258" max="5258" customWidth="1" width="11.42578125"/>
    <col min="5259" max="5259" customWidth="1" width="11.42578125"/>
    <col min="5260" max="5260" customWidth="1" width="11.42578125"/>
    <col min="5261" max="5261" customWidth="1" width="11.42578125"/>
    <col min="5262" max="5262" customWidth="1" width="11.42578125"/>
    <col min="5263" max="5263" customWidth="1" width="11.42578125"/>
    <col min="5264" max="5264" customWidth="1" width="11.42578125"/>
    <col min="5265" max="5265" customWidth="1" width="11.42578125"/>
    <col min="5266" max="5266" customWidth="1" width="11.42578125"/>
    <col min="5267" max="5267" customWidth="1" width="11.42578125"/>
    <col min="5268" max="5268" customWidth="1" width="11.42578125"/>
    <col min="5269" max="5269" customWidth="1" width="11.42578125"/>
    <col min="5270" max="5270" customWidth="1" width="11.42578125"/>
    <col min="5271" max="5271" customWidth="1" width="11.42578125"/>
    <col min="5272" max="5272" customWidth="1" width="11.42578125"/>
    <col min="5273" max="5273" customWidth="1" width="11.42578125"/>
    <col min="5274" max="5274" customWidth="1" width="11.42578125"/>
    <col min="5275" max="5275" customWidth="1" width="11.42578125"/>
    <col min="5276" max="5276" customWidth="1" width="11.42578125"/>
    <col min="5277" max="5277" customWidth="1" width="11.42578125"/>
    <col min="5278" max="5278" customWidth="1" width="11.42578125"/>
    <col min="5279" max="5279" customWidth="1" width="11.42578125"/>
    <col min="5280" max="5280" customWidth="1" width="11.42578125"/>
    <col min="5281" max="5281" customWidth="1" width="11.42578125"/>
    <col min="5282" max="5282" customWidth="1" width="11.42578125"/>
    <col min="5283" max="5283" customWidth="1" width="11.42578125"/>
    <col min="5284" max="5284" customWidth="1" width="11.42578125"/>
    <col min="5285" max="5285" customWidth="1" width="11.42578125"/>
    <col min="5286" max="5286" customWidth="1" width="11.42578125"/>
    <col min="5287" max="5287" customWidth="1" width="11.42578125"/>
    <col min="5288" max="5288" customWidth="1" width="11.42578125"/>
    <col min="5289" max="5289" customWidth="1" width="11.42578125"/>
    <col min="5290" max="5290" customWidth="1" width="11.42578125"/>
    <col min="5291" max="5291" customWidth="1" width="11.42578125"/>
    <col min="5292" max="5292" customWidth="1" width="11.42578125"/>
    <col min="5293" max="5293" customWidth="1" width="11.42578125"/>
    <col min="5294" max="5294" customWidth="1" width="11.42578125"/>
    <col min="5295" max="5295" customWidth="1" width="11.42578125"/>
    <col min="5296" max="5296" customWidth="1" width="11.42578125"/>
    <col min="5297" max="5297" customWidth="1" width="11.42578125"/>
    <col min="5298" max="5298" customWidth="1" width="11.42578125"/>
    <col min="5299" max="5299" customWidth="1" width="11.42578125"/>
    <col min="5300" max="5300" customWidth="1" width="11.42578125"/>
    <col min="5301" max="5301" customWidth="1" width="11.42578125"/>
    <col min="5302" max="5302" customWidth="1" width="11.42578125"/>
    <col min="5303" max="5303" customWidth="1" width="11.42578125"/>
    <col min="5304" max="5304" customWidth="1" width="11.42578125"/>
    <col min="5305" max="5305" customWidth="1" width="11.42578125"/>
    <col min="5306" max="5306" customWidth="1" width="11.42578125"/>
    <col min="5307" max="5307" customWidth="1" width="11.42578125"/>
    <col min="5308" max="5308" customWidth="1" width="11.42578125"/>
    <col min="5309" max="5309" customWidth="1" width="11.42578125"/>
    <col min="5310" max="5310" customWidth="1" width="11.42578125"/>
    <col min="5311" max="5311" customWidth="1" width="11.42578125"/>
    <col min="5312" max="5312" customWidth="1" width="11.42578125"/>
    <col min="5313" max="5313" customWidth="1" width="11.42578125"/>
    <col min="5314" max="5314" customWidth="1" width="11.42578125"/>
    <col min="5315" max="5315" customWidth="1" width="11.42578125"/>
    <col min="5316" max="5316" customWidth="1" width="11.42578125"/>
    <col min="5317" max="5317" customWidth="1" width="11.42578125"/>
    <col min="5318" max="5318" customWidth="1" width="11.42578125"/>
    <col min="5319" max="5319" customWidth="1" width="11.42578125"/>
    <col min="5320" max="5320" customWidth="1" width="11.42578125"/>
    <col min="5321" max="5321" customWidth="1" width="11.42578125"/>
    <col min="5322" max="5322" customWidth="1" width="11.42578125"/>
    <col min="5323" max="5323" customWidth="1" width="11.42578125"/>
    <col min="5324" max="5324" customWidth="1" width="11.42578125"/>
    <col min="5325" max="5325" customWidth="1" width="11.42578125"/>
    <col min="5326" max="5326" customWidth="1" width="11.42578125"/>
    <col min="5327" max="5327" customWidth="1" width="11.42578125"/>
    <col min="5328" max="5328" customWidth="1" width="11.42578125"/>
    <col min="5329" max="5329" customWidth="1" width="11.42578125"/>
    <col min="5330" max="5330" customWidth="1" width="11.42578125"/>
    <col min="5331" max="5331" customWidth="1" width="11.42578125"/>
    <col min="5332" max="5332" customWidth="1" width="11.42578125"/>
    <col min="5333" max="5333" customWidth="1" width="11.42578125"/>
    <col min="5334" max="5334" customWidth="1" width="11.42578125"/>
    <col min="5335" max="5335" customWidth="1" width="11.42578125"/>
    <col min="5336" max="5336" customWidth="1" width="11.42578125"/>
    <col min="5337" max="5337" customWidth="1" width="11.42578125"/>
    <col min="5338" max="5338" customWidth="1" width="11.42578125"/>
    <col min="5339" max="5339" customWidth="1" width="11.42578125"/>
    <col min="5340" max="5340" customWidth="1" width="11.42578125"/>
    <col min="5341" max="5341" customWidth="1" width="11.42578125"/>
    <col min="5342" max="5342" customWidth="1" width="11.42578125"/>
    <col min="5343" max="5343" customWidth="1" width="11.42578125"/>
    <col min="5344" max="5344" customWidth="1" width="11.42578125"/>
    <col min="5345" max="5345" customWidth="1" width="11.42578125"/>
    <col min="5346" max="5346" customWidth="1" width="11.42578125"/>
    <col min="5347" max="5347" customWidth="1" width="11.42578125"/>
    <col min="5348" max="5348" customWidth="1" width="11.42578125"/>
    <col min="5349" max="5349" customWidth="1" width="11.42578125"/>
    <col min="5350" max="5350" customWidth="1" width="11.42578125"/>
    <col min="5351" max="5351" customWidth="1" width="11.42578125"/>
    <col min="5352" max="5352" customWidth="1" width="11.42578125"/>
    <col min="5353" max="5353" customWidth="1" width="11.42578125"/>
    <col min="5354" max="5354" customWidth="1" width="11.42578125"/>
    <col min="5355" max="5355" customWidth="1" width="11.42578125"/>
    <col min="5356" max="5356" customWidth="1" width="11.42578125"/>
    <col min="5357" max="5357" customWidth="1" width="11.42578125"/>
    <col min="5358" max="5358" customWidth="1" width="11.42578125"/>
    <col min="5359" max="5359" customWidth="1" width="11.42578125"/>
    <col min="5360" max="5360" customWidth="1" width="11.42578125"/>
    <col min="5361" max="5361" customWidth="1" width="11.42578125"/>
    <col min="5362" max="5362" customWidth="1" width="11.42578125"/>
    <col min="5363" max="5363" customWidth="1" width="11.42578125"/>
    <col min="5364" max="5364" customWidth="1" width="11.42578125"/>
    <col min="5365" max="5365" customWidth="1" width="11.42578125"/>
    <col min="5366" max="5366" customWidth="1" width="11.42578125"/>
    <col min="5367" max="5367" customWidth="1" width="11.42578125"/>
    <col min="5368" max="5368" customWidth="1" width="11.42578125"/>
    <col min="5369" max="5369" customWidth="1" width="11.42578125"/>
    <col min="5370" max="5370" customWidth="1" width="11.42578125"/>
    <col min="5371" max="5371" customWidth="1" width="11.42578125"/>
    <col min="5372" max="5372" customWidth="1" width="11.42578125"/>
    <col min="5373" max="5373" customWidth="1" width="11.42578125"/>
    <col min="5374" max="5374" customWidth="1" width="11.42578125"/>
    <col min="5375" max="5375" customWidth="1" width="11.42578125"/>
    <col min="5376" max="5376" customWidth="1" width="11.42578125"/>
    <col min="5377" max="5377" customWidth="1" width="11.42578125"/>
    <col min="5378" max="5378" customWidth="1" width="11.42578125"/>
    <col min="5379" max="5379" customWidth="1" width="11.42578125"/>
    <col min="5380" max="5380" customWidth="1" width="11.42578125"/>
    <col min="5381" max="5381" customWidth="1" width="11.42578125"/>
    <col min="5382" max="5382" customWidth="1" width="11.42578125"/>
    <col min="5383" max="5383" customWidth="1" width="11.42578125"/>
    <col min="5384" max="5384" customWidth="1" width="11.42578125"/>
    <col min="5385" max="5385" customWidth="1" width="11.42578125"/>
    <col min="5386" max="5386" customWidth="1" width="11.42578125"/>
    <col min="5387" max="5387" customWidth="1" width="11.42578125"/>
    <col min="5388" max="5388" customWidth="1" width="11.42578125"/>
    <col min="5389" max="5389" customWidth="1" width="11.42578125"/>
    <col min="5390" max="5390" customWidth="1" width="11.42578125"/>
    <col min="5391" max="5391" customWidth="1" width="11.42578125"/>
    <col min="5392" max="5392" customWidth="1" width="11.42578125"/>
    <col min="5393" max="5393" customWidth="1" width="11.42578125"/>
    <col min="5394" max="5394" customWidth="1" width="11.42578125"/>
    <col min="5395" max="5395" customWidth="1" width="11.42578125"/>
    <col min="5396" max="5396" customWidth="1" width="11.42578125"/>
    <col min="5397" max="5397" customWidth="1" width="11.42578125"/>
    <col min="5398" max="5398" customWidth="1" width="11.42578125"/>
    <col min="5399" max="5399" customWidth="1" width="11.42578125"/>
    <col min="5400" max="5400" customWidth="1" width="11.42578125"/>
    <col min="5401" max="5401" customWidth="1" width="11.42578125"/>
    <col min="5402" max="5402" customWidth="1" width="11.42578125"/>
    <col min="5403" max="5403" customWidth="1" width="11.42578125"/>
    <col min="5404" max="5404" customWidth="1" width="11.42578125"/>
    <col min="5405" max="5405" customWidth="1" width="11.42578125"/>
    <col min="5406" max="5406" customWidth="1" width="11.42578125"/>
    <col min="5407" max="5407" customWidth="1" width="11.42578125"/>
    <col min="5408" max="5408" customWidth="1" width="11.42578125"/>
    <col min="5409" max="5409" customWidth="1" width="11.42578125"/>
    <col min="5410" max="5410" customWidth="1" width="11.42578125"/>
    <col min="5411" max="5411" customWidth="1" width="11.42578125"/>
    <col min="5412" max="5412" customWidth="1" width="11.42578125"/>
    <col min="5413" max="5413" customWidth="1" width="11.42578125"/>
    <col min="5414" max="5414" customWidth="1" width="11.42578125"/>
    <col min="5415" max="5415" customWidth="1" width="11.42578125"/>
    <col min="5416" max="5416" customWidth="1" width="11.42578125"/>
    <col min="5417" max="5417" customWidth="1" width="11.42578125"/>
    <col min="5418" max="5418" customWidth="1" width="11.42578125"/>
    <col min="5419" max="5419" customWidth="1" width="11.42578125"/>
    <col min="5420" max="5420" customWidth="1" width="11.42578125"/>
    <col min="5421" max="5421" customWidth="1" width="11.42578125"/>
    <col min="5422" max="5422" customWidth="1" width="11.42578125"/>
    <col min="5423" max="5423" customWidth="1" width="11.42578125"/>
    <col min="5424" max="5424" customWidth="1" width="11.42578125"/>
    <col min="5425" max="5425" customWidth="1" width="11.42578125"/>
    <col min="5426" max="5426" customWidth="1" width="11.42578125"/>
    <col min="5427" max="5427" customWidth="1" width="11.42578125"/>
    <col min="5428" max="5428" customWidth="1" width="11.42578125"/>
    <col min="5429" max="5429" customWidth="1" width="11.42578125"/>
    <col min="5430" max="5430" customWidth="1" width="11.42578125"/>
    <col min="5431" max="5431" customWidth="1" width="11.42578125"/>
    <col min="5432" max="5432" customWidth="1" width="11.42578125"/>
    <col min="5433" max="5433" customWidth="1" width="11.42578125"/>
    <col min="5434" max="5434" customWidth="1" width="11.42578125"/>
    <col min="5435" max="5435" customWidth="1" width="11.42578125"/>
    <col min="5436" max="5436" customWidth="1" width="11.42578125"/>
    <col min="5437" max="5437" customWidth="1" width="11.42578125"/>
    <col min="5438" max="5438" customWidth="1" width="11.42578125"/>
    <col min="5439" max="5439" customWidth="1" width="11.42578125"/>
    <col min="5440" max="5440" customWidth="1" width="11.42578125"/>
    <col min="5441" max="5441" customWidth="1" width="11.42578125"/>
    <col min="5442" max="5442" customWidth="1" width="11.42578125"/>
    <col min="5443" max="5443" customWidth="1" width="11.42578125"/>
    <col min="5444" max="5444" customWidth="1" width="11.42578125"/>
    <col min="5445" max="5445" customWidth="1" width="11.42578125"/>
    <col min="5446" max="5446" customWidth="1" width="11.42578125"/>
    <col min="5447" max="5447" customWidth="1" width="11.42578125"/>
    <col min="5448" max="5448" customWidth="1" width="11.42578125"/>
    <col min="5449" max="5449" customWidth="1" width="11.42578125"/>
    <col min="5450" max="5450" customWidth="1" width="11.42578125"/>
    <col min="5451" max="5451" customWidth="1" width="11.42578125"/>
    <col min="5452" max="5452" customWidth="1" width="11.42578125"/>
    <col min="5453" max="5453" customWidth="1" width="11.42578125"/>
    <col min="5454" max="5454" customWidth="1" width="11.42578125"/>
    <col min="5455" max="5455" customWidth="1" width="11.42578125"/>
    <col min="5456" max="5456" customWidth="1" width="11.42578125"/>
    <col min="5457" max="5457" customWidth="1" width="11.42578125"/>
    <col min="5458" max="5458" customWidth="1" width="11.42578125"/>
    <col min="5459" max="5459" customWidth="1" width="11.42578125"/>
    <col min="5460" max="5460" customWidth="1" width="11.42578125"/>
    <col min="5461" max="5461" customWidth="1" width="11.42578125"/>
    <col min="5462" max="5462" customWidth="1" width="11.42578125"/>
    <col min="5463" max="5463" customWidth="1" width="11.42578125"/>
    <col min="5464" max="5464" customWidth="1" width="11.42578125"/>
    <col min="5465" max="5465" customWidth="1" width="11.42578125"/>
    <col min="5466" max="5466" customWidth="1" width="11.42578125"/>
    <col min="5467" max="5467" customWidth="1" width="11.42578125"/>
    <col min="5468" max="5468" customWidth="1" width="11.42578125"/>
    <col min="5469" max="5469" customWidth="1" width="11.42578125"/>
    <col min="5470" max="5470" customWidth="1" width="11.42578125"/>
    <col min="5471" max="5471" customWidth="1" width="11.42578125"/>
    <col min="5472" max="5472" customWidth="1" width="11.42578125"/>
    <col min="5473" max="5473" customWidth="1" width="11.42578125"/>
    <col min="5474" max="5474" customWidth="1" width="11.42578125"/>
    <col min="5475" max="5475" customWidth="1" width="11.42578125"/>
    <col min="5476" max="5476" customWidth="1" width="11.42578125"/>
    <col min="5477" max="5477" customWidth="1" width="11.42578125"/>
    <col min="5478" max="5478" customWidth="1" width="11.42578125"/>
    <col min="5479" max="5479" customWidth="1" width="11.42578125"/>
    <col min="5480" max="5480" customWidth="1" width="11.42578125"/>
    <col min="5481" max="5481" customWidth="1" width="11.42578125"/>
    <col min="5482" max="5482" customWidth="1" width="11.42578125"/>
    <col min="5483" max="5483" customWidth="1" width="11.42578125"/>
    <col min="5484" max="5484" customWidth="1" width="11.42578125"/>
    <col min="5485" max="5485" customWidth="1" width="11.42578125"/>
    <col min="5486" max="5486" customWidth="1" width="11.42578125"/>
    <col min="5487" max="5487" customWidth="1" width="11.42578125"/>
    <col min="5488" max="5488" customWidth="1" width="11.42578125"/>
    <col min="5489" max="5489" customWidth="1" width="11.42578125"/>
    <col min="5490" max="5490" customWidth="1" width="11.42578125"/>
    <col min="5491" max="5491" customWidth="1" width="11.42578125"/>
    <col min="5492" max="5492" customWidth="1" width="11.42578125"/>
    <col min="5493" max="5493" customWidth="1" width="11.42578125"/>
    <col min="5494" max="5494" customWidth="1" width="11.42578125"/>
    <col min="5495" max="5495" customWidth="1" width="11.42578125"/>
    <col min="5496" max="5496" customWidth="1" width="11.42578125"/>
    <col min="5497" max="5497" customWidth="1" width="11.42578125"/>
    <col min="5498" max="5498" customWidth="1" width="11.42578125"/>
    <col min="5499" max="5499" customWidth="1" width="11.42578125"/>
    <col min="5500" max="5500" customWidth="1" width="11.42578125"/>
    <col min="5501" max="5501" customWidth="1" width="11.42578125"/>
    <col min="5502" max="5502" customWidth="1" width="11.42578125"/>
    <col min="5503" max="5503" customWidth="1" width="11.42578125"/>
    <col min="5504" max="5504" customWidth="1" width="11.42578125"/>
    <col min="5505" max="5505" customWidth="1" width="11.42578125"/>
    <col min="5506" max="5506" customWidth="1" width="11.42578125"/>
    <col min="5507" max="5507" customWidth="1" width="11.42578125"/>
    <col min="5508" max="5508" customWidth="1" width="11.42578125"/>
    <col min="5509" max="5509" customWidth="1" width="11.42578125"/>
    <col min="5510" max="5510" customWidth="1" width="11.42578125"/>
    <col min="5511" max="5511" customWidth="1" width="11.42578125"/>
    <col min="5512" max="5512" customWidth="1" width="11.42578125"/>
    <col min="5513" max="5513" customWidth="1" width="11.42578125"/>
    <col min="5514" max="5514" customWidth="1" width="11.42578125"/>
    <col min="5515" max="5515" customWidth="1" width="11.42578125"/>
    <col min="5516" max="5516" customWidth="1" width="11.42578125"/>
    <col min="5517" max="5517" customWidth="1" width="11.42578125"/>
    <col min="5518" max="5518" customWidth="1" width="11.42578125"/>
    <col min="5519" max="5519" customWidth="1" width="11.42578125"/>
    <col min="5520" max="5520" customWidth="1" width="11.42578125"/>
    <col min="5521" max="5521" customWidth="1" width="11.42578125"/>
    <col min="5522" max="5522" customWidth="1" width="11.42578125"/>
    <col min="5523" max="5523" customWidth="1" width="11.42578125"/>
    <col min="5524" max="5524" customWidth="1" width="11.42578125"/>
    <col min="5525" max="5525" customWidth="1" width="11.42578125"/>
    <col min="5526" max="5526" customWidth="1" width="11.42578125"/>
    <col min="5527" max="5527" customWidth="1" width="11.42578125"/>
    <col min="5528" max="5528" customWidth="1" width="11.42578125"/>
    <col min="5529" max="5529" customWidth="1" width="11.42578125"/>
    <col min="5530" max="5530" customWidth="1" width="11.42578125"/>
    <col min="5531" max="5531" customWidth="1" width="11.42578125"/>
    <col min="5532" max="5532" customWidth="1" width="11.42578125"/>
    <col min="5533" max="5533" customWidth="1" width="11.42578125"/>
    <col min="5534" max="5534" customWidth="1" width="11.42578125"/>
    <col min="5535" max="5535" customWidth="1" width="11.42578125"/>
    <col min="5536" max="5536" customWidth="1" width="11.42578125"/>
    <col min="5537" max="5537" customWidth="1" width="11.42578125"/>
    <col min="5538" max="5538" customWidth="1" width="11.42578125"/>
    <col min="5539" max="5539" customWidth="1" width="11.42578125"/>
    <col min="5540" max="5540" customWidth="1" width="11.42578125"/>
    <col min="5541" max="5541" customWidth="1" width="11.42578125"/>
    <col min="5542" max="5542" customWidth="1" width="11.42578125"/>
    <col min="5543" max="5543" customWidth="1" width="11.42578125"/>
    <col min="5544" max="5544" customWidth="1" width="11.42578125"/>
    <col min="5545" max="5545" customWidth="1" width="11.42578125"/>
    <col min="5546" max="5546" customWidth="1" width="11.42578125"/>
    <col min="5547" max="5547" customWidth="1" width="11.42578125"/>
    <col min="5548" max="5548" customWidth="1" width="11.42578125"/>
    <col min="5549" max="5549" customWidth="1" width="11.42578125"/>
    <col min="5550" max="5550" customWidth="1" width="11.42578125"/>
    <col min="5551" max="5551" customWidth="1" width="11.42578125"/>
    <col min="5552" max="5552" customWidth="1" width="11.42578125"/>
    <col min="5553" max="5553" customWidth="1" width="11.42578125"/>
    <col min="5554" max="5554" customWidth="1" width="11.42578125"/>
    <col min="5555" max="5555" customWidth="1" width="11.42578125"/>
    <col min="5556" max="5556" customWidth="1" width="11.42578125"/>
    <col min="5557" max="5557" customWidth="1" width="11.42578125"/>
    <col min="5558" max="5558" customWidth="1" width="11.42578125"/>
    <col min="5559" max="5559" customWidth="1" width="11.42578125"/>
    <col min="5560" max="5560" customWidth="1" width="11.42578125"/>
    <col min="5561" max="5561" customWidth="1" width="11.42578125"/>
    <col min="5562" max="5562" customWidth="1" width="11.42578125"/>
    <col min="5563" max="5563" customWidth="1" width="11.42578125"/>
    <col min="5564" max="5564" customWidth="1" width="11.42578125"/>
    <col min="5565" max="5565" customWidth="1" width="11.42578125"/>
    <col min="5566" max="5566" customWidth="1" width="11.42578125"/>
    <col min="5567" max="5567" customWidth="1" width="11.42578125"/>
    <col min="5568" max="5568" customWidth="1" width="11.42578125"/>
    <col min="5569" max="5569" customWidth="1" width="11.42578125"/>
    <col min="5570" max="5570" customWidth="1" width="11.42578125"/>
    <col min="5571" max="5571" customWidth="1" width="11.42578125"/>
    <col min="5572" max="5572" customWidth="1" width="11.42578125"/>
    <col min="5573" max="5573" customWidth="1" width="11.42578125"/>
    <col min="5574" max="5574" customWidth="1" width="11.42578125"/>
    <col min="5575" max="5575" customWidth="1" width="11.42578125"/>
    <col min="5576" max="5576" customWidth="1" width="11.42578125"/>
    <col min="5577" max="5577" customWidth="1" width="11.42578125"/>
    <col min="5578" max="5578" customWidth="1" width="11.42578125"/>
    <col min="5579" max="5579" customWidth="1" width="11.42578125"/>
    <col min="5580" max="5580" customWidth="1" width="11.42578125"/>
    <col min="5581" max="5581" customWidth="1" width="11.42578125"/>
    <col min="5582" max="5582" customWidth="1" width="11.42578125"/>
    <col min="5583" max="5583" customWidth="1" width="11.42578125"/>
    <col min="5584" max="5584" customWidth="1" width="11.42578125"/>
    <col min="5585" max="5585" customWidth="1" width="11.42578125"/>
    <col min="5586" max="5586" customWidth="1" width="11.42578125"/>
    <col min="5587" max="5587" customWidth="1" width="11.42578125"/>
    <col min="5588" max="5588" customWidth="1" width="11.42578125"/>
    <col min="5589" max="5589" customWidth="1" width="11.42578125"/>
    <col min="5590" max="5590" customWidth="1" width="11.42578125"/>
    <col min="5591" max="5591" customWidth="1" width="11.42578125"/>
    <col min="5592" max="5592" customWidth="1" width="11.42578125"/>
    <col min="5593" max="5593" customWidth="1" width="11.42578125"/>
    <col min="5594" max="5594" customWidth="1" width="11.42578125"/>
    <col min="5595" max="5595" customWidth="1" width="11.42578125"/>
    <col min="5596" max="5596" customWidth="1" width="11.42578125"/>
    <col min="5597" max="5597" customWidth="1" width="11.42578125"/>
    <col min="5598" max="5598" customWidth="1" width="11.42578125"/>
    <col min="5599" max="5599" customWidth="1" width="11.42578125"/>
    <col min="5600" max="5600" customWidth="1" width="11.42578125"/>
    <col min="5601" max="5601" customWidth="1" width="11.42578125"/>
    <col min="5602" max="5602" customWidth="1" width="11.42578125"/>
    <col min="5603" max="5603" customWidth="1" width="11.42578125"/>
    <col min="5604" max="5604" customWidth="1" width="11.42578125"/>
    <col min="5605" max="5605" customWidth="1" width="11.42578125"/>
    <col min="5606" max="5606" customWidth="1" width="11.42578125"/>
    <col min="5607" max="5607" customWidth="1" width="11.42578125"/>
    <col min="5608" max="5608" customWidth="1" width="11.42578125"/>
    <col min="5609" max="5609" customWidth="1" width="11.42578125"/>
    <col min="5610" max="5610" customWidth="1" width="11.42578125"/>
    <col min="5611" max="5611" customWidth="1" width="11.42578125"/>
    <col min="5612" max="5612" customWidth="1" width="11.42578125"/>
    <col min="5613" max="5613" customWidth="1" width="11.42578125"/>
    <col min="5614" max="5614" customWidth="1" width="11.42578125"/>
    <col min="5615" max="5615" customWidth="1" width="11.42578125"/>
    <col min="5616" max="5616" customWidth="1" width="11.42578125"/>
    <col min="5617" max="5617" customWidth="1" width="11.42578125"/>
    <col min="5618" max="5618" customWidth="1" width="11.42578125"/>
    <col min="5619" max="5619" customWidth="1" width="11.42578125"/>
    <col min="5620" max="5620" customWidth="1" width="11.42578125"/>
    <col min="5621" max="5621" customWidth="1" width="11.42578125"/>
    <col min="5622" max="5622" customWidth="1" width="11.42578125"/>
    <col min="5623" max="5623" customWidth="1" width="11.42578125"/>
    <col min="5624" max="5624" customWidth="1" width="11.42578125"/>
    <col min="5625" max="5625" customWidth="1" width="11.42578125"/>
    <col min="5626" max="5626" customWidth="1" width="11.42578125"/>
    <col min="5627" max="5627" customWidth="1" width="11.42578125"/>
    <col min="5628" max="5628" customWidth="1" width="11.42578125"/>
    <col min="5629" max="5629" customWidth="1" width="11.42578125"/>
    <col min="5630" max="5630" customWidth="1" width="11.42578125"/>
    <col min="5631" max="5631" customWidth="1" width="11.42578125"/>
    <col min="5632" max="5632" customWidth="1" width="11.42578125"/>
    <col min="5633" max="5633" customWidth="1" width="11.42578125"/>
    <col min="5634" max="5634" customWidth="1" width="11.42578125"/>
    <col min="5635" max="5635" customWidth="1" width="11.42578125"/>
    <col min="5636" max="5636" customWidth="1" width="11.42578125"/>
    <col min="5637" max="5637" customWidth="1" width="11.42578125"/>
    <col min="5638" max="5638" customWidth="1" width="11.42578125"/>
    <col min="5639" max="5639" customWidth="1" width="11.42578125"/>
    <col min="5640" max="5640" customWidth="1" width="11.42578125"/>
    <col min="5641" max="5641" customWidth="1" width="11.42578125"/>
    <col min="5642" max="5642" customWidth="1" width="11.42578125"/>
    <col min="5643" max="5643" customWidth="1" width="11.42578125"/>
    <col min="5644" max="5644" customWidth="1" width="11.42578125"/>
    <col min="5645" max="5645" customWidth="1" width="11.42578125"/>
    <col min="5646" max="5646" customWidth="1" width="11.42578125"/>
    <col min="5647" max="5647" customWidth="1" width="11.42578125"/>
    <col min="5648" max="5648" customWidth="1" width="11.42578125"/>
    <col min="5649" max="5649" customWidth="1" width="11.42578125"/>
    <col min="5650" max="5650" customWidth="1" width="11.42578125"/>
    <col min="5651" max="5651" customWidth="1" width="11.42578125"/>
    <col min="5652" max="5652" customWidth="1" width="11.42578125"/>
    <col min="5653" max="5653" customWidth="1" width="11.42578125"/>
    <col min="5654" max="5654" customWidth="1" width="11.42578125"/>
    <col min="5655" max="5655" customWidth="1" width="11.42578125"/>
    <col min="5656" max="5656" customWidth="1" width="11.42578125"/>
    <col min="5657" max="5657" customWidth="1" width="11.42578125"/>
    <col min="5658" max="5658" customWidth="1" width="11.42578125"/>
    <col min="5659" max="5659" customWidth="1" width="11.42578125"/>
    <col min="5660" max="5660" customWidth="1" width="11.42578125"/>
    <col min="5661" max="5661" customWidth="1" width="11.42578125"/>
    <col min="5662" max="5662" customWidth="1" width="11.42578125"/>
    <col min="5663" max="5663" customWidth="1" width="11.42578125"/>
    <col min="5664" max="5664" customWidth="1" width="11.42578125"/>
    <col min="5665" max="5665" customWidth="1" width="11.42578125"/>
    <col min="5666" max="5666" customWidth="1" width="11.42578125"/>
    <col min="5667" max="5667" customWidth="1" width="11.42578125"/>
    <col min="5668" max="5668" customWidth="1" width="11.42578125"/>
    <col min="5669" max="5669" customWidth="1" width="11.42578125"/>
    <col min="5670" max="5670" customWidth="1" width="11.42578125"/>
    <col min="5671" max="5671" customWidth="1" width="11.42578125"/>
    <col min="5672" max="5672" customWidth="1" width="11.42578125"/>
    <col min="5673" max="5673" customWidth="1" width="11.42578125"/>
    <col min="5674" max="5674" customWidth="1" width="11.42578125"/>
    <col min="5675" max="5675" customWidth="1" width="11.42578125"/>
    <col min="5676" max="5676" customWidth="1" width="11.42578125"/>
    <col min="5677" max="5677" customWidth="1" width="11.42578125"/>
    <col min="5678" max="5678" customWidth="1" width="11.42578125"/>
    <col min="5679" max="5679" customWidth="1" width="11.42578125"/>
    <col min="5680" max="5680" customWidth="1" width="11.42578125"/>
    <col min="5681" max="5681" customWidth="1" width="11.42578125"/>
    <col min="5682" max="5682" customWidth="1" width="11.42578125"/>
    <col min="5683" max="5683" customWidth="1" width="11.42578125"/>
    <col min="5684" max="5684" customWidth="1" width="11.42578125"/>
    <col min="5685" max="5685" customWidth="1" width="11.42578125"/>
    <col min="5686" max="5686" customWidth="1" width="11.42578125"/>
    <col min="5687" max="5687" customWidth="1" width="11.42578125"/>
    <col min="5688" max="5688" customWidth="1" width="11.42578125"/>
    <col min="5689" max="5689" customWidth="1" width="11.42578125"/>
    <col min="5690" max="5690" customWidth="1" width="11.42578125"/>
    <col min="5691" max="5691" customWidth="1" width="11.42578125"/>
    <col min="5692" max="5692" customWidth="1" width="11.42578125"/>
    <col min="5693" max="5693" customWidth="1" width="11.42578125"/>
    <col min="5694" max="5694" customWidth="1" width="11.42578125"/>
    <col min="5695" max="5695" customWidth="1" width="11.42578125"/>
    <col min="5696" max="5696" customWidth="1" width="11.42578125"/>
    <col min="5697" max="5697" customWidth="1" width="11.42578125"/>
    <col min="5698" max="5698" customWidth="1" width="11.42578125"/>
    <col min="5699" max="5699" customWidth="1" width="11.42578125"/>
    <col min="5700" max="5700" customWidth="1" width="11.42578125"/>
    <col min="5701" max="5701" customWidth="1" width="11.42578125"/>
    <col min="5702" max="5702" customWidth="1" width="11.42578125"/>
    <col min="5703" max="5703" customWidth="1" width="11.42578125"/>
    <col min="5704" max="5704" customWidth="1" width="11.42578125"/>
    <col min="5705" max="5705" customWidth="1" width="11.42578125"/>
    <col min="5706" max="5706" customWidth="1" width="11.42578125"/>
    <col min="5707" max="5707" customWidth="1" width="11.42578125"/>
    <col min="5708" max="5708" customWidth="1" width="11.42578125"/>
    <col min="5709" max="5709" customWidth="1" width="11.42578125"/>
    <col min="5710" max="5710" customWidth="1" width="11.42578125"/>
    <col min="5711" max="5711" customWidth="1" width="11.42578125"/>
    <col min="5712" max="5712" customWidth="1" width="11.42578125"/>
    <col min="5713" max="5713" customWidth="1" width="11.42578125"/>
    <col min="5714" max="5714" customWidth="1" width="11.42578125"/>
    <col min="5715" max="5715" customWidth="1" width="11.42578125"/>
    <col min="5716" max="5716" customWidth="1" width="11.42578125"/>
    <col min="5717" max="5717" customWidth="1" width="11.42578125"/>
    <col min="5718" max="5718" customWidth="1" width="11.42578125"/>
    <col min="5719" max="5719" customWidth="1" width="11.42578125"/>
    <col min="5720" max="5720" customWidth="1" width="11.42578125"/>
    <col min="5721" max="5721" customWidth="1" width="11.42578125"/>
    <col min="5722" max="5722" customWidth="1" width="11.42578125"/>
    <col min="5723" max="5723" customWidth="1" width="11.42578125"/>
    <col min="5724" max="5724" customWidth="1" width="11.42578125"/>
    <col min="5725" max="5725" customWidth="1" width="11.42578125"/>
    <col min="5726" max="5726" customWidth="1" width="11.42578125"/>
    <col min="5727" max="5727" customWidth="1" width="11.42578125"/>
    <col min="5728" max="5728" customWidth="1" width="11.42578125"/>
    <col min="5729" max="5729" customWidth="1" width="11.42578125"/>
    <col min="5730" max="5730" customWidth="1" width="11.42578125"/>
    <col min="5731" max="5731" customWidth="1" width="11.42578125"/>
    <col min="5732" max="5732" customWidth="1" width="11.42578125"/>
    <col min="5733" max="5733" customWidth="1" width="11.42578125"/>
    <col min="5734" max="5734" customWidth="1" width="11.42578125"/>
    <col min="5735" max="5735" customWidth="1" width="11.42578125"/>
    <col min="5736" max="5736" customWidth="1" width="11.42578125"/>
    <col min="5737" max="5737" customWidth="1" width="11.42578125"/>
    <col min="5738" max="5738" customWidth="1" width="11.42578125"/>
    <col min="5739" max="5739" customWidth="1" width="11.42578125"/>
    <col min="5740" max="5740" customWidth="1" width="11.42578125"/>
    <col min="5741" max="5741" customWidth="1" width="11.42578125"/>
    <col min="5742" max="5742" customWidth="1" width="11.42578125"/>
    <col min="5743" max="5743" customWidth="1" width="11.42578125"/>
    <col min="5744" max="5744" customWidth="1" width="11.42578125"/>
    <col min="5745" max="5745" customWidth="1" width="11.42578125"/>
    <col min="5746" max="5746" customWidth="1" width="11.42578125"/>
    <col min="5747" max="5747" customWidth="1" width="11.42578125"/>
    <col min="5748" max="5748" customWidth="1" width="11.42578125"/>
    <col min="5749" max="5749" customWidth="1" width="11.42578125"/>
    <col min="5750" max="5750" customWidth="1" width="11.42578125"/>
    <col min="5751" max="5751" customWidth="1" width="11.42578125"/>
    <col min="5752" max="5752" customWidth="1" width="11.42578125"/>
    <col min="5753" max="5753" customWidth="1" width="11.42578125"/>
    <col min="5754" max="5754" customWidth="1" width="11.42578125"/>
    <col min="5755" max="5755" customWidth="1" width="11.42578125"/>
    <col min="5756" max="5756" customWidth="1" width="11.42578125"/>
    <col min="5757" max="5757" customWidth="1" width="11.42578125"/>
    <col min="5758" max="5758" customWidth="1" width="11.42578125"/>
    <col min="5759" max="5759" customWidth="1" width="11.42578125"/>
    <col min="5760" max="5760" customWidth="1" width="11.42578125"/>
    <col min="5761" max="5761" customWidth="1" width="11.42578125"/>
    <col min="5762" max="5762" customWidth="1" width="11.42578125"/>
    <col min="5763" max="5763" customWidth="1" width="11.42578125"/>
    <col min="5764" max="5764" customWidth="1" width="11.42578125"/>
    <col min="5765" max="5765" customWidth="1" width="11.42578125"/>
    <col min="5766" max="5766" customWidth="1" width="11.42578125"/>
    <col min="5767" max="5767" customWidth="1" width="11.42578125"/>
    <col min="5768" max="5768" customWidth="1" width="11.42578125"/>
    <col min="5769" max="5769" customWidth="1" width="11.42578125"/>
    <col min="5770" max="5770" customWidth="1" width="11.42578125"/>
    <col min="5771" max="5771" customWidth="1" width="11.42578125"/>
    <col min="5772" max="5772" customWidth="1" width="11.42578125"/>
    <col min="5773" max="5773" customWidth="1" width="11.42578125"/>
    <col min="5774" max="5774" customWidth="1" width="11.42578125"/>
    <col min="5775" max="5775" customWidth="1" width="11.42578125"/>
    <col min="5776" max="5776" customWidth="1" width="11.42578125"/>
    <col min="5777" max="5777" customWidth="1" width="11.42578125"/>
    <col min="5778" max="5778" customWidth="1" width="11.42578125"/>
    <col min="5779" max="5779" customWidth="1" width="11.42578125"/>
    <col min="5780" max="5780" customWidth="1" width="11.42578125"/>
    <col min="5781" max="5781" customWidth="1" width="11.42578125"/>
    <col min="5782" max="5782" customWidth="1" width="11.42578125"/>
    <col min="5783" max="5783" customWidth="1" width="11.42578125"/>
    <col min="5784" max="5784" customWidth="1" width="11.42578125"/>
    <col min="5785" max="5785" customWidth="1" width="11.42578125"/>
    <col min="5786" max="5786" customWidth="1" width="11.42578125"/>
    <col min="5787" max="5787" customWidth="1" width="11.42578125"/>
    <col min="5788" max="5788" customWidth="1" width="11.42578125"/>
    <col min="5789" max="5789" customWidth="1" width="11.42578125"/>
    <col min="5790" max="5790" customWidth="1" width="11.42578125"/>
    <col min="5791" max="5791" customWidth="1" width="11.42578125"/>
    <col min="5792" max="5792" customWidth="1" width="11.42578125"/>
    <col min="5793" max="5793" customWidth="1" width="11.42578125"/>
    <col min="5794" max="5794" customWidth="1" width="11.42578125"/>
    <col min="5795" max="5795" customWidth="1" width="11.42578125"/>
    <col min="5796" max="5796" customWidth="1" width="11.42578125"/>
    <col min="5797" max="5797" customWidth="1" width="11.42578125"/>
    <col min="5798" max="5798" customWidth="1" width="11.42578125"/>
    <col min="5799" max="5799" customWidth="1" width="11.42578125"/>
    <col min="5800" max="5800" customWidth="1" width="11.42578125"/>
    <col min="5801" max="5801" customWidth="1" width="11.42578125"/>
    <col min="5802" max="5802" customWidth="1" width="11.42578125"/>
    <col min="5803" max="5803" customWidth="1" width="11.42578125"/>
    <col min="5804" max="5804" customWidth="1" width="11.42578125"/>
    <col min="5805" max="5805" customWidth="1" width="11.42578125"/>
    <col min="5806" max="5806" customWidth="1" width="11.42578125"/>
    <col min="5807" max="5807" customWidth="1" width="11.42578125"/>
    <col min="5808" max="5808" customWidth="1" width="11.42578125"/>
    <col min="5809" max="5809" customWidth="1" width="11.42578125"/>
    <col min="5810" max="5810" customWidth="1" width="11.42578125"/>
    <col min="5811" max="5811" customWidth="1" width="11.42578125"/>
    <col min="5812" max="5812" customWidth="1" width="11.42578125"/>
    <col min="5813" max="5813" customWidth="1" width="11.42578125"/>
    <col min="5814" max="5814" customWidth="1" width="11.42578125"/>
    <col min="5815" max="5815" customWidth="1" width="11.42578125"/>
    <col min="5816" max="5816" customWidth="1" width="11.42578125"/>
    <col min="5817" max="5817" customWidth="1" width="11.42578125"/>
    <col min="5818" max="5818" customWidth="1" width="11.42578125"/>
    <col min="5819" max="5819" customWidth="1" width="11.42578125"/>
    <col min="5820" max="5820" customWidth="1" width="11.42578125"/>
    <col min="5821" max="5821" customWidth="1" width="11.42578125"/>
    <col min="5822" max="5822" customWidth="1" width="11.42578125"/>
    <col min="5823" max="5823" customWidth="1" width="11.42578125"/>
    <col min="5824" max="5824" customWidth="1" width="11.42578125"/>
    <col min="5825" max="5825" customWidth="1" width="11.42578125"/>
    <col min="5826" max="5826" customWidth="1" width="11.42578125"/>
    <col min="5827" max="5827" customWidth="1" width="11.42578125"/>
    <col min="5828" max="5828" customWidth="1" width="11.42578125"/>
    <col min="5829" max="5829" customWidth="1" width="11.42578125"/>
    <col min="5830" max="5830" customWidth="1" width="11.42578125"/>
    <col min="5831" max="5831" customWidth="1" width="11.42578125"/>
    <col min="5832" max="5832" customWidth="1" width="11.42578125"/>
    <col min="5833" max="5833" customWidth="1" width="11.42578125"/>
    <col min="5834" max="5834" customWidth="1" width="11.42578125"/>
    <col min="5835" max="5835" customWidth="1" width="11.42578125"/>
    <col min="5836" max="5836" customWidth="1" width="11.42578125"/>
    <col min="5837" max="5837" customWidth="1" width="11.42578125"/>
    <col min="5838" max="5838" customWidth="1" width="11.42578125"/>
    <col min="5839" max="5839" customWidth="1" width="11.42578125"/>
    <col min="5840" max="5840" customWidth="1" width="11.42578125"/>
    <col min="5841" max="5841" customWidth="1" width="11.42578125"/>
    <col min="5842" max="5842" customWidth="1" width="11.42578125"/>
    <col min="5843" max="5843" customWidth="1" width="11.42578125"/>
    <col min="5844" max="5844" customWidth="1" width="11.42578125"/>
    <col min="5845" max="5845" customWidth="1" width="11.42578125"/>
    <col min="5846" max="5846" customWidth="1" width="11.42578125"/>
    <col min="5847" max="5847" customWidth="1" width="11.42578125"/>
    <col min="5848" max="5848" customWidth="1" width="11.42578125"/>
    <col min="5849" max="5849" customWidth="1" width="11.42578125"/>
    <col min="5850" max="5850" customWidth="1" width="11.42578125"/>
    <col min="5851" max="5851" customWidth="1" width="11.42578125"/>
    <col min="5852" max="5852" customWidth="1" width="11.42578125"/>
    <col min="5853" max="5853" customWidth="1" width="11.42578125"/>
    <col min="5854" max="5854" customWidth="1" width="11.42578125"/>
    <col min="5855" max="5855" customWidth="1" width="11.42578125"/>
    <col min="5856" max="5856" customWidth="1" width="11.42578125"/>
    <col min="5857" max="5857" customWidth="1" width="11.42578125"/>
    <col min="5858" max="5858" customWidth="1" width="11.42578125"/>
    <col min="5859" max="5859" customWidth="1" width="11.42578125"/>
    <col min="5860" max="5860" customWidth="1" width="11.42578125"/>
    <col min="5861" max="5861" customWidth="1" width="11.42578125"/>
    <col min="5862" max="5862" customWidth="1" width="11.42578125"/>
    <col min="5863" max="5863" customWidth="1" width="11.42578125"/>
    <col min="5864" max="5864" customWidth="1" width="11.42578125"/>
    <col min="5865" max="5865" customWidth="1" width="11.42578125"/>
    <col min="5866" max="5866" customWidth="1" width="11.42578125"/>
    <col min="5867" max="5867" customWidth="1" width="11.42578125"/>
    <col min="5868" max="5868" customWidth="1" width="11.42578125"/>
    <col min="5869" max="5869" customWidth="1" width="11.42578125"/>
    <col min="5870" max="5870" customWidth="1" width="11.42578125"/>
    <col min="5871" max="5871" customWidth="1" width="11.42578125"/>
    <col min="5872" max="5872" customWidth="1" width="11.42578125"/>
    <col min="5873" max="5873" customWidth="1" width="11.42578125"/>
    <col min="5874" max="5874" customWidth="1" width="11.42578125"/>
    <col min="5875" max="5875" customWidth="1" width="11.42578125"/>
    <col min="5876" max="5876" customWidth="1" width="11.42578125"/>
    <col min="5877" max="5877" customWidth="1" width="11.42578125"/>
    <col min="5878" max="5878" customWidth="1" width="11.42578125"/>
    <col min="5879" max="5879" customWidth="1" width="11.42578125"/>
    <col min="5880" max="5880" customWidth="1" width="11.42578125"/>
    <col min="5881" max="5881" customWidth="1" width="11.42578125"/>
    <col min="5882" max="5882" customWidth="1" width="11.42578125"/>
    <col min="5883" max="5883" customWidth="1" width="11.42578125"/>
    <col min="5884" max="5884" customWidth="1" width="11.42578125"/>
    <col min="5885" max="5885" customWidth="1" width="11.42578125"/>
    <col min="5886" max="5886" customWidth="1" width="11.42578125"/>
    <col min="5887" max="5887" customWidth="1" width="11.42578125"/>
    <col min="5888" max="5888" customWidth="1" width="11.42578125"/>
    <col min="5889" max="5889" customWidth="1" width="11.42578125"/>
    <col min="5890" max="5890" customWidth="1" width="11.42578125"/>
    <col min="5891" max="5891" customWidth="1" width="11.42578125"/>
    <col min="5892" max="5892" customWidth="1" width="11.42578125"/>
    <col min="5893" max="5893" customWidth="1" width="11.42578125"/>
    <col min="5894" max="5894" customWidth="1" width="11.42578125"/>
    <col min="5895" max="5895" customWidth="1" width="11.42578125"/>
    <col min="5896" max="5896" customWidth="1" width="11.42578125"/>
    <col min="5897" max="5897" customWidth="1" width="11.42578125"/>
    <col min="5898" max="5898" customWidth="1" width="11.42578125"/>
    <col min="5899" max="5899" customWidth="1" width="11.42578125"/>
    <col min="5900" max="5900" customWidth="1" width="11.42578125"/>
    <col min="5901" max="5901" customWidth="1" width="11.42578125"/>
    <col min="5902" max="5902" customWidth="1" width="11.42578125"/>
    <col min="5903" max="5903" customWidth="1" width="11.42578125"/>
    <col min="5904" max="5904" customWidth="1" width="11.42578125"/>
    <col min="5905" max="5905" customWidth="1" width="11.42578125"/>
    <col min="5906" max="5906" customWidth="1" width="11.42578125"/>
    <col min="5907" max="5907" customWidth="1" width="11.42578125"/>
    <col min="5908" max="5908" customWidth="1" width="11.42578125"/>
    <col min="5909" max="5909" customWidth="1" width="11.42578125"/>
    <col min="5910" max="5910" customWidth="1" width="11.42578125"/>
    <col min="5911" max="5911" customWidth="1" width="11.42578125"/>
    <col min="5912" max="5912" customWidth="1" width="11.42578125"/>
    <col min="5913" max="5913" customWidth="1" width="11.42578125"/>
    <col min="5914" max="5914" customWidth="1" width="11.42578125"/>
    <col min="5915" max="5915" customWidth="1" width="11.42578125"/>
    <col min="5916" max="5916" customWidth="1" width="11.42578125"/>
    <col min="5917" max="5917" customWidth="1" width="11.42578125"/>
    <col min="5918" max="5918" customWidth="1" width="11.42578125"/>
    <col min="5919" max="5919" customWidth="1" width="11.42578125"/>
    <col min="5920" max="5920" customWidth="1" width="11.42578125"/>
    <col min="5921" max="5921" customWidth="1" width="11.42578125"/>
    <col min="5922" max="5922" customWidth="1" width="11.42578125"/>
    <col min="5923" max="5923" customWidth="1" width="11.42578125"/>
    <col min="5924" max="5924" customWidth="1" width="11.42578125"/>
    <col min="5925" max="5925" customWidth="1" width="11.42578125"/>
    <col min="5926" max="5926" customWidth="1" width="11.42578125"/>
    <col min="5927" max="5927" customWidth="1" width="11.42578125"/>
    <col min="5928" max="5928" customWidth="1" width="11.42578125"/>
    <col min="5929" max="5929" customWidth="1" width="11.42578125"/>
    <col min="5930" max="5930" customWidth="1" width="11.42578125"/>
    <col min="5931" max="5931" customWidth="1" width="11.42578125"/>
    <col min="5932" max="5932" customWidth="1" width="11.42578125"/>
    <col min="5933" max="5933" customWidth="1" width="11.42578125"/>
    <col min="5934" max="5934" customWidth="1" width="11.42578125"/>
    <col min="5935" max="5935" customWidth="1" width="11.42578125"/>
    <col min="5936" max="5936" customWidth="1" width="11.42578125"/>
    <col min="5937" max="5937" customWidth="1" width="11.42578125"/>
    <col min="5938" max="5938" customWidth="1" width="11.42578125"/>
    <col min="5939" max="5939" customWidth="1" width="11.42578125"/>
    <col min="5940" max="5940" customWidth="1" width="11.42578125"/>
    <col min="5941" max="5941" customWidth="1" width="11.42578125"/>
    <col min="5942" max="5942" customWidth="1" width="11.42578125"/>
    <col min="5943" max="5943" customWidth="1" width="11.42578125"/>
    <col min="5944" max="5944" customWidth="1" width="11.42578125"/>
    <col min="5945" max="5945" customWidth="1" width="11.42578125"/>
    <col min="5946" max="5946" customWidth="1" width="11.42578125"/>
    <col min="5947" max="5947" customWidth="1" width="11.42578125"/>
    <col min="5948" max="5948" customWidth="1" width="11.42578125"/>
    <col min="5949" max="5949" customWidth="1" width="11.42578125"/>
    <col min="5950" max="5950" customWidth="1" width="11.42578125"/>
    <col min="5951" max="5951" customWidth="1" width="11.42578125"/>
    <col min="5952" max="5952" customWidth="1" width="11.42578125"/>
    <col min="5953" max="5953" customWidth="1" width="11.42578125"/>
    <col min="5954" max="5954" customWidth="1" width="11.42578125"/>
    <col min="5955" max="5955" customWidth="1" width="11.42578125"/>
    <col min="5956" max="5956" customWidth="1" width="11.42578125"/>
    <col min="5957" max="5957" customWidth="1" width="11.42578125"/>
    <col min="5958" max="5958" customWidth="1" width="11.42578125"/>
    <col min="5959" max="5959" customWidth="1" width="11.42578125"/>
    <col min="5960" max="5960" customWidth="1" width="11.42578125"/>
    <col min="5961" max="5961" customWidth="1" width="11.42578125"/>
    <col min="5962" max="5962" customWidth="1" width="11.42578125"/>
    <col min="5963" max="5963" customWidth="1" width="11.42578125"/>
    <col min="5964" max="5964" customWidth="1" width="11.42578125"/>
    <col min="5965" max="5965" customWidth="1" width="11.42578125"/>
    <col min="5966" max="5966" customWidth="1" width="11.42578125"/>
    <col min="5967" max="5967" customWidth="1" width="11.42578125"/>
    <col min="5968" max="5968" customWidth="1" width="11.42578125"/>
    <col min="5969" max="5969" customWidth="1" width="11.42578125"/>
    <col min="5970" max="5970" customWidth="1" width="11.42578125"/>
    <col min="5971" max="5971" customWidth="1" width="11.42578125"/>
    <col min="5972" max="5972" customWidth="1" width="11.42578125"/>
    <col min="5973" max="5973" customWidth="1" width="11.42578125"/>
    <col min="5974" max="5974" customWidth="1" width="11.42578125"/>
    <col min="5975" max="5975" customWidth="1" width="11.42578125"/>
    <col min="5976" max="5976" customWidth="1" width="11.42578125"/>
    <col min="5977" max="5977" customWidth="1" width="11.42578125"/>
    <col min="5978" max="5978" customWidth="1" width="11.42578125"/>
    <col min="5979" max="5979" customWidth="1" width="11.42578125"/>
    <col min="5980" max="5980" customWidth="1" width="11.42578125"/>
    <col min="5981" max="5981" customWidth="1" width="11.42578125"/>
    <col min="5982" max="5982" customWidth="1" width="11.42578125"/>
    <col min="5983" max="5983" customWidth="1" width="11.42578125"/>
    <col min="5984" max="5984" customWidth="1" width="11.42578125"/>
    <col min="5985" max="5985" customWidth="1" width="11.42578125"/>
    <col min="5986" max="5986" customWidth="1" width="11.42578125"/>
    <col min="5987" max="5987" customWidth="1" width="11.42578125"/>
    <col min="5988" max="5988" customWidth="1" width="11.42578125"/>
    <col min="5989" max="5989" customWidth="1" width="11.42578125"/>
    <col min="5990" max="5990" customWidth="1" width="11.42578125"/>
    <col min="5991" max="5991" customWidth="1" width="11.42578125"/>
    <col min="5992" max="5992" customWidth="1" width="11.42578125"/>
    <col min="5993" max="5993" customWidth="1" width="11.42578125"/>
    <col min="5994" max="5994" customWidth="1" width="11.42578125"/>
    <col min="5995" max="5995" customWidth="1" width="11.42578125"/>
    <col min="5996" max="5996" customWidth="1" width="11.42578125"/>
    <col min="5997" max="5997" customWidth="1" width="11.42578125"/>
    <col min="5998" max="5998" customWidth="1" width="11.42578125"/>
    <col min="5999" max="5999" customWidth="1" width="11.42578125"/>
    <col min="6000" max="6000" customWidth="1" width="11.42578125"/>
    <col min="6001" max="6001" customWidth="1" width="11.42578125"/>
    <col min="6002" max="6002" customWidth="1" width="11.42578125"/>
    <col min="6003" max="6003" customWidth="1" width="11.42578125"/>
    <col min="6004" max="6004" customWidth="1" width="11.42578125"/>
    <col min="6005" max="6005" customWidth="1" width="11.42578125"/>
    <col min="6006" max="6006" customWidth="1" width="11.42578125"/>
    <col min="6007" max="6007" customWidth="1" width="11.42578125"/>
    <col min="6008" max="6008" customWidth="1" width="11.42578125"/>
    <col min="6009" max="6009" customWidth="1" width="11.42578125"/>
    <col min="6010" max="6010" customWidth="1" width="11.42578125"/>
    <col min="6011" max="6011" customWidth="1" width="11.42578125"/>
    <col min="6012" max="6012" customWidth="1" width="11.42578125"/>
    <col min="6013" max="6013" customWidth="1" width="11.42578125"/>
    <col min="6014" max="6014" customWidth="1" width="11.42578125"/>
    <col min="6015" max="6015" customWidth="1" width="11.42578125"/>
    <col min="6016" max="6016" customWidth="1" width="11.42578125"/>
    <col min="6017" max="6017" customWidth="1" width="11.42578125"/>
    <col min="6018" max="6018" customWidth="1" width="11.42578125"/>
    <col min="6019" max="6019" customWidth="1" width="11.42578125"/>
    <col min="6020" max="6020" customWidth="1" width="11.42578125"/>
    <col min="6021" max="6021" customWidth="1" width="11.42578125"/>
    <col min="6022" max="6022" customWidth="1" width="11.42578125"/>
    <col min="6023" max="6023" customWidth="1" width="11.42578125"/>
    <col min="6024" max="6024" customWidth="1" width="11.42578125"/>
    <col min="6025" max="6025" customWidth="1" width="11.42578125"/>
    <col min="6026" max="6026" customWidth="1" width="11.42578125"/>
    <col min="6027" max="6027" customWidth="1" width="11.42578125"/>
    <col min="6028" max="6028" customWidth="1" width="11.42578125"/>
    <col min="6029" max="6029" customWidth="1" width="11.42578125"/>
    <col min="6030" max="6030" customWidth="1" width="11.42578125"/>
    <col min="6031" max="6031" customWidth="1" width="11.42578125"/>
    <col min="6032" max="6032" customWidth="1" width="11.42578125"/>
    <col min="6033" max="6033" customWidth="1" width="11.42578125"/>
    <col min="6034" max="6034" customWidth="1" width="11.42578125"/>
    <col min="6035" max="6035" customWidth="1" width="11.42578125"/>
    <col min="6036" max="6036" customWidth="1" width="11.42578125"/>
    <col min="6037" max="6037" customWidth="1" width="11.42578125"/>
    <col min="6038" max="6038" customWidth="1" width="11.42578125"/>
    <col min="6039" max="6039" customWidth="1" width="11.42578125"/>
    <col min="6040" max="6040" customWidth="1" width="11.42578125"/>
    <col min="6041" max="6041" customWidth="1" width="11.42578125"/>
    <col min="6042" max="6042" customWidth="1" width="11.42578125"/>
    <col min="6043" max="6043" customWidth="1" width="11.42578125"/>
    <col min="6044" max="6044" customWidth="1" width="11.42578125"/>
    <col min="6045" max="6045" customWidth="1" width="11.42578125"/>
    <col min="6046" max="6046" customWidth="1" width="11.42578125"/>
    <col min="6047" max="6047" customWidth="1" width="11.42578125"/>
    <col min="6048" max="6048" customWidth="1" width="11.42578125"/>
    <col min="6049" max="6049" customWidth="1" width="11.42578125"/>
    <col min="6050" max="6050" customWidth="1" width="11.42578125"/>
    <col min="6051" max="6051" customWidth="1" width="11.42578125"/>
    <col min="6052" max="6052" customWidth="1" width="11.42578125"/>
    <col min="6053" max="6053" customWidth="1" width="11.42578125"/>
    <col min="6054" max="6054" customWidth="1" width="11.42578125"/>
    <col min="6055" max="6055" customWidth="1" width="11.42578125"/>
    <col min="6056" max="6056" customWidth="1" width="11.42578125"/>
    <col min="6057" max="6057" customWidth="1" width="11.42578125"/>
    <col min="6058" max="6058" customWidth="1" width="11.42578125"/>
    <col min="6059" max="6059" customWidth="1" width="11.42578125"/>
    <col min="6060" max="6060" customWidth="1" width="11.42578125"/>
    <col min="6061" max="6061" customWidth="1" width="11.42578125"/>
    <col min="6062" max="6062" customWidth="1" width="11.42578125"/>
    <col min="6063" max="6063" customWidth="1" width="11.42578125"/>
    <col min="6064" max="6064" customWidth="1" width="11.42578125"/>
    <col min="6065" max="6065" customWidth="1" width="11.42578125"/>
    <col min="6066" max="6066" customWidth="1" width="11.42578125"/>
    <col min="6067" max="6067" customWidth="1" width="11.42578125"/>
    <col min="6068" max="6068" customWidth="1" width="11.42578125"/>
    <col min="6069" max="6069" customWidth="1" width="11.42578125"/>
    <col min="6070" max="6070" customWidth="1" width="11.42578125"/>
    <col min="6071" max="6071" customWidth="1" width="11.42578125"/>
    <col min="6072" max="6072" customWidth="1" width="11.42578125"/>
    <col min="6073" max="6073" customWidth="1" width="11.42578125"/>
    <col min="6074" max="6074" customWidth="1" width="11.42578125"/>
    <col min="6075" max="6075" customWidth="1" width="11.42578125"/>
    <col min="6076" max="6076" customWidth="1" width="11.42578125"/>
    <col min="6077" max="6077" customWidth="1" width="11.42578125"/>
    <col min="6078" max="6078" customWidth="1" width="11.42578125"/>
    <col min="6079" max="6079" customWidth="1" width="11.42578125"/>
    <col min="6080" max="6080" customWidth="1" width="11.42578125"/>
    <col min="6081" max="6081" customWidth="1" width="11.42578125"/>
    <col min="6082" max="6082" customWidth="1" width="11.42578125"/>
    <col min="6083" max="6083" customWidth="1" width="11.42578125"/>
    <col min="6084" max="6084" customWidth="1" width="11.42578125"/>
    <col min="6085" max="6085" customWidth="1" width="11.42578125"/>
    <col min="6086" max="6086" customWidth="1" width="11.42578125"/>
    <col min="6087" max="6087" customWidth="1" width="11.42578125"/>
    <col min="6088" max="6088" customWidth="1" width="11.42578125"/>
    <col min="6089" max="6089" customWidth="1" width="11.42578125"/>
    <col min="6090" max="6090" customWidth="1" width="11.42578125"/>
    <col min="6091" max="6091" customWidth="1" width="11.42578125"/>
    <col min="6092" max="6092" customWidth="1" width="11.42578125"/>
    <col min="6093" max="6093" customWidth="1" width="11.42578125"/>
    <col min="6094" max="6094" customWidth="1" width="11.42578125"/>
    <col min="6095" max="6095" customWidth="1" width="11.42578125"/>
    <col min="6096" max="6096" customWidth="1" width="11.42578125"/>
    <col min="6097" max="6097" customWidth="1" width="11.42578125"/>
    <col min="6098" max="6098" customWidth="1" width="11.42578125"/>
    <col min="6099" max="6099" customWidth="1" width="11.42578125"/>
    <col min="6100" max="6100" customWidth="1" width="11.42578125"/>
    <col min="6101" max="6101" customWidth="1" width="11.42578125"/>
    <col min="6102" max="6102" customWidth="1" width="11.42578125"/>
    <col min="6103" max="6103" customWidth="1" width="11.42578125"/>
    <col min="6104" max="6104" customWidth="1" width="11.42578125"/>
    <col min="6105" max="6105" customWidth="1" width="11.42578125"/>
    <col min="6106" max="6106" customWidth="1" width="11.42578125"/>
    <col min="6107" max="6107" customWidth="1" width="11.42578125"/>
    <col min="6108" max="6108" customWidth="1" width="11.42578125"/>
    <col min="6109" max="6109" customWidth="1" width="11.42578125"/>
    <col min="6110" max="6110" customWidth="1" width="11.42578125"/>
    <col min="6111" max="6111" customWidth="1" width="11.42578125"/>
    <col min="6112" max="6112" customWidth="1" width="11.42578125"/>
    <col min="6113" max="6113" customWidth="1" width="11.42578125"/>
    <col min="6114" max="6114" customWidth="1" width="11.42578125"/>
    <col min="6115" max="6115" customWidth="1" width="11.42578125"/>
    <col min="6116" max="6116" customWidth="1" width="11.42578125"/>
    <col min="6117" max="6117" customWidth="1" width="11.42578125"/>
    <col min="6118" max="6118" customWidth="1" width="11.42578125"/>
    <col min="6119" max="6119" customWidth="1" width="11.42578125"/>
    <col min="6120" max="6120" customWidth="1" width="11.42578125"/>
    <col min="6121" max="6121" customWidth="1" width="11.42578125"/>
    <col min="6122" max="6122" customWidth="1" width="11.42578125"/>
    <col min="6123" max="6123" customWidth="1" width="11.42578125"/>
    <col min="6124" max="6124" customWidth="1" width="11.42578125"/>
    <col min="6125" max="6125" customWidth="1" width="11.42578125"/>
    <col min="6126" max="6126" customWidth="1" width="11.42578125"/>
    <col min="6127" max="6127" customWidth="1" width="11.42578125"/>
    <col min="6128" max="6128" customWidth="1" width="11.42578125"/>
    <col min="6129" max="6129" customWidth="1" width="11.42578125"/>
    <col min="6130" max="6130" customWidth="1" width="11.42578125"/>
    <col min="6131" max="6131" customWidth="1" width="11.42578125"/>
    <col min="6132" max="6132" customWidth="1" width="11.42578125"/>
    <col min="6133" max="6133" customWidth="1" width="11.42578125"/>
    <col min="6134" max="6134" customWidth="1" width="11.42578125"/>
    <col min="6135" max="6135" customWidth="1" width="11.42578125"/>
    <col min="6136" max="6136" customWidth="1" width="11.42578125"/>
    <col min="6137" max="6137" customWidth="1" width="11.42578125"/>
    <col min="6138" max="6138" customWidth="1" width="11.42578125"/>
    <col min="6139" max="6139" customWidth="1" width="11.42578125"/>
    <col min="6140" max="6140" customWidth="1" width="11.42578125"/>
    <col min="6141" max="6141" customWidth="1" width="11.42578125"/>
    <col min="6142" max="6142" customWidth="1" width="11.42578125"/>
    <col min="6143" max="6143" customWidth="1" width="11.42578125"/>
    <col min="6144" max="6144" customWidth="1" width="11.42578125"/>
    <col min="6145" max="6145" customWidth="1" width="11.42578125"/>
    <col min="6146" max="6146" customWidth="1" width="11.42578125"/>
    <col min="6147" max="6147" customWidth="1" width="11.42578125"/>
    <col min="6148" max="6148" customWidth="1" width="11.42578125"/>
    <col min="6149" max="6149" customWidth="1" width="11.42578125"/>
    <col min="6150" max="6150" customWidth="1" width="11.42578125"/>
    <col min="6151" max="6151" customWidth="1" width="11.42578125"/>
    <col min="6152" max="6152" customWidth="1" width="11.42578125"/>
    <col min="6153" max="6153" customWidth="1" width="11.42578125"/>
    <col min="6154" max="6154" customWidth="1" width="11.42578125"/>
    <col min="6155" max="6155" customWidth="1" width="11.42578125"/>
    <col min="6156" max="6156" customWidth="1" width="11.42578125"/>
    <col min="6157" max="6157" customWidth="1" width="11.42578125"/>
    <col min="6158" max="6158" customWidth="1" width="11.42578125"/>
    <col min="6159" max="6159" customWidth="1" width="11.42578125"/>
    <col min="6160" max="6160" customWidth="1" width="11.42578125"/>
    <col min="6161" max="6161" customWidth="1" width="11.42578125"/>
    <col min="6162" max="6162" customWidth="1" width="11.42578125"/>
    <col min="6163" max="6163" customWidth="1" width="11.42578125"/>
    <col min="6164" max="6164" customWidth="1" width="11.42578125"/>
    <col min="6165" max="6165" customWidth="1" width="11.42578125"/>
    <col min="6166" max="6166" customWidth="1" width="11.42578125"/>
    <col min="6167" max="6167" customWidth="1" width="11.42578125"/>
    <col min="6168" max="6168" customWidth="1" width="11.42578125"/>
    <col min="6169" max="6169" customWidth="1" width="11.42578125"/>
    <col min="6170" max="6170" customWidth="1" width="11.42578125"/>
    <col min="6171" max="6171" customWidth="1" width="11.42578125"/>
    <col min="6172" max="6172" customWidth="1" width="11.42578125"/>
    <col min="6173" max="6173" customWidth="1" width="11.42578125"/>
    <col min="6174" max="6174" customWidth="1" width="11.42578125"/>
    <col min="6175" max="6175" customWidth="1" width="11.42578125"/>
    <col min="6176" max="6176" customWidth="1" width="11.42578125"/>
    <col min="6177" max="6177" customWidth="1" width="11.42578125"/>
    <col min="6178" max="6178" customWidth="1" width="11.42578125"/>
    <col min="6179" max="6179" customWidth="1" width="11.42578125"/>
    <col min="6180" max="6180" customWidth="1" width="11.42578125"/>
    <col min="6181" max="6181" customWidth="1" width="11.42578125"/>
    <col min="6182" max="6182" customWidth="1" width="11.42578125"/>
    <col min="6183" max="6183" customWidth="1" width="11.42578125"/>
    <col min="6184" max="6184" customWidth="1" width="11.42578125"/>
    <col min="6185" max="6185" customWidth="1" width="11.42578125"/>
    <col min="6186" max="6186" customWidth="1" width="11.42578125"/>
    <col min="6187" max="6187" customWidth="1" width="11.42578125"/>
    <col min="6188" max="6188" customWidth="1" width="11.42578125"/>
    <col min="6189" max="6189" customWidth="1" width="11.42578125"/>
    <col min="6190" max="6190" customWidth="1" width="11.42578125"/>
    <col min="6191" max="6191" customWidth="1" width="11.42578125"/>
    <col min="6192" max="6192" customWidth="1" width="11.42578125"/>
    <col min="6193" max="6193" customWidth="1" width="11.42578125"/>
    <col min="6194" max="6194" customWidth="1" width="11.42578125"/>
    <col min="6195" max="6195" customWidth="1" width="11.42578125"/>
    <col min="6196" max="6196" customWidth="1" width="11.42578125"/>
    <col min="6197" max="6197" customWidth="1" width="11.42578125"/>
    <col min="6198" max="6198" customWidth="1" width="11.42578125"/>
    <col min="6199" max="6199" customWidth="1" width="11.42578125"/>
    <col min="6200" max="6200" customWidth="1" width="11.42578125"/>
    <col min="6201" max="6201" customWidth="1" width="11.42578125"/>
    <col min="6202" max="6202" customWidth="1" width="11.42578125"/>
    <col min="6203" max="6203" customWidth="1" width="11.42578125"/>
    <col min="6204" max="6204" customWidth="1" width="11.42578125"/>
    <col min="6205" max="6205" customWidth="1" width="11.42578125"/>
    <col min="6206" max="6206" customWidth="1" width="11.42578125"/>
    <col min="6207" max="6207" customWidth="1" width="11.42578125"/>
    <col min="6208" max="6208" customWidth="1" width="11.42578125"/>
    <col min="6209" max="6209" customWidth="1" width="11.42578125"/>
    <col min="6210" max="6210" customWidth="1" width="11.42578125"/>
    <col min="6211" max="6211" customWidth="1" width="11.42578125"/>
    <col min="6212" max="6212" customWidth="1" width="11.42578125"/>
    <col min="6213" max="6213" customWidth="1" width="11.42578125"/>
    <col min="6214" max="6214" customWidth="1" width="11.42578125"/>
    <col min="6215" max="6215" customWidth="1" width="11.42578125"/>
    <col min="6216" max="6216" customWidth="1" width="11.42578125"/>
    <col min="6217" max="6217" customWidth="1" width="11.42578125"/>
    <col min="6218" max="6218" customWidth="1" width="11.42578125"/>
    <col min="6219" max="6219" customWidth="1" width="11.42578125"/>
    <col min="6220" max="6220" customWidth="1" width="11.42578125"/>
    <col min="6221" max="6221" customWidth="1" width="11.42578125"/>
    <col min="6222" max="6222" customWidth="1" width="11.42578125"/>
    <col min="6223" max="6223" customWidth="1" width="11.42578125"/>
    <col min="6224" max="6224" customWidth="1" width="11.42578125"/>
    <col min="6225" max="6225" customWidth="1" width="11.42578125"/>
    <col min="6226" max="6226" customWidth="1" width="11.42578125"/>
    <col min="6227" max="6227" customWidth="1" width="11.42578125"/>
    <col min="6228" max="6228" customWidth="1" width="11.42578125"/>
    <col min="6229" max="6229" customWidth="1" width="11.42578125"/>
    <col min="6230" max="6230" customWidth="1" width="11.42578125"/>
    <col min="6231" max="6231" customWidth="1" width="11.42578125"/>
    <col min="6232" max="6232" customWidth="1" width="11.42578125"/>
    <col min="6233" max="6233" customWidth="1" width="11.42578125"/>
    <col min="6234" max="6234" customWidth="1" width="11.42578125"/>
    <col min="6235" max="6235" customWidth="1" width="11.42578125"/>
    <col min="6236" max="6236" customWidth="1" width="11.42578125"/>
    <col min="6237" max="6237" customWidth="1" width="11.42578125"/>
    <col min="6238" max="6238" customWidth="1" width="11.42578125"/>
    <col min="6239" max="6239" customWidth="1" width="11.42578125"/>
    <col min="6240" max="6240" customWidth="1" width="11.42578125"/>
    <col min="6241" max="6241" customWidth="1" width="11.42578125"/>
    <col min="6242" max="6242" customWidth="1" width="11.42578125"/>
    <col min="6243" max="6243" customWidth="1" width="11.42578125"/>
    <col min="6244" max="6244" customWidth="1" width="11.42578125"/>
    <col min="6245" max="6245" customWidth="1" width="11.42578125"/>
    <col min="6246" max="6246" customWidth="1" width="11.42578125"/>
    <col min="6247" max="6247" customWidth="1" width="11.42578125"/>
    <col min="6248" max="6248" customWidth="1" width="11.42578125"/>
    <col min="6249" max="6249" customWidth="1" width="11.42578125"/>
    <col min="6250" max="6250" customWidth="1" width="11.42578125"/>
    <col min="6251" max="6251" customWidth="1" width="11.42578125"/>
    <col min="6252" max="6252" customWidth="1" width="11.42578125"/>
    <col min="6253" max="6253" customWidth="1" width="11.42578125"/>
    <col min="6254" max="6254" customWidth="1" width="11.42578125"/>
    <col min="6255" max="6255" customWidth="1" width="11.42578125"/>
    <col min="6256" max="6256" customWidth="1" width="11.42578125"/>
    <col min="6257" max="6257" customWidth="1" width="11.42578125"/>
    <col min="6258" max="6258" customWidth="1" width="11.42578125"/>
    <col min="6259" max="6259" customWidth="1" width="11.42578125"/>
    <col min="6260" max="6260" customWidth="1" width="11.42578125"/>
    <col min="6261" max="6261" customWidth="1" width="11.42578125"/>
    <col min="6262" max="6262" customWidth="1" width="11.42578125"/>
    <col min="6263" max="6263" customWidth="1" width="11.42578125"/>
    <col min="6264" max="6264" customWidth="1" width="11.42578125"/>
    <col min="6265" max="6265" customWidth="1" width="11.42578125"/>
    <col min="6266" max="6266" customWidth="1" width="11.42578125"/>
    <col min="6267" max="6267" customWidth="1" width="11.42578125"/>
    <col min="6268" max="6268" customWidth="1" width="11.42578125"/>
    <col min="6269" max="6269" customWidth="1" width="11.42578125"/>
    <col min="6270" max="6270" customWidth="1" width="11.42578125"/>
    <col min="6271" max="6271" customWidth="1" width="11.42578125"/>
    <col min="6272" max="6272" customWidth="1" width="11.42578125"/>
    <col min="6273" max="6273" customWidth="1" width="11.42578125"/>
    <col min="6274" max="6274" customWidth="1" width="11.42578125"/>
    <col min="6275" max="6275" customWidth="1" width="11.42578125"/>
    <col min="6276" max="6276" customWidth="1" width="11.42578125"/>
    <col min="6277" max="6277" customWidth="1" width="11.42578125"/>
    <col min="6278" max="6278" customWidth="1" width="11.42578125"/>
    <col min="6279" max="6279" customWidth="1" width="11.42578125"/>
    <col min="6280" max="6280" customWidth="1" width="11.42578125"/>
    <col min="6281" max="6281" customWidth="1" width="11.42578125"/>
    <col min="6282" max="6282" customWidth="1" width="11.42578125"/>
    <col min="6283" max="6283" customWidth="1" width="11.42578125"/>
    <col min="6284" max="6284" customWidth="1" width="11.42578125"/>
    <col min="6285" max="6285" customWidth="1" width="11.42578125"/>
    <col min="6286" max="6286" customWidth="1" width="11.42578125"/>
    <col min="6287" max="6287" customWidth="1" width="11.42578125"/>
    <col min="6288" max="6288" customWidth="1" width="11.42578125"/>
    <col min="6289" max="6289" customWidth="1" width="11.42578125"/>
    <col min="6290" max="6290" customWidth="1" width="11.42578125"/>
    <col min="6291" max="6291" customWidth="1" width="11.42578125"/>
    <col min="6292" max="6292" customWidth="1" width="11.42578125"/>
    <col min="6293" max="6293" customWidth="1" width="11.42578125"/>
    <col min="6294" max="6294" customWidth="1" width="11.42578125"/>
    <col min="6295" max="6295" customWidth="1" width="11.42578125"/>
    <col min="6296" max="6296" customWidth="1" width="11.42578125"/>
    <col min="6297" max="6297" customWidth="1" width="11.42578125"/>
    <col min="6298" max="6298" customWidth="1" width="11.42578125"/>
    <col min="6299" max="6299" customWidth="1" width="11.42578125"/>
    <col min="6300" max="6300" customWidth="1" width="11.42578125"/>
    <col min="6301" max="6301" customWidth="1" width="11.42578125"/>
    <col min="6302" max="6302" customWidth="1" width="11.42578125"/>
    <col min="6303" max="6303" customWidth="1" width="11.42578125"/>
    <col min="6304" max="6304" customWidth="1" width="11.42578125"/>
    <col min="6305" max="6305" customWidth="1" width="11.42578125"/>
    <col min="6306" max="6306" customWidth="1" width="11.42578125"/>
    <col min="6307" max="6307" customWidth="1" width="11.42578125"/>
    <col min="6308" max="6308" customWidth="1" width="11.42578125"/>
    <col min="6309" max="6309" customWidth="1" width="11.42578125"/>
    <col min="6310" max="6310" customWidth="1" width="11.42578125"/>
    <col min="6311" max="6311" customWidth="1" width="11.42578125"/>
    <col min="6312" max="6312" customWidth="1" width="11.42578125"/>
    <col min="6313" max="6313" customWidth="1" width="11.42578125"/>
    <col min="6314" max="6314" customWidth="1" width="11.42578125"/>
    <col min="6315" max="6315" customWidth="1" width="11.42578125"/>
    <col min="6316" max="6316" customWidth="1" width="11.42578125"/>
    <col min="6317" max="6317" customWidth="1" width="11.42578125"/>
    <col min="6318" max="6318" customWidth="1" width="11.42578125"/>
    <col min="6319" max="6319" customWidth="1" width="11.42578125"/>
    <col min="6320" max="6320" customWidth="1" width="11.42578125"/>
    <col min="6321" max="6321" customWidth="1" width="11.42578125"/>
    <col min="6322" max="6322" customWidth="1" width="11.42578125"/>
    <col min="6323" max="6323" customWidth="1" width="11.42578125"/>
    <col min="6324" max="6324" customWidth="1" width="11.42578125"/>
    <col min="6325" max="6325" customWidth="1" width="11.42578125"/>
    <col min="6326" max="6326" customWidth="1" width="11.42578125"/>
    <col min="6327" max="6327" customWidth="1" width="11.42578125"/>
    <col min="6328" max="6328" customWidth="1" width="11.42578125"/>
    <col min="6329" max="6329" customWidth="1" width="11.42578125"/>
    <col min="6330" max="6330" customWidth="1" width="11.42578125"/>
    <col min="6331" max="6331" customWidth="1" width="11.42578125"/>
    <col min="6332" max="6332" customWidth="1" width="11.42578125"/>
    <col min="6333" max="6333" customWidth="1" width="11.42578125"/>
    <col min="6334" max="6334" customWidth="1" width="11.42578125"/>
    <col min="6335" max="6335" customWidth="1" width="11.42578125"/>
    <col min="6336" max="6336" customWidth="1" width="11.42578125"/>
    <col min="6337" max="6337" customWidth="1" width="11.42578125"/>
    <col min="6338" max="6338" customWidth="1" width="11.42578125"/>
    <col min="6339" max="6339" customWidth="1" width="11.42578125"/>
    <col min="6340" max="6340" customWidth="1" width="11.42578125"/>
    <col min="6341" max="6341" customWidth="1" width="11.42578125"/>
    <col min="6342" max="6342" customWidth="1" width="11.42578125"/>
    <col min="6343" max="6343" customWidth="1" width="11.42578125"/>
    <col min="6344" max="6344" customWidth="1" width="11.42578125"/>
    <col min="6345" max="6345" customWidth="1" width="11.42578125"/>
    <col min="6346" max="6346" customWidth="1" width="11.42578125"/>
    <col min="6347" max="6347" customWidth="1" width="11.42578125"/>
    <col min="6348" max="6348" customWidth="1" width="11.42578125"/>
    <col min="6349" max="6349" customWidth="1" width="11.42578125"/>
    <col min="6350" max="6350" customWidth="1" width="11.42578125"/>
    <col min="6351" max="6351" customWidth="1" width="11.42578125"/>
    <col min="6352" max="6352" customWidth="1" width="11.42578125"/>
    <col min="6353" max="6353" customWidth="1" width="11.42578125"/>
    <col min="6354" max="6354" customWidth="1" width="11.42578125"/>
    <col min="6355" max="6355" customWidth="1" width="11.42578125"/>
    <col min="6356" max="6356" customWidth="1" width="11.42578125"/>
    <col min="6357" max="6357" customWidth="1" width="11.42578125"/>
    <col min="6358" max="6358" customWidth="1" width="11.42578125"/>
    <col min="6359" max="6359" customWidth="1" width="11.42578125"/>
    <col min="6360" max="6360" customWidth="1" width="11.42578125"/>
    <col min="6361" max="6361" customWidth="1" width="11.42578125"/>
    <col min="6362" max="6362" customWidth="1" width="11.42578125"/>
    <col min="6363" max="6363" customWidth="1" width="11.42578125"/>
    <col min="6364" max="6364" customWidth="1" width="11.42578125"/>
    <col min="6365" max="6365" customWidth="1" width="11.42578125"/>
    <col min="6366" max="6366" customWidth="1" width="11.42578125"/>
    <col min="6367" max="6367" customWidth="1" width="11.42578125"/>
    <col min="6368" max="6368" customWidth="1" width="11.42578125"/>
    <col min="6369" max="6369" customWidth="1" width="11.42578125"/>
    <col min="6370" max="6370" customWidth="1" width="11.42578125"/>
    <col min="6371" max="6371" customWidth="1" width="11.42578125"/>
    <col min="6372" max="6372" customWidth="1" width="11.42578125"/>
    <col min="6373" max="6373" customWidth="1" width="11.42578125"/>
    <col min="6374" max="6374" customWidth="1" width="11.42578125"/>
    <col min="6375" max="6375" customWidth="1" width="11.42578125"/>
    <col min="6376" max="6376" customWidth="1" width="11.42578125"/>
    <col min="6377" max="6377" customWidth="1" width="11.42578125"/>
    <col min="6378" max="6378" customWidth="1" width="11.42578125"/>
    <col min="6379" max="6379" customWidth="1" width="11.42578125"/>
    <col min="6380" max="6380" customWidth="1" width="11.42578125"/>
    <col min="6381" max="6381" customWidth="1" width="11.42578125"/>
    <col min="6382" max="6382" customWidth="1" width="11.42578125"/>
    <col min="6383" max="6383" customWidth="1" width="11.42578125"/>
    <col min="6384" max="6384" customWidth="1" width="11.42578125"/>
    <col min="6385" max="6385" customWidth="1" width="11.42578125"/>
    <col min="6386" max="6386" customWidth="1" width="11.42578125"/>
    <col min="6387" max="6387" customWidth="1" width="11.42578125"/>
    <col min="6388" max="6388" customWidth="1" width="11.42578125"/>
    <col min="6389" max="6389" customWidth="1" width="11.42578125"/>
    <col min="6390" max="6390" customWidth="1" width="11.42578125"/>
    <col min="6391" max="6391" customWidth="1" width="11.42578125"/>
    <col min="6392" max="6392" customWidth="1" width="11.42578125"/>
    <col min="6393" max="6393" customWidth="1" width="11.42578125"/>
    <col min="6394" max="6394" customWidth="1" width="11.42578125"/>
    <col min="6395" max="6395" customWidth="1" width="11.42578125"/>
    <col min="6396" max="6396" customWidth="1" width="11.42578125"/>
    <col min="6397" max="6397" customWidth="1" width="11.42578125"/>
    <col min="6398" max="6398" customWidth="1" width="11.42578125"/>
    <col min="6399" max="6399" customWidth="1" width="11.42578125"/>
    <col min="6400" max="6400" customWidth="1" width="11.42578125"/>
    <col min="6401" max="6401" customWidth="1" width="11.42578125"/>
    <col min="6402" max="6402" customWidth="1" width="11.42578125"/>
    <col min="6403" max="6403" customWidth="1" width="11.42578125"/>
    <col min="6404" max="6404" customWidth="1" width="11.42578125"/>
    <col min="6405" max="6405" customWidth="1" width="11.42578125"/>
    <col min="6406" max="6406" customWidth="1" width="11.42578125"/>
    <col min="6407" max="6407" customWidth="1" width="11.42578125"/>
    <col min="6408" max="6408" customWidth="1" width="11.42578125"/>
    <col min="6409" max="6409" customWidth="1" width="11.42578125"/>
    <col min="6410" max="6410" customWidth="1" width="11.42578125"/>
    <col min="6411" max="6411" customWidth="1" width="11.42578125"/>
    <col min="6412" max="6412" customWidth="1" width="11.42578125"/>
    <col min="6413" max="6413" customWidth="1" width="11.42578125"/>
    <col min="6414" max="6414" customWidth="1" width="11.42578125"/>
    <col min="6415" max="6415" customWidth="1" width="11.42578125"/>
    <col min="6416" max="6416" customWidth="1" width="11.42578125"/>
    <col min="6417" max="6417" customWidth="1" width="11.42578125"/>
    <col min="6418" max="6418" customWidth="1" width="11.42578125"/>
    <col min="6419" max="6419" customWidth="1" width="11.42578125"/>
    <col min="6420" max="6420" customWidth="1" width="11.42578125"/>
    <col min="6421" max="6421" customWidth="1" width="11.42578125"/>
    <col min="6422" max="6422" customWidth="1" width="11.42578125"/>
    <col min="6423" max="6423" customWidth="1" width="11.42578125"/>
    <col min="6424" max="6424" customWidth="1" width="11.42578125"/>
    <col min="6425" max="6425" customWidth="1" width="11.42578125"/>
    <col min="6426" max="6426" customWidth="1" width="11.42578125"/>
    <col min="6427" max="6427" customWidth="1" width="11.42578125"/>
    <col min="6428" max="6428" customWidth="1" width="11.42578125"/>
    <col min="6429" max="6429" customWidth="1" width="11.42578125"/>
    <col min="6430" max="6430" customWidth="1" width="11.42578125"/>
    <col min="6431" max="6431" customWidth="1" width="11.42578125"/>
    <col min="6432" max="6432" customWidth="1" width="11.42578125"/>
    <col min="6433" max="6433" customWidth="1" width="11.42578125"/>
    <col min="6434" max="6434" customWidth="1" width="11.42578125"/>
    <col min="6435" max="6435" customWidth="1" width="11.42578125"/>
    <col min="6436" max="6436" customWidth="1" width="11.42578125"/>
    <col min="6437" max="6437" customWidth="1" width="11.42578125"/>
    <col min="6438" max="6438" customWidth="1" width="11.42578125"/>
    <col min="6439" max="6439" customWidth="1" width="11.42578125"/>
    <col min="6440" max="6440" customWidth="1" width="11.42578125"/>
    <col min="6441" max="6441" customWidth="1" width="11.42578125"/>
    <col min="6442" max="6442" customWidth="1" width="11.42578125"/>
    <col min="6443" max="6443" customWidth="1" width="11.42578125"/>
    <col min="6444" max="6444" customWidth="1" width="11.42578125"/>
    <col min="6445" max="6445" customWidth="1" width="11.42578125"/>
    <col min="6446" max="6446" customWidth="1" width="11.42578125"/>
    <col min="6447" max="6447" customWidth="1" width="11.42578125"/>
    <col min="6448" max="6448" customWidth="1" width="11.42578125"/>
    <col min="6449" max="6449" customWidth="1" width="11.42578125"/>
    <col min="6450" max="6450" customWidth="1" width="11.42578125"/>
    <col min="6451" max="6451" customWidth="1" width="11.42578125"/>
    <col min="6452" max="6452" customWidth="1" width="11.42578125"/>
    <col min="6453" max="6453" customWidth="1" width="11.42578125"/>
    <col min="6454" max="6454" customWidth="1" width="11.42578125"/>
    <col min="6455" max="6455" customWidth="1" width="11.42578125"/>
    <col min="6456" max="6456" customWidth="1" width="11.42578125"/>
    <col min="6457" max="6457" customWidth="1" width="11.42578125"/>
    <col min="6458" max="6458" customWidth="1" width="11.42578125"/>
    <col min="6459" max="6459" customWidth="1" width="11.42578125"/>
    <col min="6460" max="6460" customWidth="1" width="11.42578125"/>
    <col min="6461" max="6461" customWidth="1" width="11.42578125"/>
    <col min="6462" max="6462" customWidth="1" width="11.42578125"/>
    <col min="6463" max="6463" customWidth="1" width="11.42578125"/>
    <col min="6464" max="6464" customWidth="1" width="11.42578125"/>
    <col min="6465" max="6465" customWidth="1" width="11.42578125"/>
    <col min="6466" max="6466" customWidth="1" width="11.42578125"/>
    <col min="6467" max="6467" customWidth="1" width="11.42578125"/>
    <col min="6468" max="6468" customWidth="1" width="11.42578125"/>
    <col min="6469" max="6469" customWidth="1" width="11.42578125"/>
    <col min="6470" max="6470" customWidth="1" width="11.42578125"/>
    <col min="6471" max="6471" customWidth="1" width="11.42578125"/>
    <col min="6472" max="6472" customWidth="1" width="11.42578125"/>
    <col min="6473" max="6473" customWidth="1" width="11.42578125"/>
    <col min="6474" max="6474" customWidth="1" width="11.42578125"/>
    <col min="6475" max="6475" customWidth="1" width="11.42578125"/>
    <col min="6476" max="6476" customWidth="1" width="11.42578125"/>
    <col min="6477" max="6477" customWidth="1" width="11.42578125"/>
    <col min="6478" max="6478" customWidth="1" width="11.42578125"/>
    <col min="6479" max="6479" customWidth="1" width="11.42578125"/>
    <col min="6480" max="6480" customWidth="1" width="11.42578125"/>
    <col min="6481" max="6481" customWidth="1" width="11.42578125"/>
    <col min="6482" max="6482" customWidth="1" width="11.42578125"/>
    <col min="6483" max="6483" customWidth="1" width="11.42578125"/>
    <col min="6484" max="6484" customWidth="1" width="11.42578125"/>
    <col min="6485" max="6485" customWidth="1" width="11.42578125"/>
    <col min="6486" max="6486" customWidth="1" width="11.42578125"/>
    <col min="6487" max="6487" customWidth="1" width="11.42578125"/>
    <col min="6488" max="6488" customWidth="1" width="11.42578125"/>
    <col min="6489" max="6489" customWidth="1" width="11.42578125"/>
    <col min="6490" max="6490" customWidth="1" width="11.42578125"/>
    <col min="6491" max="6491" customWidth="1" width="11.42578125"/>
    <col min="6492" max="6492" customWidth="1" width="11.42578125"/>
    <col min="6493" max="6493" customWidth="1" width="11.42578125"/>
    <col min="6494" max="6494" customWidth="1" width="11.42578125"/>
    <col min="6495" max="6495" customWidth="1" width="11.42578125"/>
    <col min="6496" max="6496" customWidth="1" width="11.42578125"/>
    <col min="6497" max="6497" customWidth="1" width="11.42578125"/>
    <col min="6498" max="6498" customWidth="1" width="11.42578125"/>
    <col min="6499" max="6499" customWidth="1" width="11.42578125"/>
    <col min="6500" max="6500" customWidth="1" width="11.42578125"/>
    <col min="6501" max="6501" customWidth="1" width="11.42578125"/>
    <col min="6502" max="6502" customWidth="1" width="11.42578125"/>
    <col min="6503" max="6503" customWidth="1" width="11.42578125"/>
    <col min="6504" max="6504" customWidth="1" width="11.42578125"/>
    <col min="6505" max="6505" customWidth="1" width="11.42578125"/>
    <col min="6506" max="6506" customWidth="1" width="11.42578125"/>
    <col min="6507" max="6507" customWidth="1" width="11.42578125"/>
    <col min="6508" max="6508" customWidth="1" width="11.42578125"/>
    <col min="6509" max="6509" customWidth="1" width="11.42578125"/>
    <col min="6510" max="6510" customWidth="1" width="11.42578125"/>
    <col min="6511" max="6511" customWidth="1" width="11.42578125"/>
    <col min="6512" max="6512" customWidth="1" width="11.42578125"/>
    <col min="6513" max="6513" customWidth="1" width="11.42578125"/>
    <col min="6514" max="6514" customWidth="1" width="11.42578125"/>
    <col min="6515" max="6515" customWidth="1" width="11.42578125"/>
    <col min="6516" max="6516" customWidth="1" width="11.42578125"/>
    <col min="6517" max="6517" customWidth="1" width="11.42578125"/>
    <col min="6518" max="6518" customWidth="1" width="11.42578125"/>
    <col min="6519" max="6519" customWidth="1" width="11.42578125"/>
    <col min="6520" max="6520" customWidth="1" width="11.42578125"/>
    <col min="6521" max="6521" customWidth="1" width="11.42578125"/>
    <col min="6522" max="6522" customWidth="1" width="11.42578125"/>
    <col min="6523" max="6523" customWidth="1" width="11.42578125"/>
    <col min="6524" max="6524" customWidth="1" width="11.42578125"/>
    <col min="6525" max="6525" customWidth="1" width="11.42578125"/>
    <col min="6526" max="6526" customWidth="1" width="11.42578125"/>
    <col min="6527" max="6527" customWidth="1" width="11.42578125"/>
    <col min="6528" max="6528" customWidth="1" width="11.42578125"/>
    <col min="6529" max="6529" customWidth="1" width="11.42578125"/>
    <col min="6530" max="6530" customWidth="1" width="11.42578125"/>
    <col min="6531" max="6531" customWidth="1" width="11.42578125"/>
    <col min="6532" max="6532" customWidth="1" width="11.42578125"/>
    <col min="6533" max="6533" customWidth="1" width="11.42578125"/>
    <col min="6534" max="6534" customWidth="1" width="11.42578125"/>
    <col min="6535" max="6535" customWidth="1" width="11.42578125"/>
    <col min="6536" max="6536" customWidth="1" width="11.42578125"/>
    <col min="6537" max="6537" customWidth="1" width="11.42578125"/>
    <col min="6538" max="6538" customWidth="1" width="11.42578125"/>
    <col min="6539" max="6539" customWidth="1" width="11.42578125"/>
    <col min="6540" max="6540" customWidth="1" width="11.42578125"/>
    <col min="6541" max="6541" customWidth="1" width="11.42578125"/>
    <col min="6542" max="6542" customWidth="1" width="11.42578125"/>
    <col min="6543" max="6543" customWidth="1" width="11.42578125"/>
    <col min="6544" max="6544" customWidth="1" width="11.42578125"/>
    <col min="6545" max="6545" customWidth="1" width="11.42578125"/>
    <col min="6546" max="6546" customWidth="1" width="11.42578125"/>
    <col min="6547" max="6547" customWidth="1" width="11.42578125"/>
    <col min="6548" max="6548" customWidth="1" width="11.42578125"/>
    <col min="6549" max="6549" customWidth="1" width="11.42578125"/>
    <col min="6550" max="6550" customWidth="1" width="11.42578125"/>
    <col min="6551" max="6551" customWidth="1" width="11.42578125"/>
    <col min="6552" max="6552" customWidth="1" width="11.42578125"/>
    <col min="6553" max="6553" customWidth="1" width="11.42578125"/>
    <col min="6554" max="6554" customWidth="1" width="11.42578125"/>
    <col min="6555" max="6555" customWidth="1" width="11.42578125"/>
    <col min="6556" max="6556" customWidth="1" width="11.42578125"/>
    <col min="6557" max="6557" customWidth="1" width="11.42578125"/>
    <col min="6558" max="6558" customWidth="1" width="11.42578125"/>
    <col min="6559" max="6559" customWidth="1" width="11.42578125"/>
    <col min="6560" max="6560" customWidth="1" width="11.42578125"/>
    <col min="6561" max="6561" customWidth="1" width="11.42578125"/>
    <col min="6562" max="6562" customWidth="1" width="11.42578125"/>
    <col min="6563" max="6563" customWidth="1" width="11.42578125"/>
    <col min="6564" max="6564" customWidth="1" width="11.42578125"/>
    <col min="6565" max="6565" customWidth="1" width="11.42578125"/>
    <col min="6566" max="6566" customWidth="1" width="11.42578125"/>
    <col min="6567" max="6567" customWidth="1" width="11.42578125"/>
    <col min="6568" max="6568" customWidth="1" width="11.42578125"/>
    <col min="6569" max="6569" customWidth="1" width="11.42578125"/>
    <col min="6570" max="6570" customWidth="1" width="11.42578125"/>
    <col min="6571" max="6571" customWidth="1" width="11.42578125"/>
    <col min="6572" max="6572" customWidth="1" width="11.42578125"/>
    <col min="6573" max="6573" customWidth="1" width="11.42578125"/>
    <col min="6574" max="6574" customWidth="1" width="11.42578125"/>
    <col min="6575" max="6575" customWidth="1" width="11.42578125"/>
    <col min="6576" max="6576" customWidth="1" width="11.42578125"/>
    <col min="6577" max="6577" customWidth="1" width="11.42578125"/>
    <col min="6578" max="6578" customWidth="1" width="11.42578125"/>
    <col min="6579" max="6579" customWidth="1" width="11.42578125"/>
    <col min="6580" max="6580" customWidth="1" width="11.42578125"/>
    <col min="6581" max="6581" customWidth="1" width="11.42578125"/>
    <col min="6582" max="6582" customWidth="1" width="11.42578125"/>
    <col min="6583" max="6583" customWidth="1" width="11.42578125"/>
    <col min="6584" max="6584" customWidth="1" width="11.42578125"/>
    <col min="6585" max="6585" customWidth="1" width="11.42578125"/>
    <col min="6586" max="6586" customWidth="1" width="11.42578125"/>
    <col min="6587" max="6587" customWidth="1" width="11.42578125"/>
    <col min="6588" max="6588" customWidth="1" width="11.42578125"/>
    <col min="6589" max="6589" customWidth="1" width="11.42578125"/>
    <col min="6590" max="6590" customWidth="1" width="11.42578125"/>
    <col min="6591" max="6591" customWidth="1" width="11.42578125"/>
    <col min="6592" max="6592" customWidth="1" width="11.42578125"/>
    <col min="6593" max="6593" customWidth="1" width="11.42578125"/>
    <col min="6594" max="6594" customWidth="1" width="11.42578125"/>
    <col min="6595" max="6595" customWidth="1" width="11.42578125"/>
    <col min="6596" max="6596" customWidth="1" width="11.42578125"/>
    <col min="6597" max="6597" customWidth="1" width="11.42578125"/>
    <col min="6598" max="6598" customWidth="1" width="11.42578125"/>
    <col min="6599" max="6599" customWidth="1" width="11.42578125"/>
    <col min="6600" max="6600" customWidth="1" width="11.42578125"/>
    <col min="6601" max="6601" customWidth="1" width="11.42578125"/>
    <col min="6602" max="6602" customWidth="1" width="11.42578125"/>
    <col min="6603" max="6603" customWidth="1" width="11.42578125"/>
    <col min="6604" max="6604" customWidth="1" width="11.42578125"/>
    <col min="6605" max="6605" customWidth="1" width="11.42578125"/>
    <col min="6606" max="6606" customWidth="1" width="11.42578125"/>
    <col min="6607" max="6607" customWidth="1" width="11.42578125"/>
    <col min="6608" max="6608" customWidth="1" width="11.42578125"/>
    <col min="6609" max="6609" customWidth="1" width="11.42578125"/>
    <col min="6610" max="6610" customWidth="1" width="11.42578125"/>
    <col min="6611" max="6611" customWidth="1" width="11.42578125"/>
    <col min="6612" max="6612" customWidth="1" width="11.42578125"/>
    <col min="6613" max="6613" customWidth="1" width="11.42578125"/>
    <col min="6614" max="6614" customWidth="1" width="11.42578125"/>
    <col min="6615" max="6615" customWidth="1" width="11.42578125"/>
    <col min="6616" max="6616" customWidth="1" width="11.42578125"/>
    <col min="6617" max="6617" customWidth="1" width="11.42578125"/>
    <col min="6618" max="6618" customWidth="1" width="11.42578125"/>
    <col min="6619" max="6619" customWidth="1" width="11.42578125"/>
    <col min="6620" max="6620" customWidth="1" width="11.42578125"/>
    <col min="6621" max="6621" customWidth="1" width="11.42578125"/>
    <col min="6622" max="6622" customWidth="1" width="11.42578125"/>
    <col min="6623" max="6623" customWidth="1" width="11.42578125"/>
    <col min="6624" max="6624" customWidth="1" width="11.42578125"/>
    <col min="6625" max="6625" customWidth="1" width="11.42578125"/>
    <col min="6626" max="6626" customWidth="1" width="11.42578125"/>
    <col min="6627" max="6627" customWidth="1" width="11.42578125"/>
    <col min="6628" max="6628" customWidth="1" width="11.42578125"/>
    <col min="6629" max="6629" customWidth="1" width="11.42578125"/>
    <col min="6630" max="6630" customWidth="1" width="11.42578125"/>
    <col min="6631" max="6631" customWidth="1" width="11.42578125"/>
    <col min="6632" max="6632" customWidth="1" width="11.42578125"/>
    <col min="6633" max="6633" customWidth="1" width="11.42578125"/>
    <col min="6634" max="6634" customWidth="1" width="11.42578125"/>
    <col min="6635" max="6635" customWidth="1" width="11.42578125"/>
    <col min="6636" max="6636" customWidth="1" width="11.42578125"/>
    <col min="6637" max="6637" customWidth="1" width="11.42578125"/>
    <col min="6638" max="6638" customWidth="1" width="11.42578125"/>
    <col min="6639" max="6639" customWidth="1" width="11.42578125"/>
    <col min="6640" max="6640" customWidth="1" width="11.42578125"/>
    <col min="6641" max="6641" customWidth="1" width="11.42578125"/>
    <col min="6642" max="6642" customWidth="1" width="11.42578125"/>
    <col min="6643" max="6643" customWidth="1" width="11.42578125"/>
    <col min="6644" max="6644" customWidth="1" width="11.42578125"/>
    <col min="6645" max="6645" customWidth="1" width="11.42578125"/>
    <col min="6646" max="6646" customWidth="1" width="11.42578125"/>
    <col min="6647" max="6647" customWidth="1" width="11.42578125"/>
    <col min="6648" max="6648" customWidth="1" width="11.42578125"/>
    <col min="6649" max="6649" customWidth="1" width="11.42578125"/>
    <col min="6650" max="6650" customWidth="1" width="11.42578125"/>
    <col min="6651" max="6651" customWidth="1" width="11.42578125"/>
    <col min="6652" max="6652" customWidth="1" width="11.42578125"/>
    <col min="6653" max="6653" customWidth="1" width="11.42578125"/>
    <col min="6654" max="6654" customWidth="1" width="11.42578125"/>
    <col min="6655" max="6655" customWidth="1" width="11.42578125"/>
    <col min="6656" max="6656" customWidth="1" width="11.42578125"/>
    <col min="6657" max="6657" customWidth="1" width="11.42578125"/>
    <col min="6658" max="6658" customWidth="1" width="11.42578125"/>
    <col min="6659" max="6659" customWidth="1" width="11.42578125"/>
    <col min="6660" max="6660" customWidth="1" width="11.42578125"/>
    <col min="6661" max="6661" customWidth="1" width="11.42578125"/>
    <col min="6662" max="6662" customWidth="1" width="11.42578125"/>
    <col min="6663" max="6663" customWidth="1" width="11.42578125"/>
    <col min="6664" max="6664" customWidth="1" width="11.42578125"/>
    <col min="6665" max="6665" customWidth="1" width="11.42578125"/>
    <col min="6666" max="6666" customWidth="1" width="11.42578125"/>
    <col min="6667" max="6667" customWidth="1" width="11.42578125"/>
    <col min="6668" max="6668" customWidth="1" width="11.42578125"/>
    <col min="6669" max="6669" customWidth="1" width="11.42578125"/>
    <col min="6670" max="6670" customWidth="1" width="11.42578125"/>
    <col min="6671" max="6671" customWidth="1" width="11.42578125"/>
    <col min="6672" max="6672" customWidth="1" width="11.42578125"/>
    <col min="6673" max="6673" customWidth="1" width="11.42578125"/>
    <col min="6674" max="6674" customWidth="1" width="11.42578125"/>
    <col min="6675" max="6675" customWidth="1" width="11.42578125"/>
    <col min="6676" max="6676" customWidth="1" width="11.42578125"/>
    <col min="6677" max="6677" customWidth="1" width="11.42578125"/>
    <col min="6678" max="6678" customWidth="1" width="11.42578125"/>
    <col min="6679" max="6679" customWidth="1" width="11.42578125"/>
    <col min="6680" max="6680" customWidth="1" width="11.42578125"/>
    <col min="6681" max="6681" customWidth="1" width="11.42578125"/>
    <col min="6682" max="6682" customWidth="1" width="11.42578125"/>
    <col min="6683" max="6683" customWidth="1" width="11.42578125"/>
    <col min="6684" max="6684" customWidth="1" width="11.42578125"/>
    <col min="6685" max="6685" customWidth="1" width="11.42578125"/>
    <col min="6686" max="6686" customWidth="1" width="11.42578125"/>
    <col min="6687" max="6687" customWidth="1" width="11.42578125"/>
    <col min="6688" max="6688" customWidth="1" width="11.42578125"/>
    <col min="6689" max="6689" customWidth="1" width="11.42578125"/>
    <col min="6690" max="6690" customWidth="1" width="11.42578125"/>
    <col min="6691" max="6691" customWidth="1" width="11.42578125"/>
    <col min="6692" max="6692" customWidth="1" width="11.42578125"/>
    <col min="6693" max="6693" customWidth="1" width="11.42578125"/>
    <col min="6694" max="6694" customWidth="1" width="11.42578125"/>
    <col min="6695" max="6695" customWidth="1" width="11.42578125"/>
    <col min="6696" max="6696" customWidth="1" width="11.42578125"/>
    <col min="6697" max="6697" customWidth="1" width="11.42578125"/>
    <col min="6698" max="6698" customWidth="1" width="11.42578125"/>
    <col min="6699" max="6699" customWidth="1" width="11.42578125"/>
    <col min="6700" max="6700" customWidth="1" width="11.42578125"/>
    <col min="6701" max="6701" customWidth="1" width="11.42578125"/>
    <col min="6702" max="6702" customWidth="1" width="11.42578125"/>
    <col min="6703" max="6703" customWidth="1" width="11.42578125"/>
    <col min="6704" max="6704" customWidth="1" width="11.42578125"/>
    <col min="6705" max="6705" customWidth="1" width="11.42578125"/>
    <col min="6706" max="6706" customWidth="1" width="11.42578125"/>
    <col min="6707" max="6707" customWidth="1" width="11.42578125"/>
    <col min="6708" max="6708" customWidth="1" width="11.42578125"/>
    <col min="6709" max="6709" customWidth="1" width="11.42578125"/>
    <col min="6710" max="6710" customWidth="1" width="11.42578125"/>
    <col min="6711" max="6711" customWidth="1" width="11.42578125"/>
    <col min="6712" max="6712" customWidth="1" width="11.42578125"/>
    <col min="6713" max="6713" customWidth="1" width="11.42578125"/>
    <col min="6714" max="6714" customWidth="1" width="11.42578125"/>
    <col min="6715" max="6715" customWidth="1" width="11.42578125"/>
    <col min="6716" max="6716" customWidth="1" width="11.42578125"/>
    <col min="6717" max="6717" customWidth="1" width="11.42578125"/>
    <col min="6718" max="6718" customWidth="1" width="11.42578125"/>
    <col min="6719" max="6719" customWidth="1" width="11.42578125"/>
    <col min="6720" max="6720" customWidth="1" width="11.42578125"/>
    <col min="6721" max="6721" customWidth="1" width="11.42578125"/>
    <col min="6722" max="6722" customWidth="1" width="11.42578125"/>
    <col min="6723" max="6723" customWidth="1" width="11.42578125"/>
    <col min="6724" max="6724" customWidth="1" width="11.42578125"/>
    <col min="6725" max="6725" customWidth="1" width="11.42578125"/>
    <col min="6726" max="6726" customWidth="1" width="11.42578125"/>
    <col min="6727" max="6727" customWidth="1" width="11.42578125"/>
    <col min="6728" max="6728" customWidth="1" width="11.42578125"/>
    <col min="6729" max="6729" customWidth="1" width="11.42578125"/>
    <col min="6730" max="6730" customWidth="1" width="11.42578125"/>
    <col min="6731" max="6731" customWidth="1" width="11.42578125"/>
    <col min="6732" max="6732" customWidth="1" width="11.42578125"/>
    <col min="6733" max="6733" customWidth="1" width="11.42578125"/>
    <col min="6734" max="6734" customWidth="1" width="11.42578125"/>
    <col min="6735" max="6735" customWidth="1" width="11.42578125"/>
    <col min="6736" max="6736" customWidth="1" width="11.42578125"/>
    <col min="6737" max="6737" customWidth="1" width="11.42578125"/>
    <col min="6738" max="6738" customWidth="1" width="11.42578125"/>
    <col min="6739" max="6739" customWidth="1" width="11.42578125"/>
    <col min="6740" max="6740" customWidth="1" width="11.42578125"/>
    <col min="6741" max="6741" customWidth="1" width="11.42578125"/>
    <col min="6742" max="6742" customWidth="1" width="11.42578125"/>
    <col min="6743" max="6743" customWidth="1" width="11.42578125"/>
    <col min="6744" max="6744" customWidth="1" width="11.42578125"/>
    <col min="6745" max="6745" customWidth="1" width="11.42578125"/>
    <col min="6746" max="6746" customWidth="1" width="11.42578125"/>
    <col min="6747" max="6747" customWidth="1" width="11.42578125"/>
    <col min="6748" max="6748" customWidth="1" width="11.42578125"/>
    <col min="6749" max="6749" customWidth="1" width="11.42578125"/>
    <col min="6750" max="6750" customWidth="1" width="11.42578125"/>
    <col min="6751" max="6751" customWidth="1" width="11.42578125"/>
    <col min="6752" max="6752" customWidth="1" width="11.42578125"/>
    <col min="6753" max="6753" customWidth="1" width="11.42578125"/>
    <col min="6754" max="6754" customWidth="1" width="11.42578125"/>
    <col min="6755" max="6755" customWidth="1" width="11.42578125"/>
    <col min="6756" max="6756" customWidth="1" width="11.42578125"/>
    <col min="6757" max="6757" customWidth="1" width="11.42578125"/>
    <col min="6758" max="6758" customWidth="1" width="11.42578125"/>
    <col min="6759" max="6759" customWidth="1" width="11.42578125"/>
    <col min="6760" max="6760" customWidth="1" width="11.42578125"/>
    <col min="6761" max="6761" customWidth="1" width="11.42578125"/>
    <col min="6762" max="6762" customWidth="1" width="11.42578125"/>
    <col min="6763" max="6763" customWidth="1" width="11.42578125"/>
    <col min="6764" max="6764" customWidth="1" width="11.42578125"/>
    <col min="6765" max="6765" customWidth="1" width="11.42578125"/>
    <col min="6766" max="6766" customWidth="1" width="11.42578125"/>
    <col min="6767" max="6767" customWidth="1" width="11.42578125"/>
    <col min="6768" max="6768" customWidth="1" width="11.42578125"/>
    <col min="6769" max="6769" customWidth="1" width="11.42578125"/>
    <col min="6770" max="6770" customWidth="1" width="11.42578125"/>
    <col min="6771" max="6771" customWidth="1" width="11.42578125"/>
    <col min="6772" max="6772" customWidth="1" width="11.42578125"/>
    <col min="6773" max="6773" customWidth="1" width="11.42578125"/>
    <col min="6774" max="6774" customWidth="1" width="11.42578125"/>
    <col min="6775" max="6775" customWidth="1" width="11.42578125"/>
    <col min="6776" max="6776" customWidth="1" width="11.42578125"/>
    <col min="6777" max="6777" customWidth="1" width="11.42578125"/>
    <col min="6778" max="6778" customWidth="1" width="11.42578125"/>
    <col min="6779" max="6779" customWidth="1" width="11.42578125"/>
    <col min="6780" max="6780" customWidth="1" width="11.42578125"/>
    <col min="6781" max="6781" customWidth="1" width="11.42578125"/>
    <col min="6782" max="6782" customWidth="1" width="11.42578125"/>
    <col min="6783" max="6783" customWidth="1" width="11.42578125"/>
    <col min="6784" max="6784" customWidth="1" width="11.42578125"/>
    <col min="6785" max="6785" customWidth="1" width="11.42578125"/>
    <col min="6786" max="6786" customWidth="1" width="11.42578125"/>
    <col min="6787" max="6787" customWidth="1" width="11.42578125"/>
    <col min="6788" max="6788" customWidth="1" width="11.42578125"/>
    <col min="6789" max="6789" customWidth="1" width="11.42578125"/>
    <col min="6790" max="6790" customWidth="1" width="11.42578125"/>
    <col min="6791" max="6791" customWidth="1" width="11.42578125"/>
    <col min="6792" max="6792" customWidth="1" width="11.42578125"/>
    <col min="6793" max="6793" customWidth="1" width="11.42578125"/>
    <col min="6794" max="6794" customWidth="1" width="11.42578125"/>
    <col min="6795" max="6795" customWidth="1" width="11.42578125"/>
    <col min="6796" max="6796" customWidth="1" width="11.42578125"/>
    <col min="6797" max="6797" customWidth="1" width="11.42578125"/>
    <col min="6798" max="6798" customWidth="1" width="11.42578125"/>
    <col min="6799" max="6799" customWidth="1" width="11.42578125"/>
    <col min="6800" max="6800" customWidth="1" width="11.42578125"/>
    <col min="6801" max="6801" customWidth="1" width="11.42578125"/>
    <col min="6802" max="6802" customWidth="1" width="11.42578125"/>
    <col min="6803" max="6803" customWidth="1" width="11.42578125"/>
    <col min="6804" max="6804" customWidth="1" width="11.42578125"/>
    <col min="6805" max="6805" customWidth="1" width="11.42578125"/>
    <col min="6806" max="6806" customWidth="1" width="11.42578125"/>
    <col min="6807" max="6807" customWidth="1" width="11.42578125"/>
    <col min="6808" max="6808" customWidth="1" width="11.42578125"/>
    <col min="6809" max="6809" customWidth="1" width="11.42578125"/>
    <col min="6810" max="6810" customWidth="1" width="11.42578125"/>
    <col min="6811" max="6811" customWidth="1" width="11.42578125"/>
    <col min="6812" max="6812" customWidth="1" width="11.42578125"/>
    <col min="6813" max="6813" customWidth="1" width="11.42578125"/>
    <col min="6814" max="6814" customWidth="1" width="11.42578125"/>
    <col min="6815" max="6815" customWidth="1" width="11.42578125"/>
    <col min="6816" max="6816" customWidth="1" width="11.42578125"/>
    <col min="6817" max="6817" customWidth="1" width="11.42578125"/>
    <col min="6818" max="6818" customWidth="1" width="11.42578125"/>
    <col min="6819" max="6819" customWidth="1" width="11.42578125"/>
    <col min="6820" max="6820" customWidth="1" width="11.42578125"/>
    <col min="6821" max="6821" customWidth="1" width="11.42578125"/>
    <col min="6822" max="6822" customWidth="1" width="11.42578125"/>
    <col min="6823" max="6823" customWidth="1" width="11.42578125"/>
    <col min="6824" max="6824" customWidth="1" width="11.42578125"/>
    <col min="6825" max="6825" customWidth="1" width="11.42578125"/>
    <col min="6826" max="6826" customWidth="1" width="11.42578125"/>
    <col min="6827" max="6827" customWidth="1" width="11.42578125"/>
    <col min="6828" max="6828" customWidth="1" width="11.42578125"/>
    <col min="6829" max="6829" customWidth="1" width="11.42578125"/>
    <col min="6830" max="6830" customWidth="1" width="11.42578125"/>
    <col min="6831" max="6831" customWidth="1" width="11.42578125"/>
    <col min="6832" max="6832" customWidth="1" width="11.42578125"/>
    <col min="6833" max="6833" customWidth="1" width="11.42578125"/>
    <col min="6834" max="6834" customWidth="1" width="11.42578125"/>
    <col min="6835" max="6835" customWidth="1" width="11.42578125"/>
    <col min="6836" max="6836" customWidth="1" width="11.42578125"/>
    <col min="6837" max="6837" customWidth="1" width="11.42578125"/>
    <col min="6838" max="6838" customWidth="1" width="11.42578125"/>
    <col min="6839" max="6839" customWidth="1" width="11.42578125"/>
    <col min="6840" max="6840" customWidth="1" width="11.42578125"/>
    <col min="6841" max="6841" customWidth="1" width="11.42578125"/>
    <col min="6842" max="6842" customWidth="1" width="11.42578125"/>
    <col min="6843" max="6843" customWidth="1" width="11.42578125"/>
    <col min="6844" max="6844" customWidth="1" width="11.42578125"/>
    <col min="6845" max="6845" customWidth="1" width="11.42578125"/>
    <col min="6846" max="6846" customWidth="1" width="11.42578125"/>
    <col min="6847" max="6847" customWidth="1" width="11.42578125"/>
    <col min="6848" max="6848" customWidth="1" width="11.42578125"/>
    <col min="6849" max="6849" customWidth="1" width="11.42578125"/>
    <col min="6850" max="6850" customWidth="1" width="11.42578125"/>
    <col min="6851" max="6851" customWidth="1" width="11.42578125"/>
    <col min="6852" max="6852" customWidth="1" width="11.42578125"/>
    <col min="6853" max="6853" customWidth="1" width="11.42578125"/>
    <col min="6854" max="6854" customWidth="1" width="11.42578125"/>
    <col min="6855" max="6855" customWidth="1" width="11.42578125"/>
    <col min="6856" max="6856" customWidth="1" width="11.42578125"/>
    <col min="6857" max="6857" customWidth="1" width="11.42578125"/>
    <col min="6858" max="6858" customWidth="1" width="11.42578125"/>
    <col min="6859" max="6859" customWidth="1" width="11.42578125"/>
    <col min="6860" max="6860" customWidth="1" width="11.42578125"/>
    <col min="6861" max="6861" customWidth="1" width="11.42578125"/>
    <col min="6862" max="6862" customWidth="1" width="11.42578125"/>
    <col min="6863" max="6863" customWidth="1" width="11.42578125"/>
    <col min="6864" max="6864" customWidth="1" width="11.42578125"/>
    <col min="6865" max="6865" customWidth="1" width="11.42578125"/>
    <col min="6866" max="6866" customWidth="1" width="11.42578125"/>
    <col min="6867" max="6867" customWidth="1" width="11.42578125"/>
    <col min="6868" max="6868" customWidth="1" width="11.42578125"/>
    <col min="6869" max="6869" customWidth="1" width="11.42578125"/>
    <col min="6870" max="6870" customWidth="1" width="11.42578125"/>
    <col min="6871" max="6871" customWidth="1" width="11.42578125"/>
    <col min="6872" max="6872" customWidth="1" width="11.42578125"/>
    <col min="6873" max="6873" customWidth="1" width="11.42578125"/>
    <col min="6874" max="6874" customWidth="1" width="11.42578125"/>
    <col min="6875" max="6875" customWidth="1" width="11.42578125"/>
    <col min="6876" max="6876" customWidth="1" width="11.42578125"/>
    <col min="6877" max="6877" customWidth="1" width="11.42578125"/>
    <col min="6878" max="6878" customWidth="1" width="11.42578125"/>
    <col min="6879" max="6879" customWidth="1" width="11.42578125"/>
    <col min="6880" max="6880" customWidth="1" width="11.42578125"/>
    <col min="6881" max="6881" customWidth="1" width="11.42578125"/>
    <col min="6882" max="6882" customWidth="1" width="11.42578125"/>
    <col min="6883" max="6883" customWidth="1" width="11.42578125"/>
    <col min="6884" max="6884" customWidth="1" width="11.42578125"/>
    <col min="6885" max="6885" customWidth="1" width="11.42578125"/>
    <col min="6886" max="6886" customWidth="1" width="11.42578125"/>
    <col min="6887" max="6887" customWidth="1" width="11.42578125"/>
    <col min="6888" max="6888" customWidth="1" width="11.42578125"/>
    <col min="6889" max="6889" customWidth="1" width="11.42578125"/>
    <col min="6890" max="6890" customWidth="1" width="11.42578125"/>
    <col min="6891" max="6891" customWidth="1" width="11.42578125"/>
    <col min="6892" max="6892" customWidth="1" width="11.42578125"/>
    <col min="6893" max="6893" customWidth="1" width="11.42578125"/>
    <col min="6894" max="6894" customWidth="1" width="11.42578125"/>
    <col min="6895" max="6895" customWidth="1" width="11.42578125"/>
    <col min="6896" max="6896" customWidth="1" width="11.42578125"/>
    <col min="6897" max="6897" customWidth="1" width="11.42578125"/>
    <col min="6898" max="6898" customWidth="1" width="11.42578125"/>
    <col min="6899" max="6899" customWidth="1" width="11.42578125"/>
    <col min="6900" max="6900" customWidth="1" width="11.42578125"/>
    <col min="6901" max="6901" customWidth="1" width="11.42578125"/>
    <col min="6902" max="6902" customWidth="1" width="11.42578125"/>
    <col min="6903" max="6903" customWidth="1" width="11.42578125"/>
    <col min="6904" max="6904" customWidth="1" width="11.42578125"/>
    <col min="6905" max="6905" customWidth="1" width="11.42578125"/>
    <col min="6906" max="6906" customWidth="1" width="11.42578125"/>
    <col min="6907" max="6907" customWidth="1" width="11.42578125"/>
    <col min="6908" max="6908" customWidth="1" width="11.42578125"/>
    <col min="6909" max="6909" customWidth="1" width="11.42578125"/>
    <col min="6910" max="6910" customWidth="1" width="11.42578125"/>
    <col min="6911" max="6911" customWidth="1" width="11.42578125"/>
    <col min="6912" max="6912" customWidth="1" width="11.42578125"/>
    <col min="6913" max="6913" customWidth="1" width="11.42578125"/>
    <col min="6914" max="6914" customWidth="1" width="11.42578125"/>
    <col min="6915" max="6915" customWidth="1" width="11.42578125"/>
    <col min="6916" max="6916" customWidth="1" width="11.42578125"/>
    <col min="6917" max="6917" customWidth="1" width="11.42578125"/>
    <col min="6918" max="6918" customWidth="1" width="11.42578125"/>
    <col min="6919" max="6919" customWidth="1" width="11.42578125"/>
    <col min="6920" max="6920" customWidth="1" width="11.42578125"/>
    <col min="6921" max="6921" customWidth="1" width="11.42578125"/>
    <col min="6922" max="6922" customWidth="1" width="11.42578125"/>
    <col min="6923" max="6923" customWidth="1" width="11.42578125"/>
    <col min="6924" max="6924" customWidth="1" width="11.42578125"/>
    <col min="6925" max="6925" customWidth="1" width="11.42578125"/>
    <col min="6926" max="6926" customWidth="1" width="11.42578125"/>
    <col min="6927" max="6927" customWidth="1" width="11.42578125"/>
    <col min="6928" max="6928" customWidth="1" width="11.42578125"/>
    <col min="6929" max="6929" customWidth="1" width="11.42578125"/>
    <col min="6930" max="6930" customWidth="1" width="11.42578125"/>
    <col min="6931" max="6931" customWidth="1" width="11.42578125"/>
    <col min="6932" max="6932" customWidth="1" width="11.42578125"/>
    <col min="6933" max="6933" customWidth="1" width="11.42578125"/>
    <col min="6934" max="6934" customWidth="1" width="11.42578125"/>
    <col min="6935" max="6935" customWidth="1" width="11.42578125"/>
    <col min="6936" max="6936" customWidth="1" width="11.42578125"/>
    <col min="6937" max="6937" customWidth="1" width="11.42578125"/>
    <col min="6938" max="6938" customWidth="1" width="11.42578125"/>
    <col min="6939" max="6939" customWidth="1" width="11.42578125"/>
    <col min="6940" max="6940" customWidth="1" width="11.42578125"/>
    <col min="6941" max="6941" customWidth="1" width="11.42578125"/>
    <col min="6942" max="6942" customWidth="1" width="11.42578125"/>
    <col min="6943" max="6943" customWidth="1" width="11.42578125"/>
    <col min="6944" max="6944" customWidth="1" width="11.42578125"/>
    <col min="6945" max="6945" customWidth="1" width="11.42578125"/>
    <col min="6946" max="6946" customWidth="1" width="11.42578125"/>
    <col min="6947" max="6947" customWidth="1" width="11.42578125"/>
    <col min="6948" max="6948" customWidth="1" width="11.42578125"/>
    <col min="6949" max="6949" customWidth="1" width="11.42578125"/>
    <col min="6950" max="6950" customWidth="1" width="11.42578125"/>
    <col min="6951" max="6951" customWidth="1" width="11.42578125"/>
    <col min="6952" max="6952" customWidth="1" width="11.42578125"/>
    <col min="6953" max="6953" customWidth="1" width="11.42578125"/>
    <col min="6954" max="6954" customWidth="1" width="11.42578125"/>
    <col min="6955" max="6955" customWidth="1" width="11.42578125"/>
    <col min="6956" max="6956" customWidth="1" width="11.42578125"/>
    <col min="6957" max="6957" customWidth="1" width="11.42578125"/>
    <col min="6958" max="6958" customWidth="1" width="11.42578125"/>
    <col min="6959" max="6959" customWidth="1" width="11.42578125"/>
    <col min="6960" max="6960" customWidth="1" width="11.42578125"/>
    <col min="6961" max="6961" customWidth="1" width="11.42578125"/>
    <col min="6962" max="6962" customWidth="1" width="11.42578125"/>
    <col min="6963" max="6963" customWidth="1" width="11.42578125"/>
    <col min="6964" max="6964" customWidth="1" width="11.42578125"/>
    <col min="6965" max="6965" customWidth="1" width="11.42578125"/>
    <col min="6966" max="6966" customWidth="1" width="11.42578125"/>
    <col min="6967" max="6967" customWidth="1" width="11.42578125"/>
    <col min="6968" max="6968" customWidth="1" width="11.42578125"/>
    <col min="6969" max="6969" customWidth="1" width="11.42578125"/>
    <col min="6970" max="6970" customWidth="1" width="11.42578125"/>
    <col min="6971" max="6971" customWidth="1" width="11.42578125"/>
    <col min="6972" max="6972" customWidth="1" width="11.42578125"/>
    <col min="6973" max="6973" customWidth="1" width="11.42578125"/>
    <col min="6974" max="6974" customWidth="1" width="11.42578125"/>
    <col min="6975" max="6975" customWidth="1" width="11.42578125"/>
    <col min="6976" max="6976" customWidth="1" width="11.42578125"/>
    <col min="6977" max="6977" customWidth="1" width="11.42578125"/>
    <col min="6978" max="6978" customWidth="1" width="11.42578125"/>
    <col min="6979" max="6979" customWidth="1" width="11.42578125"/>
    <col min="6980" max="6980" customWidth="1" width="11.42578125"/>
    <col min="6981" max="6981" customWidth="1" width="11.42578125"/>
    <col min="6982" max="6982" customWidth="1" width="11.42578125"/>
    <col min="6983" max="6983" customWidth="1" width="11.42578125"/>
    <col min="6984" max="6984" customWidth="1" width="11.42578125"/>
    <col min="6985" max="6985" customWidth="1" width="11.42578125"/>
    <col min="6986" max="6986" customWidth="1" width="11.42578125"/>
    <col min="6987" max="6987" customWidth="1" width="11.42578125"/>
    <col min="6988" max="6988" customWidth="1" width="11.42578125"/>
    <col min="6989" max="6989" customWidth="1" width="11.42578125"/>
    <col min="6990" max="6990" customWidth="1" width="11.42578125"/>
    <col min="6991" max="6991" customWidth="1" width="11.42578125"/>
    <col min="6992" max="6992" customWidth="1" width="11.42578125"/>
    <col min="6993" max="6993" customWidth="1" width="11.42578125"/>
    <col min="6994" max="6994" customWidth="1" width="11.42578125"/>
    <col min="6995" max="6995" customWidth="1" width="11.42578125"/>
    <col min="6996" max="6996" customWidth="1" width="11.42578125"/>
    <col min="6997" max="6997" customWidth="1" width="11.42578125"/>
    <col min="6998" max="6998" customWidth="1" width="11.42578125"/>
    <col min="6999" max="6999" customWidth="1" width="11.42578125"/>
    <col min="7000" max="7000" customWidth="1" width="11.42578125"/>
    <col min="7001" max="7001" customWidth="1" width="11.42578125"/>
    <col min="7002" max="7002" customWidth="1" width="11.42578125"/>
    <col min="7003" max="7003" customWidth="1" width="11.42578125"/>
    <col min="7004" max="7004" customWidth="1" width="11.42578125"/>
    <col min="7005" max="7005" customWidth="1" width="11.42578125"/>
    <col min="7006" max="7006" customWidth="1" width="11.42578125"/>
    <col min="7007" max="7007" customWidth="1" width="11.42578125"/>
    <col min="7008" max="7008" customWidth="1" width="11.42578125"/>
    <col min="7009" max="7009" customWidth="1" width="11.42578125"/>
    <col min="7010" max="7010" customWidth="1" width="11.42578125"/>
    <col min="7011" max="7011" customWidth="1" width="11.42578125"/>
    <col min="7012" max="7012" customWidth="1" width="11.42578125"/>
    <col min="7013" max="7013" customWidth="1" width="11.42578125"/>
    <col min="7014" max="7014" customWidth="1" width="11.42578125"/>
    <col min="7015" max="7015" customWidth="1" width="11.42578125"/>
    <col min="7016" max="7016" customWidth="1" width="11.42578125"/>
    <col min="7017" max="7017" customWidth="1" width="11.42578125"/>
    <col min="7018" max="7018" customWidth="1" width="11.42578125"/>
    <col min="7019" max="7019" customWidth="1" width="11.42578125"/>
    <col min="7020" max="7020" customWidth="1" width="11.42578125"/>
    <col min="7021" max="7021" customWidth="1" width="11.42578125"/>
    <col min="7022" max="7022" customWidth="1" width="11.42578125"/>
    <col min="7023" max="7023" customWidth="1" width="11.42578125"/>
    <col min="7024" max="7024" customWidth="1" width="11.42578125"/>
    <col min="7025" max="7025" customWidth="1" width="11.42578125"/>
    <col min="7026" max="7026" customWidth="1" width="11.42578125"/>
    <col min="7027" max="7027" customWidth="1" width="11.42578125"/>
    <col min="7028" max="7028" customWidth="1" width="11.42578125"/>
    <col min="7029" max="7029" customWidth="1" width="11.42578125"/>
    <col min="7030" max="7030" customWidth="1" width="11.42578125"/>
    <col min="7031" max="7031" customWidth="1" width="11.42578125"/>
    <col min="7032" max="7032" customWidth="1" width="11.42578125"/>
    <col min="7033" max="7033" customWidth="1" width="11.42578125"/>
    <col min="7034" max="7034" customWidth="1" width="11.42578125"/>
    <col min="7035" max="7035" customWidth="1" width="11.42578125"/>
    <col min="7036" max="7036" customWidth="1" width="11.42578125"/>
    <col min="7037" max="7037" customWidth="1" width="11.42578125"/>
    <col min="7038" max="7038" customWidth="1" width="11.42578125"/>
    <col min="7039" max="7039" customWidth="1" width="11.42578125"/>
    <col min="7040" max="7040" customWidth="1" width="11.42578125"/>
    <col min="7041" max="7041" customWidth="1" width="11.42578125"/>
    <col min="7042" max="7042" customWidth="1" width="11.42578125"/>
    <col min="7043" max="7043" customWidth="1" width="11.42578125"/>
    <col min="7044" max="7044" customWidth="1" width="11.42578125"/>
    <col min="7045" max="7045" customWidth="1" width="11.42578125"/>
    <col min="7046" max="7046" customWidth="1" width="11.42578125"/>
    <col min="7047" max="7047" customWidth="1" width="11.42578125"/>
    <col min="7048" max="7048" customWidth="1" width="11.42578125"/>
    <col min="7049" max="7049" customWidth="1" width="11.42578125"/>
    <col min="7050" max="7050" customWidth="1" width="11.42578125"/>
    <col min="7051" max="7051" customWidth="1" width="11.42578125"/>
    <col min="7052" max="7052" customWidth="1" width="11.42578125"/>
    <col min="7053" max="7053" customWidth="1" width="11.42578125"/>
    <col min="7054" max="7054" customWidth="1" width="11.42578125"/>
    <col min="7055" max="7055" customWidth="1" width="11.42578125"/>
    <col min="7056" max="7056" customWidth="1" width="11.42578125"/>
    <col min="7057" max="7057" customWidth="1" width="11.42578125"/>
    <col min="7058" max="7058" customWidth="1" width="11.42578125"/>
    <col min="7059" max="7059" customWidth="1" width="11.42578125"/>
    <col min="7060" max="7060" customWidth="1" width="11.42578125"/>
    <col min="7061" max="7061" customWidth="1" width="11.42578125"/>
    <col min="7062" max="7062" customWidth="1" width="11.42578125"/>
    <col min="7063" max="7063" customWidth="1" width="11.42578125"/>
    <col min="7064" max="7064" customWidth="1" width="11.42578125"/>
    <col min="7065" max="7065" customWidth="1" width="11.42578125"/>
    <col min="7066" max="7066" customWidth="1" width="11.42578125"/>
    <col min="7067" max="7067" customWidth="1" width="11.42578125"/>
    <col min="7068" max="7068" customWidth="1" width="11.42578125"/>
    <col min="7069" max="7069" customWidth="1" width="11.42578125"/>
    <col min="7070" max="7070" customWidth="1" width="11.42578125"/>
    <col min="7071" max="7071" customWidth="1" width="11.42578125"/>
    <col min="7072" max="7072" customWidth="1" width="11.42578125"/>
    <col min="7073" max="7073" customWidth="1" width="11.42578125"/>
    <col min="7074" max="7074" customWidth="1" width="11.42578125"/>
    <col min="7075" max="7075" customWidth="1" width="11.42578125"/>
    <col min="7076" max="7076" customWidth="1" width="11.42578125"/>
    <col min="7077" max="7077" customWidth="1" width="11.42578125"/>
    <col min="7078" max="7078" customWidth="1" width="11.42578125"/>
    <col min="7079" max="7079" customWidth="1" width="11.42578125"/>
    <col min="7080" max="7080" customWidth="1" width="11.42578125"/>
    <col min="7081" max="7081" customWidth="1" width="11.42578125"/>
    <col min="7082" max="7082" customWidth="1" width="11.42578125"/>
    <col min="7083" max="7083" customWidth="1" width="11.42578125"/>
    <col min="7084" max="7084" customWidth="1" width="11.42578125"/>
    <col min="7085" max="7085" customWidth="1" width="11.42578125"/>
    <col min="7086" max="7086" customWidth="1" width="11.42578125"/>
    <col min="7087" max="7087" customWidth="1" width="11.42578125"/>
    <col min="7088" max="7088" customWidth="1" width="11.42578125"/>
    <col min="7089" max="7089" customWidth="1" width="11.42578125"/>
    <col min="7090" max="7090" customWidth="1" width="11.42578125"/>
    <col min="7091" max="7091" customWidth="1" width="11.42578125"/>
    <col min="7092" max="7092" customWidth="1" width="11.42578125"/>
    <col min="7093" max="7093" customWidth="1" width="11.42578125"/>
    <col min="7094" max="7094" customWidth="1" width="11.42578125"/>
    <col min="7095" max="7095" customWidth="1" width="11.42578125"/>
    <col min="7096" max="7096" customWidth="1" width="11.42578125"/>
    <col min="7097" max="7097" customWidth="1" width="11.42578125"/>
    <col min="7098" max="7098" customWidth="1" width="11.42578125"/>
    <col min="7099" max="7099" customWidth="1" width="11.42578125"/>
    <col min="7100" max="7100" customWidth="1" width="11.42578125"/>
    <col min="7101" max="7101" customWidth="1" width="11.42578125"/>
    <col min="7102" max="7102" customWidth="1" width="11.42578125"/>
    <col min="7103" max="7103" customWidth="1" width="11.42578125"/>
    <col min="7104" max="7104" customWidth="1" width="11.42578125"/>
    <col min="7105" max="7105" customWidth="1" width="11.42578125"/>
    <col min="7106" max="7106" customWidth="1" width="11.42578125"/>
    <col min="7107" max="7107" customWidth="1" width="11.42578125"/>
    <col min="7108" max="7108" customWidth="1" width="11.42578125"/>
    <col min="7109" max="7109" customWidth="1" width="11.42578125"/>
    <col min="7110" max="7110" customWidth="1" width="11.42578125"/>
    <col min="7111" max="7111" customWidth="1" width="11.42578125"/>
    <col min="7112" max="7112" customWidth="1" width="11.42578125"/>
    <col min="7113" max="7113" customWidth="1" width="11.42578125"/>
    <col min="7114" max="7114" customWidth="1" width="11.42578125"/>
    <col min="7115" max="7115" customWidth="1" width="11.42578125"/>
    <col min="7116" max="7116" customWidth="1" width="11.42578125"/>
    <col min="7117" max="7117" customWidth="1" width="11.42578125"/>
    <col min="7118" max="7118" customWidth="1" width="11.42578125"/>
    <col min="7119" max="7119" customWidth="1" width="11.42578125"/>
    <col min="7120" max="7120" customWidth="1" width="11.42578125"/>
    <col min="7121" max="7121" customWidth="1" width="11.42578125"/>
    <col min="7122" max="7122" customWidth="1" width="11.42578125"/>
    <col min="7123" max="7123" customWidth="1" width="11.42578125"/>
    <col min="7124" max="7124" customWidth="1" width="11.42578125"/>
    <col min="7125" max="7125" customWidth="1" width="11.42578125"/>
    <col min="7126" max="7126" customWidth="1" width="11.42578125"/>
    <col min="7127" max="7127" customWidth="1" width="11.42578125"/>
    <col min="7128" max="7128" customWidth="1" width="11.42578125"/>
    <col min="7129" max="7129" customWidth="1" width="11.42578125"/>
    <col min="7130" max="7130" customWidth="1" width="11.42578125"/>
    <col min="7131" max="7131" customWidth="1" width="11.42578125"/>
    <col min="7132" max="7132" customWidth="1" width="11.42578125"/>
    <col min="7133" max="7133" customWidth="1" width="11.42578125"/>
    <col min="7134" max="7134" customWidth="1" width="11.42578125"/>
    <col min="7135" max="7135" customWidth="1" width="11.42578125"/>
    <col min="7136" max="7136" customWidth="1" width="11.42578125"/>
    <col min="7137" max="7137" customWidth="1" width="11.42578125"/>
    <col min="7138" max="7138" customWidth="1" width="11.42578125"/>
    <col min="7139" max="7139" customWidth="1" width="11.42578125"/>
    <col min="7140" max="7140" customWidth="1" width="11.42578125"/>
    <col min="7141" max="7141" customWidth="1" width="11.42578125"/>
    <col min="7142" max="7142" customWidth="1" width="11.42578125"/>
    <col min="7143" max="7143" customWidth="1" width="11.42578125"/>
    <col min="7144" max="7144" customWidth="1" width="11.42578125"/>
    <col min="7145" max="7145" customWidth="1" width="11.42578125"/>
    <col min="7146" max="7146" customWidth="1" width="11.42578125"/>
    <col min="7147" max="7147" customWidth="1" width="11.42578125"/>
    <col min="7148" max="7148" customWidth="1" width="11.42578125"/>
    <col min="7149" max="7149" customWidth="1" width="11.42578125"/>
    <col min="7150" max="7150" customWidth="1" width="11.42578125"/>
    <col min="7151" max="7151" customWidth="1" width="11.42578125"/>
    <col min="7152" max="7152" customWidth="1" width="11.42578125"/>
    <col min="7153" max="7153" customWidth="1" width="11.42578125"/>
    <col min="7154" max="7154" customWidth="1" width="11.42578125"/>
    <col min="7155" max="7155" customWidth="1" width="11.42578125"/>
    <col min="7156" max="7156" customWidth="1" width="11.42578125"/>
    <col min="7157" max="7157" customWidth="1" width="11.42578125"/>
    <col min="7158" max="7158" customWidth="1" width="11.42578125"/>
    <col min="7159" max="7159" customWidth="1" width="11.42578125"/>
    <col min="7160" max="7160" customWidth="1" width="11.42578125"/>
    <col min="7161" max="7161" customWidth="1" width="11.42578125"/>
    <col min="7162" max="7162" customWidth="1" width="11.42578125"/>
    <col min="7163" max="7163" customWidth="1" width="11.42578125"/>
    <col min="7164" max="7164" customWidth="1" width="11.42578125"/>
    <col min="7165" max="7165" customWidth="1" width="11.42578125"/>
    <col min="7166" max="7166" customWidth="1" width="11.42578125"/>
    <col min="7167" max="7167" customWidth="1" width="11.42578125"/>
    <col min="7168" max="7168" customWidth="1" width="11.42578125"/>
    <col min="7169" max="7169" customWidth="1" width="11.42578125"/>
    <col min="7170" max="7170" customWidth="1" width="11.42578125"/>
    <col min="7171" max="7171" customWidth="1" width="11.42578125"/>
    <col min="7172" max="7172" customWidth="1" width="11.42578125"/>
    <col min="7173" max="7173" customWidth="1" width="11.42578125"/>
    <col min="7174" max="7174" customWidth="1" width="11.42578125"/>
    <col min="7175" max="7175" customWidth="1" width="11.42578125"/>
    <col min="7176" max="7176" customWidth="1" width="11.42578125"/>
    <col min="7177" max="7177" customWidth="1" width="11.42578125"/>
    <col min="7178" max="7178" customWidth="1" width="11.42578125"/>
    <col min="7179" max="7179" customWidth="1" width="11.42578125"/>
    <col min="7180" max="7180" customWidth="1" width="11.42578125"/>
    <col min="7181" max="7181" customWidth="1" width="11.42578125"/>
    <col min="7182" max="7182" customWidth="1" width="11.42578125"/>
    <col min="7183" max="7183" customWidth="1" width="11.42578125"/>
    <col min="7184" max="7184" customWidth="1" width="11.42578125"/>
    <col min="7185" max="7185" customWidth="1" width="11.42578125"/>
    <col min="7186" max="7186" customWidth="1" width="11.42578125"/>
    <col min="7187" max="7187" customWidth="1" width="11.42578125"/>
    <col min="7188" max="7188" customWidth="1" width="11.42578125"/>
    <col min="7189" max="7189" customWidth="1" width="11.42578125"/>
    <col min="7190" max="7190" customWidth="1" width="11.42578125"/>
    <col min="7191" max="7191" customWidth="1" width="11.42578125"/>
    <col min="7192" max="7192" customWidth="1" width="11.42578125"/>
    <col min="7193" max="7193" customWidth="1" width="11.42578125"/>
    <col min="7194" max="7194" customWidth="1" width="11.42578125"/>
    <col min="7195" max="7195" customWidth="1" width="11.42578125"/>
    <col min="7196" max="7196" customWidth="1" width="11.42578125"/>
    <col min="7197" max="7197" customWidth="1" width="11.42578125"/>
    <col min="7198" max="7198" customWidth="1" width="11.42578125"/>
    <col min="7199" max="7199" customWidth="1" width="11.42578125"/>
    <col min="7200" max="7200" customWidth="1" width="11.42578125"/>
    <col min="7201" max="7201" customWidth="1" width="11.42578125"/>
    <col min="7202" max="7202" customWidth="1" width="11.42578125"/>
    <col min="7203" max="7203" customWidth="1" width="11.42578125"/>
    <col min="7204" max="7204" customWidth="1" width="11.42578125"/>
    <col min="7205" max="7205" customWidth="1" width="11.42578125"/>
    <col min="7206" max="7206" customWidth="1" width="11.42578125"/>
    <col min="7207" max="7207" customWidth="1" width="11.42578125"/>
    <col min="7208" max="7208" customWidth="1" width="11.42578125"/>
    <col min="7209" max="7209" customWidth="1" width="11.42578125"/>
    <col min="7210" max="7210" customWidth="1" width="11.42578125"/>
    <col min="7211" max="7211" customWidth="1" width="11.42578125"/>
    <col min="7212" max="7212" customWidth="1" width="11.42578125"/>
    <col min="7213" max="7213" customWidth="1" width="11.42578125"/>
    <col min="7214" max="7214" customWidth="1" width="11.42578125"/>
    <col min="7215" max="7215" customWidth="1" width="11.42578125"/>
    <col min="7216" max="7216" customWidth="1" width="11.42578125"/>
    <col min="7217" max="7217" customWidth="1" width="11.42578125"/>
    <col min="7218" max="7218" customWidth="1" width="11.42578125"/>
    <col min="7219" max="7219" customWidth="1" width="11.42578125"/>
    <col min="7220" max="7220" customWidth="1" width="11.42578125"/>
    <col min="7221" max="7221" customWidth="1" width="11.42578125"/>
    <col min="7222" max="7222" customWidth="1" width="11.42578125"/>
    <col min="7223" max="7223" customWidth="1" width="11.42578125"/>
    <col min="7224" max="7224" customWidth="1" width="11.42578125"/>
    <col min="7225" max="7225" customWidth="1" width="11.42578125"/>
    <col min="7226" max="7226" customWidth="1" width="11.42578125"/>
    <col min="7227" max="7227" customWidth="1" width="11.42578125"/>
    <col min="7228" max="7228" customWidth="1" width="11.42578125"/>
    <col min="7229" max="7229" customWidth="1" width="11.42578125"/>
    <col min="7230" max="7230" customWidth="1" width="11.42578125"/>
    <col min="7231" max="7231" customWidth="1" width="11.42578125"/>
    <col min="7232" max="7232" customWidth="1" width="11.42578125"/>
    <col min="7233" max="7233" customWidth="1" width="11.42578125"/>
    <col min="7234" max="7234" customWidth="1" width="11.42578125"/>
    <col min="7235" max="7235" customWidth="1" width="11.42578125"/>
    <col min="7236" max="7236" customWidth="1" width="11.42578125"/>
    <col min="7237" max="7237" customWidth="1" width="11.42578125"/>
    <col min="7238" max="7238" customWidth="1" width="11.42578125"/>
    <col min="7239" max="7239" customWidth="1" width="11.42578125"/>
    <col min="7240" max="7240" customWidth="1" width="11.42578125"/>
    <col min="7241" max="7241" customWidth="1" width="11.42578125"/>
    <col min="7242" max="7242" customWidth="1" width="11.42578125"/>
    <col min="7243" max="7243" customWidth="1" width="11.42578125"/>
    <col min="7244" max="7244" customWidth="1" width="11.42578125"/>
    <col min="7245" max="7245" customWidth="1" width="11.42578125"/>
    <col min="7246" max="7246" customWidth="1" width="11.42578125"/>
    <col min="7247" max="7247" customWidth="1" width="11.42578125"/>
    <col min="7248" max="7248" customWidth="1" width="11.42578125"/>
    <col min="7249" max="7249" customWidth="1" width="11.42578125"/>
    <col min="7250" max="7250" customWidth="1" width="11.42578125"/>
    <col min="7251" max="7251" customWidth="1" width="11.42578125"/>
    <col min="7252" max="7252" customWidth="1" width="11.42578125"/>
    <col min="7253" max="7253" customWidth="1" width="11.42578125"/>
    <col min="7254" max="7254" customWidth="1" width="11.42578125"/>
    <col min="7255" max="7255" customWidth="1" width="11.42578125"/>
    <col min="7256" max="7256" customWidth="1" width="11.42578125"/>
    <col min="7257" max="7257" customWidth="1" width="11.42578125"/>
    <col min="7258" max="7258" customWidth="1" width="11.42578125"/>
    <col min="7259" max="7259" customWidth="1" width="11.42578125"/>
    <col min="7260" max="7260" customWidth="1" width="11.42578125"/>
    <col min="7261" max="7261" customWidth="1" width="11.42578125"/>
    <col min="7262" max="7262" customWidth="1" width="11.42578125"/>
    <col min="7263" max="7263" customWidth="1" width="11.42578125"/>
    <col min="7264" max="7264" customWidth="1" width="11.42578125"/>
    <col min="7265" max="7265" customWidth="1" width="11.42578125"/>
    <col min="7266" max="7266" customWidth="1" width="11.42578125"/>
    <col min="7267" max="7267" customWidth="1" width="11.42578125"/>
    <col min="7268" max="7268" customWidth="1" width="11.42578125"/>
    <col min="7269" max="7269" customWidth="1" width="11.42578125"/>
    <col min="7270" max="7270" customWidth="1" width="11.42578125"/>
    <col min="7271" max="7271" customWidth="1" width="11.42578125"/>
    <col min="7272" max="7272" customWidth="1" width="11.42578125"/>
    <col min="7273" max="7273" customWidth="1" width="11.42578125"/>
    <col min="7274" max="7274" customWidth="1" width="11.42578125"/>
    <col min="7275" max="7275" customWidth="1" width="11.42578125"/>
    <col min="7276" max="7276" customWidth="1" width="11.42578125"/>
    <col min="7277" max="7277" customWidth="1" width="11.42578125"/>
    <col min="7278" max="7278" customWidth="1" width="11.42578125"/>
    <col min="7279" max="7279" customWidth="1" width="11.42578125"/>
    <col min="7280" max="7280" customWidth="1" width="11.42578125"/>
    <col min="7281" max="7281" customWidth="1" width="11.42578125"/>
    <col min="7282" max="7282" customWidth="1" width="11.42578125"/>
    <col min="7283" max="7283" customWidth="1" width="11.42578125"/>
    <col min="7284" max="7284" customWidth="1" width="11.42578125"/>
    <col min="7285" max="7285" customWidth="1" width="11.42578125"/>
    <col min="7286" max="7286" customWidth="1" width="11.42578125"/>
    <col min="7287" max="7287" customWidth="1" width="11.42578125"/>
    <col min="7288" max="7288" customWidth="1" width="11.42578125"/>
    <col min="7289" max="7289" customWidth="1" width="11.42578125"/>
    <col min="7290" max="7290" customWidth="1" width="11.42578125"/>
    <col min="7291" max="7291" customWidth="1" width="11.42578125"/>
    <col min="7292" max="7292" customWidth="1" width="11.42578125"/>
    <col min="7293" max="7293" customWidth="1" width="11.42578125"/>
    <col min="7294" max="7294" customWidth="1" width="11.42578125"/>
    <col min="7295" max="7295" customWidth="1" width="11.42578125"/>
    <col min="7296" max="7296" customWidth="1" width="11.42578125"/>
    <col min="7297" max="7297" customWidth="1" width="11.42578125"/>
    <col min="7298" max="7298" customWidth="1" width="11.42578125"/>
    <col min="7299" max="7299" customWidth="1" width="11.42578125"/>
    <col min="7300" max="7300" customWidth="1" width="11.42578125"/>
    <col min="7301" max="7301" customWidth="1" width="11.42578125"/>
    <col min="7302" max="7302" customWidth="1" width="11.42578125"/>
    <col min="7303" max="7303" customWidth="1" width="11.42578125"/>
    <col min="7304" max="7304" customWidth="1" width="11.42578125"/>
    <col min="7305" max="7305" customWidth="1" width="11.42578125"/>
    <col min="7306" max="7306" customWidth="1" width="11.42578125"/>
    <col min="7307" max="7307" customWidth="1" width="11.42578125"/>
    <col min="7308" max="7308" customWidth="1" width="11.42578125"/>
    <col min="7309" max="7309" customWidth="1" width="11.42578125"/>
    <col min="7310" max="7310" customWidth="1" width="11.42578125"/>
    <col min="7311" max="7311" customWidth="1" width="11.42578125"/>
    <col min="7312" max="7312" customWidth="1" width="11.42578125"/>
    <col min="7313" max="7313" customWidth="1" width="11.42578125"/>
    <col min="7314" max="7314" customWidth="1" width="11.42578125"/>
    <col min="7315" max="7315" customWidth="1" width="11.42578125"/>
    <col min="7316" max="7316" customWidth="1" width="11.42578125"/>
    <col min="7317" max="7317" customWidth="1" width="11.42578125"/>
    <col min="7318" max="7318" customWidth="1" width="11.42578125"/>
    <col min="7319" max="7319" customWidth="1" width="11.42578125"/>
    <col min="7320" max="7320" customWidth="1" width="11.42578125"/>
    <col min="7321" max="7321" customWidth="1" width="11.42578125"/>
    <col min="7322" max="7322" customWidth="1" width="11.42578125"/>
    <col min="7323" max="7323" customWidth="1" width="11.42578125"/>
    <col min="7324" max="7324" customWidth="1" width="11.42578125"/>
    <col min="7325" max="7325" customWidth="1" width="11.42578125"/>
    <col min="7326" max="7326" customWidth="1" width="11.42578125"/>
    <col min="7327" max="7327" customWidth="1" width="11.42578125"/>
    <col min="7328" max="7328" customWidth="1" width="11.42578125"/>
    <col min="7329" max="7329" customWidth="1" width="11.42578125"/>
    <col min="7330" max="7330" customWidth="1" width="11.42578125"/>
    <col min="7331" max="7331" customWidth="1" width="11.42578125"/>
    <col min="7332" max="7332" customWidth="1" width="11.42578125"/>
    <col min="7333" max="7333" customWidth="1" width="11.42578125"/>
    <col min="7334" max="7334" customWidth="1" width="11.42578125"/>
    <col min="7335" max="7335" customWidth="1" width="11.42578125"/>
    <col min="7336" max="7336" customWidth="1" width="11.42578125"/>
    <col min="7337" max="7337" customWidth="1" width="11.42578125"/>
    <col min="7338" max="7338" customWidth="1" width="11.42578125"/>
    <col min="7339" max="7339" customWidth="1" width="11.42578125"/>
    <col min="7340" max="7340" customWidth="1" width="11.42578125"/>
    <col min="7341" max="7341" customWidth="1" width="11.42578125"/>
    <col min="7342" max="7342" customWidth="1" width="11.42578125"/>
    <col min="7343" max="7343" customWidth="1" width="11.42578125"/>
    <col min="7344" max="7344" customWidth="1" width="11.42578125"/>
    <col min="7345" max="7345" customWidth="1" width="11.42578125"/>
    <col min="7346" max="7346" customWidth="1" width="11.42578125"/>
    <col min="7347" max="7347" customWidth="1" width="11.42578125"/>
    <col min="7348" max="7348" customWidth="1" width="11.42578125"/>
    <col min="7349" max="7349" customWidth="1" width="11.42578125"/>
    <col min="7350" max="7350" customWidth="1" width="11.42578125"/>
    <col min="7351" max="7351" customWidth="1" width="11.42578125"/>
    <col min="7352" max="7352" customWidth="1" width="11.42578125"/>
    <col min="7353" max="7353" customWidth="1" width="11.42578125"/>
    <col min="7354" max="7354" customWidth="1" width="11.42578125"/>
    <col min="7355" max="7355" customWidth="1" width="11.42578125"/>
    <col min="7356" max="7356" customWidth="1" width="11.42578125"/>
    <col min="7357" max="7357" customWidth="1" width="11.42578125"/>
    <col min="7358" max="7358" customWidth="1" width="11.42578125"/>
    <col min="7359" max="7359" customWidth="1" width="11.42578125"/>
    <col min="7360" max="7360" customWidth="1" width="11.42578125"/>
    <col min="7361" max="7361" customWidth="1" width="11.42578125"/>
    <col min="7362" max="7362" customWidth="1" width="11.42578125"/>
    <col min="7363" max="7363" customWidth="1" width="11.42578125"/>
    <col min="7364" max="7364" customWidth="1" width="11.42578125"/>
    <col min="7365" max="7365" customWidth="1" width="11.42578125"/>
    <col min="7366" max="7366" customWidth="1" width="11.42578125"/>
    <col min="7367" max="7367" customWidth="1" width="11.42578125"/>
    <col min="7368" max="7368" customWidth="1" width="11.42578125"/>
    <col min="7369" max="7369" customWidth="1" width="11.42578125"/>
    <col min="7370" max="7370" customWidth="1" width="11.42578125"/>
    <col min="7371" max="7371" customWidth="1" width="11.42578125"/>
    <col min="7372" max="7372" customWidth="1" width="11.42578125"/>
    <col min="7373" max="7373" customWidth="1" width="11.42578125"/>
    <col min="7374" max="7374" customWidth="1" width="11.42578125"/>
    <col min="7375" max="7375" customWidth="1" width="11.42578125"/>
    <col min="7376" max="7376" customWidth="1" width="11.42578125"/>
    <col min="7377" max="7377" customWidth="1" width="11.42578125"/>
    <col min="7378" max="7378" customWidth="1" width="11.42578125"/>
    <col min="7379" max="7379" customWidth="1" width="11.42578125"/>
    <col min="7380" max="7380" customWidth="1" width="11.42578125"/>
    <col min="7381" max="7381" customWidth="1" width="11.42578125"/>
    <col min="7382" max="7382" customWidth="1" width="11.42578125"/>
    <col min="7383" max="7383" customWidth="1" width="11.42578125"/>
    <col min="7384" max="7384" customWidth="1" width="11.42578125"/>
    <col min="7385" max="7385" customWidth="1" width="11.42578125"/>
    <col min="7386" max="7386" customWidth="1" width="11.42578125"/>
    <col min="7387" max="7387" customWidth="1" width="11.42578125"/>
    <col min="7388" max="7388" customWidth="1" width="11.42578125"/>
    <col min="7389" max="7389" customWidth="1" width="11.42578125"/>
    <col min="7390" max="7390" customWidth="1" width="11.42578125"/>
    <col min="7391" max="7391" customWidth="1" width="11.42578125"/>
    <col min="7392" max="7392" customWidth="1" width="11.42578125"/>
    <col min="7393" max="7393" customWidth="1" width="11.42578125"/>
    <col min="7394" max="7394" customWidth="1" width="11.42578125"/>
    <col min="7395" max="7395" customWidth="1" width="11.42578125"/>
    <col min="7396" max="7396" customWidth="1" width="11.42578125"/>
    <col min="7397" max="7397" customWidth="1" width="11.42578125"/>
    <col min="7398" max="7398" customWidth="1" width="11.42578125"/>
    <col min="7399" max="7399" customWidth="1" width="11.42578125"/>
    <col min="7400" max="7400" customWidth="1" width="11.42578125"/>
    <col min="7401" max="7401" customWidth="1" width="11.42578125"/>
    <col min="7402" max="7402" customWidth="1" width="11.42578125"/>
    <col min="7403" max="7403" customWidth="1" width="11.42578125"/>
    <col min="7404" max="7404" customWidth="1" width="11.42578125"/>
    <col min="7405" max="7405" customWidth="1" width="11.42578125"/>
    <col min="7406" max="7406" customWidth="1" width="11.42578125"/>
    <col min="7407" max="7407" customWidth="1" width="11.42578125"/>
    <col min="7408" max="7408" customWidth="1" width="11.42578125"/>
    <col min="7409" max="7409" customWidth="1" width="11.42578125"/>
    <col min="7410" max="7410" customWidth="1" width="11.42578125"/>
    <col min="7411" max="7411" customWidth="1" width="11.42578125"/>
    <col min="7412" max="7412" customWidth="1" width="11.42578125"/>
    <col min="7413" max="7413" customWidth="1" width="11.42578125"/>
    <col min="7414" max="7414" customWidth="1" width="11.42578125"/>
    <col min="7415" max="7415" customWidth="1" width="11.42578125"/>
    <col min="7416" max="7416" customWidth="1" width="11.42578125"/>
    <col min="7417" max="7417" customWidth="1" width="11.42578125"/>
    <col min="7418" max="7418" customWidth="1" width="11.42578125"/>
    <col min="7419" max="7419" customWidth="1" width="11.42578125"/>
    <col min="7420" max="7420" customWidth="1" width="11.42578125"/>
    <col min="7421" max="7421" customWidth="1" width="11.42578125"/>
    <col min="7422" max="7422" customWidth="1" width="11.42578125"/>
    <col min="7423" max="7423" customWidth="1" width="11.42578125"/>
    <col min="7424" max="7424" customWidth="1" width="11.42578125"/>
    <col min="7425" max="7425" customWidth="1" width="11.42578125"/>
    <col min="7426" max="7426" customWidth="1" width="11.42578125"/>
    <col min="7427" max="7427" customWidth="1" width="11.42578125"/>
    <col min="7428" max="7428" customWidth="1" width="11.42578125"/>
    <col min="7429" max="7429" customWidth="1" width="11.42578125"/>
    <col min="7430" max="7430" customWidth="1" width="11.42578125"/>
    <col min="7431" max="7431" customWidth="1" width="11.42578125"/>
    <col min="7432" max="7432" customWidth="1" width="11.42578125"/>
    <col min="7433" max="7433" customWidth="1" width="11.42578125"/>
    <col min="7434" max="7434" customWidth="1" width="11.42578125"/>
    <col min="7435" max="7435" customWidth="1" width="11.42578125"/>
    <col min="7436" max="7436" customWidth="1" width="11.42578125"/>
    <col min="7437" max="7437" customWidth="1" width="11.42578125"/>
    <col min="7438" max="7438" customWidth="1" width="11.42578125"/>
    <col min="7439" max="7439" customWidth="1" width="11.42578125"/>
    <col min="7440" max="7440" customWidth="1" width="11.42578125"/>
    <col min="7441" max="7441" customWidth="1" width="11.42578125"/>
    <col min="7442" max="7442" customWidth="1" width="11.42578125"/>
    <col min="7443" max="7443" customWidth="1" width="11.42578125"/>
    <col min="7444" max="7444" customWidth="1" width="11.42578125"/>
    <col min="7445" max="7445" customWidth="1" width="11.42578125"/>
    <col min="7446" max="7446" customWidth="1" width="11.42578125"/>
    <col min="7447" max="7447" customWidth="1" width="11.42578125"/>
    <col min="7448" max="7448" customWidth="1" width="11.42578125"/>
    <col min="7449" max="7449" customWidth="1" width="11.42578125"/>
    <col min="7450" max="7450" customWidth="1" width="11.42578125"/>
    <col min="7451" max="7451" customWidth="1" width="11.42578125"/>
    <col min="7452" max="7452" customWidth="1" width="11.42578125"/>
    <col min="7453" max="7453" customWidth="1" width="11.42578125"/>
    <col min="7454" max="7454" customWidth="1" width="11.42578125"/>
    <col min="7455" max="7455" customWidth="1" width="11.42578125"/>
    <col min="7456" max="7456" customWidth="1" width="11.42578125"/>
    <col min="7457" max="7457" customWidth="1" width="11.42578125"/>
    <col min="7458" max="7458" customWidth="1" width="11.42578125"/>
    <col min="7459" max="7459" customWidth="1" width="11.42578125"/>
    <col min="7460" max="7460" customWidth="1" width="11.42578125"/>
    <col min="7461" max="7461" customWidth="1" width="11.42578125"/>
    <col min="7462" max="7462" customWidth="1" width="11.42578125"/>
    <col min="7463" max="7463" customWidth="1" width="11.42578125"/>
    <col min="7464" max="7464" customWidth="1" width="11.42578125"/>
    <col min="7465" max="7465" customWidth="1" width="11.42578125"/>
    <col min="7466" max="7466" customWidth="1" width="11.42578125"/>
    <col min="7467" max="7467" customWidth="1" width="11.42578125"/>
    <col min="7468" max="7468" customWidth="1" width="11.42578125"/>
    <col min="7469" max="7469" customWidth="1" width="11.42578125"/>
    <col min="7470" max="7470" customWidth="1" width="11.42578125"/>
    <col min="7471" max="7471" customWidth="1" width="11.42578125"/>
    <col min="7472" max="7472" customWidth="1" width="11.42578125"/>
    <col min="7473" max="7473" customWidth="1" width="11.42578125"/>
    <col min="7474" max="7474" customWidth="1" width="11.42578125"/>
    <col min="7475" max="7475" customWidth="1" width="11.42578125"/>
    <col min="7476" max="7476" customWidth="1" width="11.42578125"/>
    <col min="7477" max="7477" customWidth="1" width="11.42578125"/>
    <col min="7478" max="7478" customWidth="1" width="11.42578125"/>
    <col min="7479" max="7479" customWidth="1" width="11.42578125"/>
    <col min="7480" max="7480" customWidth="1" width="11.42578125"/>
    <col min="7481" max="7481" customWidth="1" width="11.42578125"/>
    <col min="7482" max="7482" customWidth="1" width="11.42578125"/>
    <col min="7483" max="7483" customWidth="1" width="11.42578125"/>
    <col min="7484" max="7484" customWidth="1" width="11.42578125"/>
    <col min="7485" max="7485" customWidth="1" width="11.42578125"/>
    <col min="7486" max="7486" customWidth="1" width="11.42578125"/>
    <col min="7487" max="7487" customWidth="1" width="11.42578125"/>
    <col min="7488" max="7488" customWidth="1" width="11.42578125"/>
    <col min="7489" max="7489" customWidth="1" width="11.42578125"/>
    <col min="7490" max="7490" customWidth="1" width="11.42578125"/>
    <col min="7491" max="7491" customWidth="1" width="11.42578125"/>
    <col min="7492" max="7492" customWidth="1" width="11.42578125"/>
    <col min="7493" max="7493" customWidth="1" width="11.42578125"/>
    <col min="7494" max="7494" customWidth="1" width="11.42578125"/>
    <col min="7495" max="7495" customWidth="1" width="11.42578125"/>
    <col min="7496" max="7496" customWidth="1" width="11.42578125"/>
    <col min="7497" max="7497" customWidth="1" width="11.42578125"/>
    <col min="7498" max="7498" customWidth="1" width="11.42578125"/>
    <col min="7499" max="7499" customWidth="1" width="11.42578125"/>
    <col min="7500" max="7500" customWidth="1" width="11.42578125"/>
    <col min="7501" max="7501" customWidth="1" width="11.42578125"/>
    <col min="7502" max="7502" customWidth="1" width="11.42578125"/>
    <col min="7503" max="7503" customWidth="1" width="11.42578125"/>
    <col min="7504" max="7504" customWidth="1" width="11.42578125"/>
    <col min="7505" max="7505" customWidth="1" width="11.42578125"/>
    <col min="7506" max="7506" customWidth="1" width="11.42578125"/>
    <col min="7507" max="7507" customWidth="1" width="11.42578125"/>
    <col min="7508" max="7508" customWidth="1" width="11.42578125"/>
    <col min="7509" max="7509" customWidth="1" width="11.42578125"/>
    <col min="7510" max="7510" customWidth="1" width="11.42578125"/>
    <col min="7511" max="7511" customWidth="1" width="11.42578125"/>
    <col min="7512" max="7512" customWidth="1" width="11.42578125"/>
    <col min="7513" max="7513" customWidth="1" width="11.42578125"/>
    <col min="7514" max="7514" customWidth="1" width="11.42578125"/>
    <col min="7515" max="7515" customWidth="1" width="11.42578125"/>
    <col min="7516" max="7516" customWidth="1" width="11.42578125"/>
    <col min="7517" max="7517" customWidth="1" width="11.42578125"/>
    <col min="7518" max="7518" customWidth="1" width="11.42578125"/>
    <col min="7519" max="7519" customWidth="1" width="11.42578125"/>
    <col min="7520" max="7520" customWidth="1" width="11.42578125"/>
    <col min="7521" max="7521" customWidth="1" width="11.42578125"/>
    <col min="7522" max="7522" customWidth="1" width="11.42578125"/>
    <col min="7523" max="7523" customWidth="1" width="11.42578125"/>
    <col min="7524" max="7524" customWidth="1" width="11.42578125"/>
    <col min="7525" max="7525" customWidth="1" width="11.42578125"/>
    <col min="7526" max="7526" customWidth="1" width="11.42578125"/>
    <col min="7527" max="7527" customWidth="1" width="11.42578125"/>
    <col min="7528" max="7528" customWidth="1" width="11.42578125"/>
    <col min="7529" max="7529" customWidth="1" width="11.42578125"/>
    <col min="7530" max="7530" customWidth="1" width="11.42578125"/>
    <col min="7531" max="7531" customWidth="1" width="11.42578125"/>
    <col min="7532" max="7532" customWidth="1" width="11.42578125"/>
    <col min="7533" max="7533" customWidth="1" width="11.42578125"/>
    <col min="7534" max="7534" customWidth="1" width="11.42578125"/>
    <col min="7535" max="7535" customWidth="1" width="11.42578125"/>
    <col min="7536" max="7536" customWidth="1" width="11.42578125"/>
    <col min="7537" max="7537" customWidth="1" width="11.42578125"/>
    <col min="7538" max="7538" customWidth="1" width="11.42578125"/>
    <col min="7539" max="7539" customWidth="1" width="11.42578125"/>
    <col min="7540" max="7540" customWidth="1" width="11.42578125"/>
    <col min="7541" max="7541" customWidth="1" width="11.42578125"/>
    <col min="7542" max="7542" customWidth="1" width="11.42578125"/>
    <col min="7543" max="7543" customWidth="1" width="11.42578125"/>
    <col min="7544" max="7544" customWidth="1" width="11.42578125"/>
    <col min="7545" max="7545" customWidth="1" width="11.42578125"/>
    <col min="7546" max="7546" customWidth="1" width="11.42578125"/>
    <col min="7547" max="7547" customWidth="1" width="11.42578125"/>
    <col min="7548" max="7548" customWidth="1" width="11.42578125"/>
    <col min="7549" max="7549" customWidth="1" width="11.42578125"/>
    <col min="7550" max="7550" customWidth="1" width="11.42578125"/>
    <col min="7551" max="7551" customWidth="1" width="11.42578125"/>
    <col min="7552" max="7552" customWidth="1" width="11.42578125"/>
    <col min="7553" max="7553" customWidth="1" width="11.42578125"/>
    <col min="7554" max="7554" customWidth="1" width="11.42578125"/>
    <col min="7555" max="7555" customWidth="1" width="11.42578125"/>
    <col min="7556" max="7556" customWidth="1" width="11.42578125"/>
    <col min="7557" max="7557" customWidth="1" width="11.42578125"/>
    <col min="7558" max="7558" customWidth="1" width="11.42578125"/>
    <col min="7559" max="7559" customWidth="1" width="11.42578125"/>
    <col min="7560" max="7560" customWidth="1" width="11.42578125"/>
    <col min="7561" max="7561" customWidth="1" width="11.42578125"/>
    <col min="7562" max="7562" customWidth="1" width="11.42578125"/>
    <col min="7563" max="7563" customWidth="1" width="11.42578125"/>
    <col min="7564" max="7564" customWidth="1" width="11.42578125"/>
    <col min="7565" max="7565" customWidth="1" width="11.42578125"/>
    <col min="7566" max="7566" customWidth="1" width="11.42578125"/>
    <col min="7567" max="7567" customWidth="1" width="11.42578125"/>
    <col min="7568" max="7568" customWidth="1" width="11.42578125"/>
    <col min="7569" max="7569" customWidth="1" width="11.42578125"/>
    <col min="7570" max="7570" customWidth="1" width="11.42578125"/>
    <col min="7571" max="7571" customWidth="1" width="11.42578125"/>
    <col min="7572" max="7572" customWidth="1" width="11.42578125"/>
    <col min="7573" max="7573" customWidth="1" width="11.42578125"/>
    <col min="7574" max="7574" customWidth="1" width="11.42578125"/>
    <col min="7575" max="7575" customWidth="1" width="11.42578125"/>
    <col min="7576" max="7576" customWidth="1" width="11.42578125"/>
    <col min="7577" max="7577" customWidth="1" width="11.42578125"/>
    <col min="7578" max="7578" customWidth="1" width="11.42578125"/>
    <col min="7579" max="7579" customWidth="1" width="11.42578125"/>
    <col min="7580" max="7580" customWidth="1" width="11.42578125"/>
    <col min="7581" max="7581" customWidth="1" width="11.42578125"/>
    <col min="7582" max="7582" customWidth="1" width="11.42578125"/>
    <col min="7583" max="7583" customWidth="1" width="11.42578125"/>
    <col min="7584" max="7584" customWidth="1" width="11.42578125"/>
    <col min="7585" max="7585" customWidth="1" width="11.42578125"/>
    <col min="7586" max="7586" customWidth="1" width="11.42578125"/>
    <col min="7587" max="7587" customWidth="1" width="11.42578125"/>
    <col min="7588" max="7588" customWidth="1" width="11.42578125"/>
    <col min="7589" max="7589" customWidth="1" width="11.42578125"/>
    <col min="7590" max="7590" customWidth="1" width="11.42578125"/>
    <col min="7591" max="7591" customWidth="1" width="11.42578125"/>
    <col min="7592" max="7592" customWidth="1" width="11.42578125"/>
    <col min="7593" max="7593" customWidth="1" width="11.42578125"/>
    <col min="7594" max="7594" customWidth="1" width="11.42578125"/>
    <col min="7595" max="7595" customWidth="1" width="11.42578125"/>
    <col min="7596" max="7596" customWidth="1" width="11.42578125"/>
    <col min="7597" max="7597" customWidth="1" width="11.42578125"/>
    <col min="7598" max="7598" customWidth="1" width="11.42578125"/>
    <col min="7599" max="7599" customWidth="1" width="11.42578125"/>
    <col min="7600" max="7600" customWidth="1" width="11.42578125"/>
    <col min="7601" max="7601" customWidth="1" width="11.42578125"/>
    <col min="7602" max="7602" customWidth="1" width="11.42578125"/>
    <col min="7603" max="7603" customWidth="1" width="11.42578125"/>
    <col min="7604" max="7604" customWidth="1" width="11.42578125"/>
    <col min="7605" max="7605" customWidth="1" width="11.42578125"/>
    <col min="7606" max="7606" customWidth="1" width="11.42578125"/>
    <col min="7607" max="7607" customWidth="1" width="11.42578125"/>
    <col min="7608" max="7608" customWidth="1" width="11.42578125"/>
    <col min="7609" max="7609" customWidth="1" width="11.42578125"/>
    <col min="7610" max="7610" customWidth="1" width="11.42578125"/>
    <col min="7611" max="7611" customWidth="1" width="11.42578125"/>
    <col min="7612" max="7612" customWidth="1" width="11.42578125"/>
    <col min="7613" max="7613" customWidth="1" width="11.42578125"/>
    <col min="7614" max="7614" customWidth="1" width="11.42578125"/>
    <col min="7615" max="7615" customWidth="1" width="11.42578125"/>
    <col min="7616" max="7616" customWidth="1" width="11.42578125"/>
    <col min="7617" max="7617" customWidth="1" width="11.42578125"/>
    <col min="7618" max="7618" customWidth="1" width="11.42578125"/>
    <col min="7619" max="7619" customWidth="1" width="11.42578125"/>
    <col min="7620" max="7620" customWidth="1" width="11.42578125"/>
    <col min="7621" max="7621" customWidth="1" width="11.42578125"/>
    <col min="7622" max="7622" customWidth="1" width="11.42578125"/>
    <col min="7623" max="7623" customWidth="1" width="11.42578125"/>
    <col min="7624" max="7624" customWidth="1" width="11.42578125"/>
    <col min="7625" max="7625" customWidth="1" width="11.42578125"/>
    <col min="7626" max="7626" customWidth="1" width="11.42578125"/>
    <col min="7627" max="7627" customWidth="1" width="11.42578125"/>
    <col min="7628" max="7628" customWidth="1" width="11.42578125"/>
    <col min="7629" max="7629" customWidth="1" width="11.42578125"/>
    <col min="7630" max="7630" customWidth="1" width="11.42578125"/>
    <col min="7631" max="7631" customWidth="1" width="11.42578125"/>
    <col min="7632" max="7632" customWidth="1" width="11.42578125"/>
    <col min="7633" max="7633" customWidth="1" width="11.42578125"/>
    <col min="7634" max="7634" customWidth="1" width="11.42578125"/>
    <col min="7635" max="7635" customWidth="1" width="11.42578125"/>
    <col min="7636" max="7636" customWidth="1" width="11.42578125"/>
    <col min="7637" max="7637" customWidth="1" width="11.42578125"/>
    <col min="7638" max="7638" customWidth="1" width="11.42578125"/>
    <col min="7639" max="7639" customWidth="1" width="11.42578125"/>
    <col min="7640" max="7640" customWidth="1" width="11.42578125"/>
    <col min="7641" max="7641" customWidth="1" width="11.42578125"/>
    <col min="7642" max="7642" customWidth="1" width="11.42578125"/>
    <col min="7643" max="7643" customWidth="1" width="11.42578125"/>
    <col min="7644" max="7644" customWidth="1" width="11.42578125"/>
    <col min="7645" max="7645" customWidth="1" width="11.42578125"/>
    <col min="7646" max="7646" customWidth="1" width="11.42578125"/>
    <col min="7647" max="7647" customWidth="1" width="11.42578125"/>
    <col min="7648" max="7648" customWidth="1" width="11.42578125"/>
    <col min="7649" max="7649" customWidth="1" width="11.42578125"/>
    <col min="7650" max="7650" customWidth="1" width="11.42578125"/>
    <col min="7651" max="7651" customWidth="1" width="11.42578125"/>
    <col min="7652" max="7652" customWidth="1" width="11.42578125"/>
    <col min="7653" max="7653" customWidth="1" width="11.42578125"/>
    <col min="7654" max="7654" customWidth="1" width="11.42578125"/>
    <col min="7655" max="7655" customWidth="1" width="11.42578125"/>
    <col min="7656" max="7656" customWidth="1" width="11.42578125"/>
    <col min="7657" max="7657" customWidth="1" width="11.42578125"/>
    <col min="7658" max="7658" customWidth="1" width="11.42578125"/>
    <col min="7659" max="7659" customWidth="1" width="11.42578125"/>
    <col min="7660" max="7660" customWidth="1" width="11.42578125"/>
    <col min="7661" max="7661" customWidth="1" width="11.42578125"/>
    <col min="7662" max="7662" customWidth="1" width="11.42578125"/>
    <col min="7663" max="7663" customWidth="1" width="11.42578125"/>
    <col min="7664" max="7664" customWidth="1" width="11.42578125"/>
    <col min="7665" max="7665" customWidth="1" width="11.42578125"/>
    <col min="7666" max="7666" customWidth="1" width="11.42578125"/>
    <col min="7667" max="7667" customWidth="1" width="11.42578125"/>
    <col min="7668" max="7668" customWidth="1" width="11.42578125"/>
    <col min="7669" max="7669" customWidth="1" width="11.42578125"/>
    <col min="7670" max="7670" customWidth="1" width="11.42578125"/>
    <col min="7671" max="7671" customWidth="1" width="11.42578125"/>
    <col min="7672" max="7672" customWidth="1" width="11.42578125"/>
    <col min="7673" max="7673" customWidth="1" width="11.42578125"/>
    <col min="7674" max="7674" customWidth="1" width="11.42578125"/>
    <col min="7675" max="7675" customWidth="1" width="11.42578125"/>
    <col min="7676" max="7676" customWidth="1" width="11.42578125"/>
    <col min="7677" max="7677" customWidth="1" width="11.42578125"/>
    <col min="7678" max="7678" customWidth="1" width="11.42578125"/>
    <col min="7679" max="7679" customWidth="1" width="11.42578125"/>
    <col min="7680" max="7680" customWidth="1" width="11.42578125"/>
    <col min="7681" max="7681" customWidth="1" width="11.42578125"/>
    <col min="7682" max="7682" customWidth="1" width="11.42578125"/>
    <col min="7683" max="7683" customWidth="1" width="11.42578125"/>
    <col min="7684" max="7684" customWidth="1" width="11.42578125"/>
    <col min="7685" max="7685" customWidth="1" width="11.42578125"/>
    <col min="7686" max="7686" customWidth="1" width="11.42578125"/>
    <col min="7687" max="7687" customWidth="1" width="11.42578125"/>
    <col min="7688" max="7688" customWidth="1" width="11.42578125"/>
    <col min="7689" max="7689" customWidth="1" width="11.42578125"/>
    <col min="7690" max="7690" customWidth="1" width="11.42578125"/>
    <col min="7691" max="7691" customWidth="1" width="11.42578125"/>
    <col min="7692" max="7692" customWidth="1" width="11.42578125"/>
    <col min="7693" max="7693" customWidth="1" width="11.42578125"/>
    <col min="7694" max="7694" customWidth="1" width="11.42578125"/>
    <col min="7695" max="7695" customWidth="1" width="11.42578125"/>
    <col min="7696" max="7696" customWidth="1" width="11.42578125"/>
    <col min="7697" max="7697" customWidth="1" width="11.42578125"/>
    <col min="7698" max="7698" customWidth="1" width="11.42578125"/>
    <col min="7699" max="7699" customWidth="1" width="11.42578125"/>
    <col min="7700" max="7700" customWidth="1" width="11.42578125"/>
    <col min="7701" max="7701" customWidth="1" width="11.42578125"/>
    <col min="7702" max="7702" customWidth="1" width="11.42578125"/>
    <col min="7703" max="7703" customWidth="1" width="11.42578125"/>
    <col min="7704" max="7704" customWidth="1" width="11.42578125"/>
    <col min="7705" max="7705" customWidth="1" width="11.42578125"/>
    <col min="7706" max="7706" customWidth="1" width="11.42578125"/>
    <col min="7707" max="7707" customWidth="1" width="11.42578125"/>
    <col min="7708" max="7708" customWidth="1" width="11.42578125"/>
    <col min="7709" max="7709" customWidth="1" width="11.42578125"/>
    <col min="7710" max="7710" customWidth="1" width="11.42578125"/>
    <col min="7711" max="7711" customWidth="1" width="11.42578125"/>
    <col min="7712" max="7712" customWidth="1" width="11.42578125"/>
    <col min="7713" max="7713" customWidth="1" width="11.42578125"/>
    <col min="7714" max="7714" customWidth="1" width="11.42578125"/>
    <col min="7715" max="7715" customWidth="1" width="11.42578125"/>
    <col min="7716" max="7716" customWidth="1" width="11.42578125"/>
    <col min="7717" max="7717" customWidth="1" width="11.42578125"/>
    <col min="7718" max="7718" customWidth="1" width="11.42578125"/>
    <col min="7719" max="7719" customWidth="1" width="11.42578125"/>
    <col min="7720" max="7720" customWidth="1" width="11.42578125"/>
    <col min="7721" max="7721" customWidth="1" width="11.42578125"/>
    <col min="7722" max="7722" customWidth="1" width="11.42578125"/>
    <col min="7723" max="7723" customWidth="1" width="11.42578125"/>
    <col min="7724" max="7724" customWidth="1" width="11.42578125"/>
    <col min="7725" max="7725" customWidth="1" width="11.42578125"/>
    <col min="7726" max="7726" customWidth="1" width="11.42578125"/>
    <col min="7727" max="7727" customWidth="1" width="11.42578125"/>
    <col min="7728" max="7728" customWidth="1" width="11.42578125"/>
    <col min="7729" max="7729" customWidth="1" width="11.42578125"/>
    <col min="7730" max="7730" customWidth="1" width="11.42578125"/>
    <col min="7731" max="7731" customWidth="1" width="11.42578125"/>
    <col min="7732" max="7732" customWidth="1" width="11.42578125"/>
    <col min="7733" max="7733" customWidth="1" width="11.42578125"/>
    <col min="7734" max="7734" customWidth="1" width="11.42578125"/>
    <col min="7735" max="7735" customWidth="1" width="11.42578125"/>
    <col min="7736" max="7736" customWidth="1" width="11.42578125"/>
    <col min="7737" max="7737" customWidth="1" width="11.42578125"/>
    <col min="7738" max="7738" customWidth="1" width="11.42578125"/>
    <col min="7739" max="7739" customWidth="1" width="11.42578125"/>
    <col min="7740" max="7740" customWidth="1" width="11.42578125"/>
    <col min="7741" max="7741" customWidth="1" width="11.42578125"/>
    <col min="7742" max="7742" customWidth="1" width="11.42578125"/>
    <col min="7743" max="7743" customWidth="1" width="11.42578125"/>
    <col min="7744" max="7744" customWidth="1" width="11.42578125"/>
    <col min="7745" max="7745" customWidth="1" width="11.42578125"/>
    <col min="7746" max="7746" customWidth="1" width="11.42578125"/>
    <col min="7747" max="7747" customWidth="1" width="11.42578125"/>
    <col min="7748" max="7748" customWidth="1" width="11.42578125"/>
    <col min="7749" max="7749" customWidth="1" width="11.42578125"/>
    <col min="7750" max="7750" customWidth="1" width="11.42578125"/>
    <col min="7751" max="7751" customWidth="1" width="11.42578125"/>
    <col min="7752" max="7752" customWidth="1" width="11.42578125"/>
    <col min="7753" max="7753" customWidth="1" width="11.42578125"/>
    <col min="7754" max="7754" customWidth="1" width="11.42578125"/>
    <col min="7755" max="7755" customWidth="1" width="11.42578125"/>
    <col min="7756" max="7756" customWidth="1" width="11.42578125"/>
    <col min="7757" max="7757" customWidth="1" width="11.42578125"/>
    <col min="7758" max="7758" customWidth="1" width="11.42578125"/>
    <col min="7759" max="7759" customWidth="1" width="11.42578125"/>
    <col min="7760" max="7760" customWidth="1" width="11.42578125"/>
    <col min="7761" max="7761" customWidth="1" width="11.42578125"/>
    <col min="7762" max="7762" customWidth="1" width="11.42578125"/>
    <col min="7763" max="7763" customWidth="1" width="11.42578125"/>
    <col min="7764" max="7764" customWidth="1" width="11.42578125"/>
    <col min="7765" max="7765" customWidth="1" width="11.42578125"/>
    <col min="7766" max="7766" customWidth="1" width="11.42578125"/>
    <col min="7767" max="7767" customWidth="1" width="11.42578125"/>
    <col min="7768" max="7768" customWidth="1" width="11.42578125"/>
    <col min="7769" max="7769" customWidth="1" width="11.42578125"/>
    <col min="7770" max="7770" customWidth="1" width="11.42578125"/>
    <col min="7771" max="7771" customWidth="1" width="11.42578125"/>
    <col min="7772" max="7772" customWidth="1" width="11.42578125"/>
    <col min="7773" max="7773" customWidth="1" width="11.42578125"/>
    <col min="7774" max="7774" customWidth="1" width="11.42578125"/>
    <col min="7775" max="7775" customWidth="1" width="11.42578125"/>
    <col min="7776" max="7776" customWidth="1" width="11.42578125"/>
    <col min="7777" max="7777" customWidth="1" width="11.42578125"/>
    <col min="7778" max="7778" customWidth="1" width="11.42578125"/>
    <col min="7779" max="7779" customWidth="1" width="11.42578125"/>
    <col min="7780" max="7780" customWidth="1" width="11.42578125"/>
    <col min="7781" max="7781" customWidth="1" width="11.42578125"/>
    <col min="7782" max="7782" customWidth="1" width="11.42578125"/>
    <col min="7783" max="7783" customWidth="1" width="11.42578125"/>
    <col min="7784" max="7784" customWidth="1" width="11.42578125"/>
    <col min="7785" max="7785" customWidth="1" width="11.42578125"/>
    <col min="7786" max="7786" customWidth="1" width="11.42578125"/>
    <col min="7787" max="7787" customWidth="1" width="11.42578125"/>
    <col min="7788" max="7788" customWidth="1" width="11.42578125"/>
    <col min="7789" max="7789" customWidth="1" width="11.42578125"/>
    <col min="7790" max="7790" customWidth="1" width="11.42578125"/>
    <col min="7791" max="7791" customWidth="1" width="11.42578125"/>
    <col min="7792" max="7792" customWidth="1" width="11.42578125"/>
    <col min="7793" max="7793" customWidth="1" width="11.42578125"/>
    <col min="7794" max="7794" customWidth="1" width="11.42578125"/>
    <col min="7795" max="7795" customWidth="1" width="11.42578125"/>
    <col min="7796" max="7796" customWidth="1" width="11.42578125"/>
    <col min="7797" max="7797" customWidth="1" width="11.42578125"/>
    <col min="7798" max="7798" customWidth="1" width="11.42578125"/>
    <col min="7799" max="7799" customWidth="1" width="11.42578125"/>
    <col min="7800" max="7800" customWidth="1" width="11.42578125"/>
    <col min="7801" max="7801" customWidth="1" width="11.42578125"/>
    <col min="7802" max="7802" customWidth="1" width="11.42578125"/>
    <col min="7803" max="7803" customWidth="1" width="11.42578125"/>
    <col min="7804" max="7804" customWidth="1" width="11.42578125"/>
    <col min="7805" max="7805" customWidth="1" width="11.42578125"/>
    <col min="7806" max="7806" customWidth="1" width="11.42578125"/>
    <col min="7807" max="7807" customWidth="1" width="11.42578125"/>
    <col min="7808" max="7808" customWidth="1" width="11.42578125"/>
    <col min="7809" max="7809" customWidth="1" width="11.42578125"/>
    <col min="7810" max="7810" customWidth="1" width="11.42578125"/>
    <col min="7811" max="7811" customWidth="1" width="11.42578125"/>
    <col min="7812" max="7812" customWidth="1" width="11.42578125"/>
    <col min="7813" max="7813" customWidth="1" width="11.42578125"/>
    <col min="7814" max="7814" customWidth="1" width="11.42578125"/>
    <col min="7815" max="7815" customWidth="1" width="11.42578125"/>
    <col min="7816" max="7816" customWidth="1" width="11.42578125"/>
    <col min="7817" max="7817" customWidth="1" width="11.42578125"/>
    <col min="7818" max="7818" customWidth="1" width="11.42578125"/>
    <col min="7819" max="7819" customWidth="1" width="11.42578125"/>
    <col min="7820" max="7820" customWidth="1" width="11.42578125"/>
    <col min="7821" max="7821" customWidth="1" width="11.42578125"/>
    <col min="7822" max="7822" customWidth="1" width="11.42578125"/>
    <col min="7823" max="7823" customWidth="1" width="11.42578125"/>
    <col min="7824" max="7824" customWidth="1" width="11.42578125"/>
    <col min="7825" max="7825" customWidth="1" width="11.42578125"/>
    <col min="7826" max="7826" customWidth="1" width="11.42578125"/>
    <col min="7827" max="7827" customWidth="1" width="11.42578125"/>
    <col min="7828" max="7828" customWidth="1" width="11.42578125"/>
    <col min="7829" max="7829" customWidth="1" width="11.42578125"/>
    <col min="7830" max="7830" customWidth="1" width="11.42578125"/>
    <col min="7831" max="7831" customWidth="1" width="11.42578125"/>
    <col min="7832" max="7832" customWidth="1" width="11.42578125"/>
    <col min="7833" max="7833" customWidth="1" width="11.42578125"/>
    <col min="7834" max="7834" customWidth="1" width="11.42578125"/>
    <col min="7835" max="7835" customWidth="1" width="11.42578125"/>
    <col min="7836" max="7836" customWidth="1" width="11.42578125"/>
    <col min="7837" max="7837" customWidth="1" width="11.42578125"/>
    <col min="7838" max="7838" customWidth="1" width="11.42578125"/>
    <col min="7839" max="7839" customWidth="1" width="11.42578125"/>
    <col min="7840" max="7840" customWidth="1" width="11.42578125"/>
    <col min="7841" max="7841" customWidth="1" width="11.42578125"/>
    <col min="7842" max="7842" customWidth="1" width="11.42578125"/>
    <col min="7843" max="7843" customWidth="1" width="11.42578125"/>
    <col min="7844" max="7844" customWidth="1" width="11.42578125"/>
    <col min="7845" max="7845" customWidth="1" width="11.42578125"/>
    <col min="7846" max="7846" customWidth="1" width="11.42578125"/>
    <col min="7847" max="7847" customWidth="1" width="11.42578125"/>
    <col min="7848" max="7848" customWidth="1" width="11.42578125"/>
    <col min="7849" max="7849" customWidth="1" width="11.42578125"/>
    <col min="7850" max="7850" customWidth="1" width="11.42578125"/>
    <col min="7851" max="7851" customWidth="1" width="11.42578125"/>
    <col min="7852" max="7852" customWidth="1" width="11.42578125"/>
    <col min="7853" max="7853" customWidth="1" width="11.42578125"/>
    <col min="7854" max="7854" customWidth="1" width="11.42578125"/>
    <col min="7855" max="7855" customWidth="1" width="11.42578125"/>
    <col min="7856" max="7856" customWidth="1" width="11.42578125"/>
    <col min="7857" max="7857" customWidth="1" width="11.42578125"/>
    <col min="7858" max="7858" customWidth="1" width="11.42578125"/>
    <col min="7859" max="7859" customWidth="1" width="11.42578125"/>
    <col min="7860" max="7860" customWidth="1" width="11.42578125"/>
    <col min="7861" max="7861" customWidth="1" width="11.42578125"/>
    <col min="7862" max="7862" customWidth="1" width="11.42578125"/>
    <col min="7863" max="7863" customWidth="1" width="11.42578125"/>
    <col min="7864" max="7864" customWidth="1" width="11.42578125"/>
    <col min="7865" max="7865" customWidth="1" width="11.42578125"/>
    <col min="7866" max="7866" customWidth="1" width="11.42578125"/>
    <col min="7867" max="7867" customWidth="1" width="11.42578125"/>
    <col min="7868" max="7868" customWidth="1" width="11.42578125"/>
    <col min="7869" max="7869" customWidth="1" width="11.42578125"/>
    <col min="7870" max="7870" customWidth="1" width="11.42578125"/>
    <col min="7871" max="7871" customWidth="1" width="11.42578125"/>
    <col min="7872" max="7872" customWidth="1" width="11.42578125"/>
    <col min="7873" max="7873" customWidth="1" width="11.42578125"/>
    <col min="7874" max="7874" customWidth="1" width="11.42578125"/>
    <col min="7875" max="7875" customWidth="1" width="11.42578125"/>
    <col min="7876" max="7876" customWidth="1" width="11.42578125"/>
    <col min="7877" max="7877" customWidth="1" width="11.42578125"/>
    <col min="7878" max="7878" customWidth="1" width="11.42578125"/>
    <col min="7879" max="7879" customWidth="1" width="11.42578125"/>
    <col min="7880" max="7880" customWidth="1" width="11.42578125"/>
    <col min="7881" max="7881" customWidth="1" width="11.42578125"/>
    <col min="7882" max="7882" customWidth="1" width="11.42578125"/>
    <col min="7883" max="7883" customWidth="1" width="11.42578125"/>
    <col min="7884" max="7884" customWidth="1" width="11.42578125"/>
    <col min="7885" max="7885" customWidth="1" width="11.42578125"/>
    <col min="7886" max="7886" customWidth="1" width="11.42578125"/>
    <col min="7887" max="7887" customWidth="1" width="11.42578125"/>
    <col min="7888" max="7888" customWidth="1" width="11.42578125"/>
    <col min="7889" max="7889" customWidth="1" width="11.42578125"/>
    <col min="7890" max="7890" customWidth="1" width="11.42578125"/>
    <col min="7891" max="7891" customWidth="1" width="11.42578125"/>
    <col min="7892" max="7892" customWidth="1" width="11.42578125"/>
    <col min="7893" max="7893" customWidth="1" width="11.42578125"/>
    <col min="7894" max="7894" customWidth="1" width="11.42578125"/>
    <col min="7895" max="7895" customWidth="1" width="11.42578125"/>
    <col min="7896" max="7896" customWidth="1" width="11.42578125"/>
    <col min="7897" max="7897" customWidth="1" width="11.42578125"/>
    <col min="7898" max="7898" customWidth="1" width="11.42578125"/>
    <col min="7899" max="7899" customWidth="1" width="11.42578125"/>
    <col min="7900" max="7900" customWidth="1" width="11.42578125"/>
    <col min="7901" max="7901" customWidth="1" width="11.42578125"/>
    <col min="7902" max="7902" customWidth="1" width="11.42578125"/>
    <col min="7903" max="7903" customWidth="1" width="11.42578125"/>
    <col min="7904" max="7904" customWidth="1" width="11.42578125"/>
    <col min="7905" max="7905" customWidth="1" width="11.42578125"/>
    <col min="7906" max="7906" customWidth="1" width="11.42578125"/>
    <col min="7907" max="7907" customWidth="1" width="11.42578125"/>
    <col min="7908" max="7908" customWidth="1" width="11.42578125"/>
    <col min="7909" max="7909" customWidth="1" width="11.42578125"/>
    <col min="7910" max="7910" customWidth="1" width="11.42578125"/>
    <col min="7911" max="7911" customWidth="1" width="11.42578125"/>
    <col min="7912" max="7912" customWidth="1" width="11.42578125"/>
    <col min="7913" max="7913" customWidth="1" width="11.42578125"/>
    <col min="7914" max="7914" customWidth="1" width="11.42578125"/>
    <col min="7915" max="7915" customWidth="1" width="11.42578125"/>
    <col min="7916" max="7916" customWidth="1" width="11.42578125"/>
    <col min="7917" max="7917" customWidth="1" width="11.42578125"/>
    <col min="7918" max="7918" customWidth="1" width="11.42578125"/>
    <col min="7919" max="7919" customWidth="1" width="11.42578125"/>
    <col min="7920" max="7920" customWidth="1" width="11.42578125"/>
    <col min="7921" max="7921" customWidth="1" width="11.42578125"/>
    <col min="7922" max="7922" customWidth="1" width="11.42578125"/>
    <col min="7923" max="7923" customWidth="1" width="11.42578125"/>
    <col min="7924" max="7924" customWidth="1" width="11.42578125"/>
    <col min="7925" max="7925" customWidth="1" width="11.42578125"/>
    <col min="7926" max="7926" customWidth="1" width="11.42578125"/>
    <col min="7927" max="7927" customWidth="1" width="11.42578125"/>
    <col min="7928" max="7928" customWidth="1" width="11.42578125"/>
    <col min="7929" max="7929" customWidth="1" width="11.42578125"/>
    <col min="7930" max="7930" customWidth="1" width="11.42578125"/>
    <col min="7931" max="7931" customWidth="1" width="11.42578125"/>
    <col min="7932" max="7932" customWidth="1" width="11.42578125"/>
    <col min="7933" max="7933" customWidth="1" width="11.42578125"/>
    <col min="7934" max="7934" customWidth="1" width="11.42578125"/>
    <col min="7935" max="7935" customWidth="1" width="11.42578125"/>
    <col min="7936" max="7936" customWidth="1" width="11.42578125"/>
    <col min="7937" max="7937" customWidth="1" width="11.42578125"/>
    <col min="7938" max="7938" customWidth="1" width="11.42578125"/>
    <col min="7939" max="7939" customWidth="1" width="11.42578125"/>
    <col min="7940" max="7940" customWidth="1" width="11.42578125"/>
    <col min="7941" max="7941" customWidth="1" width="11.42578125"/>
    <col min="7942" max="7942" customWidth="1" width="11.42578125"/>
    <col min="7943" max="7943" customWidth="1" width="11.42578125"/>
    <col min="7944" max="7944" customWidth="1" width="11.42578125"/>
    <col min="7945" max="7945" customWidth="1" width="11.42578125"/>
    <col min="7946" max="7946" customWidth="1" width="11.42578125"/>
    <col min="7947" max="7947" customWidth="1" width="11.42578125"/>
    <col min="7948" max="7948" customWidth="1" width="11.42578125"/>
    <col min="7949" max="7949" customWidth="1" width="11.42578125"/>
    <col min="7950" max="7950" customWidth="1" width="11.42578125"/>
    <col min="7951" max="7951" customWidth="1" width="11.42578125"/>
    <col min="7952" max="7952" customWidth="1" width="11.42578125"/>
    <col min="7953" max="7953" customWidth="1" width="11.42578125"/>
    <col min="7954" max="7954" customWidth="1" width="11.42578125"/>
    <col min="7955" max="7955" customWidth="1" width="11.42578125"/>
    <col min="7956" max="7956" customWidth="1" width="11.42578125"/>
    <col min="7957" max="7957" customWidth="1" width="11.42578125"/>
    <col min="7958" max="7958" customWidth="1" width="11.42578125"/>
    <col min="7959" max="7959" customWidth="1" width="11.42578125"/>
    <col min="7960" max="7960" customWidth="1" width="11.42578125"/>
    <col min="7961" max="7961" customWidth="1" width="11.42578125"/>
    <col min="7962" max="7962" customWidth="1" width="11.42578125"/>
    <col min="7963" max="7963" customWidth="1" width="11.42578125"/>
    <col min="7964" max="7964" customWidth="1" width="11.42578125"/>
    <col min="7965" max="7965" customWidth="1" width="11.42578125"/>
    <col min="7966" max="7966" customWidth="1" width="11.42578125"/>
    <col min="7967" max="7967" customWidth="1" width="11.42578125"/>
    <col min="7968" max="7968" customWidth="1" width="11.42578125"/>
    <col min="7969" max="7969" customWidth="1" width="11.42578125"/>
    <col min="7970" max="7970" customWidth="1" width="11.42578125"/>
    <col min="7971" max="7971" customWidth="1" width="11.42578125"/>
    <col min="7972" max="7972" customWidth="1" width="11.42578125"/>
    <col min="7973" max="7973" customWidth="1" width="11.42578125"/>
    <col min="7974" max="7974" customWidth="1" width="11.42578125"/>
    <col min="7975" max="7975" customWidth="1" width="11.42578125"/>
    <col min="7976" max="7976" customWidth="1" width="11.42578125"/>
    <col min="7977" max="7977" customWidth="1" width="11.42578125"/>
    <col min="7978" max="7978" customWidth="1" width="11.42578125"/>
    <col min="7979" max="7979" customWidth="1" width="11.42578125"/>
    <col min="7980" max="7980" customWidth="1" width="11.42578125"/>
    <col min="7981" max="7981" customWidth="1" width="11.42578125"/>
    <col min="7982" max="7982" customWidth="1" width="11.42578125"/>
    <col min="7983" max="7983" customWidth="1" width="11.42578125"/>
    <col min="7984" max="7984" customWidth="1" width="11.42578125"/>
    <col min="7985" max="7985" customWidth="1" width="11.42578125"/>
    <col min="7986" max="7986" customWidth="1" width="11.42578125"/>
    <col min="7987" max="7987" customWidth="1" width="11.42578125"/>
    <col min="7988" max="7988" customWidth="1" width="11.42578125"/>
    <col min="7989" max="7989" customWidth="1" width="11.42578125"/>
    <col min="7990" max="7990" customWidth="1" width="11.42578125"/>
    <col min="7991" max="7991" customWidth="1" width="11.42578125"/>
    <col min="7992" max="7992" customWidth="1" width="11.42578125"/>
    <col min="7993" max="7993" customWidth="1" width="11.42578125"/>
    <col min="7994" max="7994" customWidth="1" width="11.42578125"/>
    <col min="7995" max="7995" customWidth="1" width="11.42578125"/>
    <col min="7996" max="7996" customWidth="1" width="11.42578125"/>
    <col min="7997" max="7997" customWidth="1" width="11.42578125"/>
    <col min="7998" max="7998" customWidth="1" width="11.42578125"/>
    <col min="7999" max="7999" customWidth="1" width="11.42578125"/>
    <col min="8000" max="8000" customWidth="1" width="11.42578125"/>
    <col min="8001" max="8001" customWidth="1" width="11.42578125"/>
    <col min="8002" max="8002" customWidth="1" width="11.42578125"/>
    <col min="8003" max="8003" customWidth="1" width="11.42578125"/>
    <col min="8004" max="8004" customWidth="1" width="11.42578125"/>
    <col min="8005" max="8005" customWidth="1" width="11.42578125"/>
    <col min="8006" max="8006" customWidth="1" width="11.42578125"/>
    <col min="8007" max="8007" customWidth="1" width="11.42578125"/>
    <col min="8008" max="8008" customWidth="1" width="11.42578125"/>
    <col min="8009" max="8009" customWidth="1" width="11.42578125"/>
    <col min="8010" max="8010" customWidth="1" width="11.42578125"/>
    <col min="8011" max="8011" customWidth="1" width="11.42578125"/>
    <col min="8012" max="8012" customWidth="1" width="11.42578125"/>
    <col min="8013" max="8013" customWidth="1" width="11.42578125"/>
    <col min="8014" max="8014" customWidth="1" width="11.42578125"/>
    <col min="8015" max="8015" customWidth="1" width="11.42578125"/>
    <col min="8016" max="8016" customWidth="1" width="11.42578125"/>
    <col min="8017" max="8017" customWidth="1" width="11.42578125"/>
    <col min="8018" max="8018" customWidth="1" width="11.42578125"/>
    <col min="8019" max="8019" customWidth="1" width="11.42578125"/>
    <col min="8020" max="8020" customWidth="1" width="11.42578125"/>
    <col min="8021" max="8021" customWidth="1" width="11.42578125"/>
    <col min="8022" max="8022" customWidth="1" width="11.42578125"/>
    <col min="8023" max="8023" customWidth="1" width="11.42578125"/>
    <col min="8024" max="8024" customWidth="1" width="11.42578125"/>
    <col min="8025" max="8025" customWidth="1" width="11.42578125"/>
    <col min="8026" max="8026" customWidth="1" width="11.42578125"/>
    <col min="8027" max="8027" customWidth="1" width="11.42578125"/>
    <col min="8028" max="8028" customWidth="1" width="11.42578125"/>
    <col min="8029" max="8029" customWidth="1" width="11.42578125"/>
    <col min="8030" max="8030" customWidth="1" width="11.42578125"/>
    <col min="8031" max="8031" customWidth="1" width="11.42578125"/>
    <col min="8032" max="8032" customWidth="1" width="11.42578125"/>
    <col min="8033" max="8033" customWidth="1" width="11.42578125"/>
    <col min="8034" max="8034" customWidth="1" width="11.42578125"/>
    <col min="8035" max="8035" customWidth="1" width="11.42578125"/>
    <col min="8036" max="8036" customWidth="1" width="11.42578125"/>
    <col min="8037" max="8037" customWidth="1" width="11.42578125"/>
    <col min="8038" max="8038" customWidth="1" width="11.42578125"/>
    <col min="8039" max="8039" customWidth="1" width="11.42578125"/>
    <col min="8040" max="8040" customWidth="1" width="11.42578125"/>
    <col min="8041" max="8041" customWidth="1" width="11.42578125"/>
    <col min="8042" max="8042" customWidth="1" width="11.42578125"/>
    <col min="8043" max="8043" customWidth="1" width="11.42578125"/>
    <col min="8044" max="8044" customWidth="1" width="11.42578125"/>
    <col min="8045" max="8045" customWidth="1" width="11.42578125"/>
    <col min="8046" max="8046" customWidth="1" width="11.42578125"/>
    <col min="8047" max="8047" customWidth="1" width="11.42578125"/>
    <col min="8048" max="8048" customWidth="1" width="11.42578125"/>
    <col min="8049" max="8049" customWidth="1" width="11.42578125"/>
    <col min="8050" max="8050" customWidth="1" width="11.42578125"/>
    <col min="8051" max="8051" customWidth="1" width="11.42578125"/>
    <col min="8052" max="8052" customWidth="1" width="11.42578125"/>
    <col min="8053" max="8053" customWidth="1" width="11.42578125"/>
    <col min="8054" max="8054" customWidth="1" width="11.42578125"/>
    <col min="8055" max="8055" customWidth="1" width="11.42578125"/>
    <col min="8056" max="8056" customWidth="1" width="11.42578125"/>
    <col min="8057" max="8057" customWidth="1" width="11.42578125"/>
    <col min="8058" max="8058" customWidth="1" width="11.42578125"/>
    <col min="8059" max="8059" customWidth="1" width="11.42578125"/>
    <col min="8060" max="8060" customWidth="1" width="11.42578125"/>
    <col min="8061" max="8061" customWidth="1" width="11.42578125"/>
    <col min="8062" max="8062" customWidth="1" width="11.42578125"/>
    <col min="8063" max="8063" customWidth="1" width="11.42578125"/>
    <col min="8064" max="8064" customWidth="1" width="11.42578125"/>
    <col min="8065" max="8065" customWidth="1" width="11.42578125"/>
    <col min="8066" max="8066" customWidth="1" width="11.42578125"/>
    <col min="8067" max="8067" customWidth="1" width="11.42578125"/>
    <col min="8068" max="8068" customWidth="1" width="11.42578125"/>
    <col min="8069" max="8069" customWidth="1" width="11.42578125"/>
    <col min="8070" max="8070" customWidth="1" width="11.42578125"/>
    <col min="8071" max="8071" customWidth="1" width="11.42578125"/>
    <col min="8072" max="8072" customWidth="1" width="11.42578125"/>
    <col min="8073" max="8073" customWidth="1" width="11.42578125"/>
    <col min="8074" max="8074" customWidth="1" width="11.42578125"/>
    <col min="8075" max="8075" customWidth="1" width="11.42578125"/>
    <col min="8076" max="8076" customWidth="1" width="11.42578125"/>
    <col min="8077" max="8077" customWidth="1" width="11.42578125"/>
    <col min="8078" max="8078" customWidth="1" width="11.42578125"/>
    <col min="8079" max="8079" customWidth="1" width="11.42578125"/>
    <col min="8080" max="8080" customWidth="1" width="11.42578125"/>
    <col min="8081" max="8081" customWidth="1" width="11.42578125"/>
    <col min="8082" max="8082" customWidth="1" width="11.42578125"/>
    <col min="8083" max="8083" customWidth="1" width="11.42578125"/>
    <col min="8084" max="8084" customWidth="1" width="11.42578125"/>
    <col min="8085" max="8085" customWidth="1" width="11.42578125"/>
    <col min="8086" max="8086" customWidth="1" width="11.42578125"/>
    <col min="8087" max="8087" customWidth="1" width="11.42578125"/>
    <col min="8088" max="8088" customWidth="1" width="11.42578125"/>
    <col min="8089" max="8089" customWidth="1" width="11.42578125"/>
    <col min="8090" max="8090" customWidth="1" width="11.42578125"/>
    <col min="8091" max="8091" customWidth="1" width="11.42578125"/>
    <col min="8092" max="8092" customWidth="1" width="11.42578125"/>
    <col min="8093" max="8093" customWidth="1" width="11.42578125"/>
    <col min="8094" max="8094" customWidth="1" width="11.42578125"/>
    <col min="8095" max="8095" customWidth="1" width="11.42578125"/>
    <col min="8096" max="8096" customWidth="1" width="11.42578125"/>
    <col min="8097" max="8097" customWidth="1" width="11.42578125"/>
    <col min="8098" max="8098" customWidth="1" width="11.42578125"/>
    <col min="8099" max="8099" customWidth="1" width="11.42578125"/>
    <col min="8100" max="8100" customWidth="1" width="11.42578125"/>
    <col min="8101" max="8101" customWidth="1" width="11.42578125"/>
    <col min="8102" max="8102" customWidth="1" width="11.42578125"/>
    <col min="8103" max="8103" customWidth="1" width="11.42578125"/>
    <col min="8104" max="8104" customWidth="1" width="11.42578125"/>
    <col min="8105" max="8105" customWidth="1" width="11.42578125"/>
    <col min="8106" max="8106" customWidth="1" width="11.42578125"/>
    <col min="8107" max="8107" customWidth="1" width="11.42578125"/>
    <col min="8108" max="8108" customWidth="1" width="11.42578125"/>
    <col min="8109" max="8109" customWidth="1" width="11.42578125"/>
    <col min="8110" max="8110" customWidth="1" width="11.42578125"/>
    <col min="8111" max="8111" customWidth="1" width="11.42578125"/>
    <col min="8112" max="8112" customWidth="1" width="11.42578125"/>
    <col min="8113" max="8113" customWidth="1" width="11.42578125"/>
    <col min="8114" max="8114" customWidth="1" width="11.42578125"/>
    <col min="8115" max="8115" customWidth="1" width="11.42578125"/>
    <col min="8116" max="8116" customWidth="1" width="11.42578125"/>
    <col min="8117" max="8117" customWidth="1" width="11.42578125"/>
    <col min="8118" max="8118" customWidth="1" width="11.42578125"/>
    <col min="8119" max="8119" customWidth="1" width="11.42578125"/>
    <col min="8120" max="8120" customWidth="1" width="11.42578125"/>
    <col min="8121" max="8121" customWidth="1" width="11.42578125"/>
    <col min="8122" max="8122" customWidth="1" width="11.42578125"/>
    <col min="8123" max="8123" customWidth="1" width="11.42578125"/>
    <col min="8124" max="8124" customWidth="1" width="11.42578125"/>
    <col min="8125" max="8125" customWidth="1" width="11.42578125"/>
    <col min="8126" max="8126" customWidth="1" width="11.42578125"/>
    <col min="8127" max="8127" customWidth="1" width="11.42578125"/>
    <col min="8128" max="8128" customWidth="1" width="11.42578125"/>
    <col min="8129" max="8129" customWidth="1" width="11.42578125"/>
    <col min="8130" max="8130" customWidth="1" width="11.42578125"/>
    <col min="8131" max="8131" customWidth="1" width="11.42578125"/>
    <col min="8132" max="8132" customWidth="1" width="11.42578125"/>
    <col min="8133" max="8133" customWidth="1" width="11.42578125"/>
    <col min="8134" max="8134" customWidth="1" width="11.42578125"/>
    <col min="8135" max="8135" customWidth="1" width="11.42578125"/>
    <col min="8136" max="8136" customWidth="1" width="11.42578125"/>
    <col min="8137" max="8137" customWidth="1" width="11.42578125"/>
    <col min="8138" max="8138" customWidth="1" width="11.42578125"/>
    <col min="8139" max="8139" customWidth="1" width="11.42578125"/>
    <col min="8140" max="8140" customWidth="1" width="11.42578125"/>
    <col min="8141" max="8141" customWidth="1" width="11.42578125"/>
    <col min="8142" max="8142" customWidth="1" width="11.42578125"/>
    <col min="8143" max="8143" customWidth="1" width="11.42578125"/>
    <col min="8144" max="8144" customWidth="1" width="11.42578125"/>
    <col min="8145" max="8145" customWidth="1" width="11.42578125"/>
    <col min="8146" max="8146" customWidth="1" width="11.42578125"/>
    <col min="8147" max="8147" customWidth="1" width="11.42578125"/>
    <col min="8148" max="8148" customWidth="1" width="11.42578125"/>
    <col min="8149" max="8149" customWidth="1" width="11.42578125"/>
    <col min="8150" max="8150" customWidth="1" width="11.42578125"/>
    <col min="8151" max="8151" customWidth="1" width="11.42578125"/>
    <col min="8152" max="8152" customWidth="1" width="11.42578125"/>
    <col min="8153" max="8153" customWidth="1" width="11.42578125"/>
    <col min="8154" max="8154" customWidth="1" width="11.42578125"/>
    <col min="8155" max="8155" customWidth="1" width="11.42578125"/>
    <col min="8156" max="8156" customWidth="1" width="11.42578125"/>
    <col min="8157" max="8157" customWidth="1" width="11.42578125"/>
    <col min="8158" max="8158" customWidth="1" width="11.42578125"/>
    <col min="8159" max="8159" customWidth="1" width="11.42578125"/>
    <col min="8160" max="8160" customWidth="1" width="11.42578125"/>
    <col min="8161" max="8161" customWidth="1" width="11.42578125"/>
    <col min="8162" max="8162" customWidth="1" width="11.42578125"/>
    <col min="8163" max="8163" customWidth="1" width="11.42578125"/>
    <col min="8164" max="8164" customWidth="1" width="11.42578125"/>
    <col min="8165" max="8165" customWidth="1" width="11.42578125"/>
    <col min="8166" max="8166" customWidth="1" width="11.42578125"/>
    <col min="8167" max="8167" customWidth="1" width="11.42578125"/>
    <col min="8168" max="8168" customWidth="1" width="11.42578125"/>
    <col min="8169" max="8169" customWidth="1" width="11.42578125"/>
    <col min="8170" max="8170" customWidth="1" width="11.42578125"/>
    <col min="8171" max="8171" customWidth="1" width="11.42578125"/>
    <col min="8172" max="8172" customWidth="1" width="11.42578125"/>
    <col min="8173" max="8173" customWidth="1" width="11.42578125"/>
    <col min="8174" max="8174" customWidth="1" width="11.42578125"/>
    <col min="8175" max="8175" customWidth="1" width="11.42578125"/>
    <col min="8176" max="8176" customWidth="1" width="11.42578125"/>
    <col min="8177" max="8177" customWidth="1" width="11.42578125"/>
    <col min="8178" max="8178" customWidth="1" width="11.42578125"/>
    <col min="8179" max="8179" customWidth="1" width="11.42578125"/>
    <col min="8180" max="8180" customWidth="1" width="11.42578125"/>
    <col min="8181" max="8181" customWidth="1" width="11.42578125"/>
    <col min="8182" max="8182" customWidth="1" width="11.42578125"/>
    <col min="8183" max="8183" customWidth="1" width="11.42578125"/>
    <col min="8184" max="8184" customWidth="1" width="11.42578125"/>
    <col min="8185" max="8185" customWidth="1" width="11.42578125"/>
    <col min="8186" max="8186" customWidth="1" width="11.42578125"/>
    <col min="8187" max="8187" customWidth="1" width="11.42578125"/>
    <col min="8188" max="8188" customWidth="1" width="11.42578125"/>
    <col min="8189" max="8189" customWidth="1" width="11.42578125"/>
    <col min="8190" max="8190" customWidth="1" width="11.42578125"/>
    <col min="8191" max="8191" customWidth="1" width="11.42578125"/>
    <col min="8192" max="8192" customWidth="1" width="11.42578125"/>
    <col min="8193" max="8193" customWidth="1" width="11.42578125"/>
    <col min="8194" max="8194" customWidth="1" width="11.42578125"/>
    <col min="8195" max="8195" customWidth="1" width="11.42578125"/>
    <col min="8196" max="8196" customWidth="1" width="11.42578125"/>
    <col min="8197" max="8197" customWidth="1" width="11.42578125"/>
    <col min="8198" max="8198" customWidth="1" width="11.42578125"/>
    <col min="8199" max="8199" customWidth="1" width="11.42578125"/>
    <col min="8200" max="8200" customWidth="1" width="11.42578125"/>
    <col min="8201" max="8201" customWidth="1" width="11.42578125"/>
    <col min="8202" max="8202" customWidth="1" width="11.42578125"/>
    <col min="8203" max="8203" customWidth="1" width="11.42578125"/>
    <col min="8204" max="8204" customWidth="1" width="11.42578125"/>
    <col min="8205" max="8205" customWidth="1" width="11.42578125"/>
    <col min="8206" max="8206" customWidth="1" width="11.42578125"/>
    <col min="8207" max="8207" customWidth="1" width="11.42578125"/>
    <col min="8208" max="8208" customWidth="1" width="11.42578125"/>
    <col min="8209" max="8209" customWidth="1" width="11.42578125"/>
    <col min="8210" max="8210" customWidth="1" width="11.42578125"/>
    <col min="8211" max="8211" customWidth="1" width="11.42578125"/>
    <col min="8212" max="8212" customWidth="1" width="11.42578125"/>
    <col min="8213" max="8213" customWidth="1" width="11.42578125"/>
    <col min="8214" max="8214" customWidth="1" width="11.42578125"/>
    <col min="8215" max="8215" customWidth="1" width="11.42578125"/>
    <col min="8216" max="8216" customWidth="1" width="11.42578125"/>
    <col min="8217" max="8217" customWidth="1" width="11.42578125"/>
    <col min="8218" max="8218" customWidth="1" width="11.42578125"/>
    <col min="8219" max="8219" customWidth="1" width="11.42578125"/>
    <col min="8220" max="8220" customWidth="1" width="11.42578125"/>
    <col min="8221" max="8221" customWidth="1" width="11.42578125"/>
    <col min="8222" max="8222" customWidth="1" width="11.42578125"/>
    <col min="8223" max="8223" customWidth="1" width="11.42578125"/>
    <col min="8224" max="8224" customWidth="1" width="11.42578125"/>
    <col min="8225" max="8225" customWidth="1" width="11.42578125"/>
    <col min="8226" max="8226" customWidth="1" width="11.42578125"/>
    <col min="8227" max="8227" customWidth="1" width="11.42578125"/>
    <col min="8228" max="8228" customWidth="1" width="11.42578125"/>
    <col min="8229" max="8229" customWidth="1" width="11.42578125"/>
    <col min="8230" max="8230" customWidth="1" width="11.42578125"/>
    <col min="8231" max="8231" customWidth="1" width="11.42578125"/>
    <col min="8232" max="8232" customWidth="1" width="11.42578125"/>
    <col min="8233" max="8233" customWidth="1" width="11.42578125"/>
    <col min="8234" max="8234" customWidth="1" width="11.42578125"/>
    <col min="8235" max="8235" customWidth="1" width="11.42578125"/>
    <col min="8236" max="8236" customWidth="1" width="11.42578125"/>
    <col min="8237" max="8237" customWidth="1" width="11.42578125"/>
    <col min="8238" max="8238" customWidth="1" width="11.42578125"/>
    <col min="8239" max="8239" customWidth="1" width="11.42578125"/>
    <col min="8240" max="8240" customWidth="1" width="11.42578125"/>
    <col min="8241" max="8241" customWidth="1" width="11.42578125"/>
    <col min="8242" max="8242" customWidth="1" width="11.42578125"/>
    <col min="8243" max="8243" customWidth="1" width="11.42578125"/>
    <col min="8244" max="8244" customWidth="1" width="11.42578125"/>
    <col min="8245" max="8245" customWidth="1" width="11.42578125"/>
    <col min="8246" max="8246" customWidth="1" width="11.42578125"/>
    <col min="8247" max="8247" customWidth="1" width="11.42578125"/>
    <col min="8248" max="8248" customWidth="1" width="11.42578125"/>
    <col min="8249" max="8249" customWidth="1" width="11.42578125"/>
    <col min="8250" max="8250" customWidth="1" width="11.42578125"/>
    <col min="8251" max="8251" customWidth="1" width="11.42578125"/>
    <col min="8252" max="8252" customWidth="1" width="11.42578125"/>
    <col min="8253" max="8253" customWidth="1" width="11.42578125"/>
    <col min="8254" max="8254" customWidth="1" width="11.42578125"/>
    <col min="8255" max="8255" customWidth="1" width="11.42578125"/>
    <col min="8256" max="8256" customWidth="1" width="11.42578125"/>
    <col min="8257" max="8257" customWidth="1" width="11.42578125"/>
    <col min="8258" max="8258" customWidth="1" width="11.42578125"/>
    <col min="8259" max="8259" customWidth="1" width="11.42578125"/>
    <col min="8260" max="8260" customWidth="1" width="11.42578125"/>
    <col min="8261" max="8261" customWidth="1" width="11.42578125"/>
    <col min="8262" max="8262" customWidth="1" width="11.42578125"/>
    <col min="8263" max="8263" customWidth="1" width="11.42578125"/>
    <col min="8264" max="8264" customWidth="1" width="11.42578125"/>
    <col min="8265" max="8265" customWidth="1" width="11.42578125"/>
    <col min="8266" max="8266" customWidth="1" width="11.42578125"/>
    <col min="8267" max="8267" customWidth="1" width="11.42578125"/>
    <col min="8268" max="8268" customWidth="1" width="11.42578125"/>
    <col min="8269" max="8269" customWidth="1" width="11.42578125"/>
    <col min="8270" max="8270" customWidth="1" width="11.42578125"/>
    <col min="8271" max="8271" customWidth="1" width="11.42578125"/>
    <col min="8272" max="8272" customWidth="1" width="11.42578125"/>
    <col min="8273" max="8273" customWidth="1" width="11.42578125"/>
    <col min="8274" max="8274" customWidth="1" width="11.42578125"/>
    <col min="8275" max="8275" customWidth="1" width="11.42578125"/>
    <col min="8276" max="8276" customWidth="1" width="11.42578125"/>
    <col min="8277" max="8277" customWidth="1" width="11.42578125"/>
    <col min="8278" max="8278" customWidth="1" width="11.42578125"/>
    <col min="8279" max="8279" customWidth="1" width="11.42578125"/>
    <col min="8280" max="8280" customWidth="1" width="11.42578125"/>
    <col min="8281" max="8281" customWidth="1" width="11.42578125"/>
    <col min="8282" max="8282" customWidth="1" width="11.42578125"/>
    <col min="8283" max="8283" customWidth="1" width="11.42578125"/>
    <col min="8284" max="8284" customWidth="1" width="11.42578125"/>
    <col min="8285" max="8285" customWidth="1" width="11.42578125"/>
    <col min="8286" max="8286" customWidth="1" width="11.42578125"/>
    <col min="8287" max="8287" customWidth="1" width="11.42578125"/>
    <col min="8288" max="8288" customWidth="1" width="11.42578125"/>
    <col min="8289" max="8289" customWidth="1" width="11.42578125"/>
    <col min="8290" max="8290" customWidth="1" width="11.42578125"/>
    <col min="8291" max="8291" customWidth="1" width="11.42578125"/>
    <col min="8292" max="8292" customWidth="1" width="11.42578125"/>
    <col min="8293" max="8293" customWidth="1" width="11.42578125"/>
    <col min="8294" max="8294" customWidth="1" width="11.42578125"/>
    <col min="8295" max="8295" customWidth="1" width="11.42578125"/>
    <col min="8296" max="8296" customWidth="1" width="11.42578125"/>
    <col min="8297" max="8297" customWidth="1" width="11.42578125"/>
    <col min="8298" max="8298" customWidth="1" width="11.42578125"/>
    <col min="8299" max="8299" customWidth="1" width="11.42578125"/>
    <col min="8300" max="8300" customWidth="1" width="11.42578125"/>
    <col min="8301" max="8301" customWidth="1" width="11.42578125"/>
    <col min="8302" max="8302" customWidth="1" width="11.42578125"/>
    <col min="8303" max="8303" customWidth="1" width="11.42578125"/>
    <col min="8304" max="8304" customWidth="1" width="11.42578125"/>
    <col min="8305" max="8305" customWidth="1" width="11.42578125"/>
    <col min="8306" max="8306" customWidth="1" width="11.42578125"/>
    <col min="8307" max="8307" customWidth="1" width="11.42578125"/>
    <col min="8308" max="8308" customWidth="1" width="11.42578125"/>
    <col min="8309" max="8309" customWidth="1" width="11.42578125"/>
    <col min="8310" max="8310" customWidth="1" width="11.42578125"/>
    <col min="8311" max="8311" customWidth="1" width="11.42578125"/>
    <col min="8312" max="8312" customWidth="1" width="11.42578125"/>
    <col min="8313" max="8313" customWidth="1" width="11.42578125"/>
    <col min="8314" max="8314" customWidth="1" width="11.42578125"/>
    <col min="8315" max="8315" customWidth="1" width="11.42578125"/>
    <col min="8316" max="8316" customWidth="1" width="11.42578125"/>
    <col min="8317" max="8317" customWidth="1" width="11.42578125"/>
    <col min="8318" max="8318" customWidth="1" width="11.42578125"/>
    <col min="8319" max="8319" customWidth="1" width="11.42578125"/>
    <col min="8320" max="8320" customWidth="1" width="11.42578125"/>
    <col min="8321" max="8321" customWidth="1" width="11.42578125"/>
    <col min="8322" max="8322" customWidth="1" width="11.42578125"/>
    <col min="8323" max="8323" customWidth="1" width="11.42578125"/>
    <col min="8324" max="8324" customWidth="1" width="11.42578125"/>
    <col min="8325" max="8325" customWidth="1" width="11.42578125"/>
    <col min="8326" max="8326" customWidth="1" width="11.42578125"/>
    <col min="8327" max="8327" customWidth="1" width="11.42578125"/>
    <col min="8328" max="8328" customWidth="1" width="11.42578125"/>
    <col min="8329" max="8329" customWidth="1" width="11.42578125"/>
    <col min="8330" max="8330" customWidth="1" width="11.42578125"/>
    <col min="8331" max="8331" customWidth="1" width="11.42578125"/>
    <col min="8332" max="8332" customWidth="1" width="11.42578125"/>
    <col min="8333" max="8333" customWidth="1" width="11.42578125"/>
    <col min="8334" max="8334" customWidth="1" width="11.42578125"/>
    <col min="8335" max="8335" customWidth="1" width="11.42578125"/>
    <col min="8336" max="8336" customWidth="1" width="11.42578125"/>
    <col min="8337" max="8337" customWidth="1" width="11.42578125"/>
    <col min="8338" max="8338" customWidth="1" width="11.42578125"/>
    <col min="8339" max="8339" customWidth="1" width="11.42578125"/>
    <col min="8340" max="8340" customWidth="1" width="11.42578125"/>
    <col min="8341" max="8341" customWidth="1" width="11.42578125"/>
    <col min="8342" max="8342" customWidth="1" width="11.42578125"/>
    <col min="8343" max="8343" customWidth="1" width="11.42578125"/>
    <col min="8344" max="8344" customWidth="1" width="11.42578125"/>
    <col min="8345" max="8345" customWidth="1" width="11.42578125"/>
    <col min="8346" max="8346" customWidth="1" width="11.42578125"/>
    <col min="8347" max="8347" customWidth="1" width="11.42578125"/>
    <col min="8348" max="8348" customWidth="1" width="11.42578125"/>
    <col min="8349" max="8349" customWidth="1" width="11.42578125"/>
    <col min="8350" max="8350" customWidth="1" width="11.42578125"/>
    <col min="8351" max="8351" customWidth="1" width="11.42578125"/>
    <col min="8352" max="8352" customWidth="1" width="11.42578125"/>
    <col min="8353" max="8353" customWidth="1" width="11.42578125"/>
    <col min="8354" max="8354" customWidth="1" width="11.42578125"/>
    <col min="8355" max="8355" customWidth="1" width="11.42578125"/>
    <col min="8356" max="8356" customWidth="1" width="11.42578125"/>
    <col min="8357" max="8357" customWidth="1" width="11.42578125"/>
    <col min="8358" max="8358" customWidth="1" width="11.42578125"/>
    <col min="8359" max="8359" customWidth="1" width="11.42578125"/>
    <col min="8360" max="8360" customWidth="1" width="11.42578125"/>
    <col min="8361" max="8361" customWidth="1" width="11.42578125"/>
    <col min="8362" max="8362" customWidth="1" width="11.42578125"/>
    <col min="8363" max="8363" customWidth="1" width="11.42578125"/>
    <col min="8364" max="8364" customWidth="1" width="11.42578125"/>
    <col min="8365" max="8365" customWidth="1" width="11.42578125"/>
    <col min="8366" max="8366" customWidth="1" width="11.42578125"/>
    <col min="8367" max="8367" customWidth="1" width="11.42578125"/>
    <col min="8368" max="8368" customWidth="1" width="11.42578125"/>
    <col min="8369" max="8369" customWidth="1" width="11.42578125"/>
    <col min="8370" max="8370" customWidth="1" width="11.42578125"/>
    <col min="8371" max="8371" customWidth="1" width="11.42578125"/>
    <col min="8372" max="8372" customWidth="1" width="11.42578125"/>
    <col min="8373" max="8373" customWidth="1" width="11.42578125"/>
    <col min="8374" max="8374" customWidth="1" width="11.42578125"/>
    <col min="8375" max="8375" customWidth="1" width="11.42578125"/>
    <col min="8376" max="8376" customWidth="1" width="11.42578125"/>
    <col min="8377" max="8377" customWidth="1" width="11.42578125"/>
    <col min="8378" max="8378" customWidth="1" width="11.42578125"/>
    <col min="8379" max="8379" customWidth="1" width="11.42578125"/>
    <col min="8380" max="8380" customWidth="1" width="11.42578125"/>
    <col min="8381" max="8381" customWidth="1" width="11.42578125"/>
    <col min="8382" max="8382" customWidth="1" width="11.42578125"/>
    <col min="8383" max="8383" customWidth="1" width="11.42578125"/>
    <col min="8384" max="8384" customWidth="1" width="11.42578125"/>
    <col min="8385" max="8385" customWidth="1" width="11.42578125"/>
    <col min="8386" max="8386" customWidth="1" width="11.42578125"/>
    <col min="8387" max="8387" customWidth="1" width="11.42578125"/>
    <col min="8388" max="8388" customWidth="1" width="11.42578125"/>
    <col min="8389" max="8389" customWidth="1" width="11.42578125"/>
    <col min="8390" max="8390" customWidth="1" width="11.42578125"/>
    <col min="8391" max="8391" customWidth="1" width="11.42578125"/>
    <col min="8392" max="8392" customWidth="1" width="11.42578125"/>
    <col min="8393" max="8393" customWidth="1" width="11.42578125"/>
    <col min="8394" max="8394" customWidth="1" width="11.42578125"/>
    <col min="8395" max="8395" customWidth="1" width="11.42578125"/>
    <col min="8396" max="8396" customWidth="1" width="11.42578125"/>
    <col min="8397" max="8397" customWidth="1" width="11.42578125"/>
    <col min="8398" max="8398" customWidth="1" width="11.42578125"/>
    <col min="8399" max="8399" customWidth="1" width="11.42578125"/>
    <col min="8400" max="8400" customWidth="1" width="11.42578125"/>
    <col min="8401" max="8401" customWidth="1" width="11.42578125"/>
    <col min="8402" max="8402" customWidth="1" width="11.42578125"/>
    <col min="8403" max="8403" customWidth="1" width="11.42578125"/>
    <col min="8404" max="8404" customWidth="1" width="11.42578125"/>
    <col min="8405" max="8405" customWidth="1" width="11.42578125"/>
    <col min="8406" max="8406" customWidth="1" width="11.42578125"/>
    <col min="8407" max="8407" customWidth="1" width="11.42578125"/>
    <col min="8408" max="8408" customWidth="1" width="11.42578125"/>
    <col min="8409" max="8409" customWidth="1" width="11.42578125"/>
    <col min="8410" max="8410" customWidth="1" width="11.42578125"/>
    <col min="8411" max="8411" customWidth="1" width="11.42578125"/>
    <col min="8412" max="8412" customWidth="1" width="11.42578125"/>
    <col min="8413" max="8413" customWidth="1" width="11.42578125"/>
    <col min="8414" max="8414" customWidth="1" width="11.42578125"/>
    <col min="8415" max="8415" customWidth="1" width="11.42578125"/>
    <col min="8416" max="8416" customWidth="1" width="11.42578125"/>
    <col min="8417" max="8417" customWidth="1" width="11.42578125"/>
    <col min="8418" max="8418" customWidth="1" width="11.42578125"/>
    <col min="8419" max="8419" customWidth="1" width="11.42578125"/>
    <col min="8420" max="8420" customWidth="1" width="11.42578125"/>
    <col min="8421" max="8421" customWidth="1" width="11.42578125"/>
    <col min="8422" max="8422" customWidth="1" width="11.42578125"/>
    <col min="8423" max="8423" customWidth="1" width="11.42578125"/>
    <col min="8424" max="8424" customWidth="1" width="11.42578125"/>
    <col min="8425" max="8425" customWidth="1" width="11.42578125"/>
    <col min="8426" max="8426" customWidth="1" width="11.42578125"/>
    <col min="8427" max="8427" customWidth="1" width="11.42578125"/>
    <col min="8428" max="8428" customWidth="1" width="11.42578125"/>
    <col min="8429" max="8429" customWidth="1" width="11.42578125"/>
    <col min="8430" max="8430" customWidth="1" width="11.42578125"/>
    <col min="8431" max="8431" customWidth="1" width="11.42578125"/>
    <col min="8432" max="8432" customWidth="1" width="11.42578125"/>
    <col min="8433" max="8433" customWidth="1" width="11.42578125"/>
    <col min="8434" max="8434" customWidth="1" width="11.42578125"/>
    <col min="8435" max="8435" customWidth="1" width="11.42578125"/>
    <col min="8436" max="8436" customWidth="1" width="11.42578125"/>
    <col min="8437" max="8437" customWidth="1" width="11.42578125"/>
    <col min="8438" max="8438" customWidth="1" width="11.42578125"/>
    <col min="8439" max="8439" customWidth="1" width="11.42578125"/>
    <col min="8440" max="8440" customWidth="1" width="11.42578125"/>
    <col min="8441" max="8441" customWidth="1" width="11.42578125"/>
    <col min="8442" max="8442" customWidth="1" width="11.42578125"/>
    <col min="8443" max="8443" customWidth="1" width="11.42578125"/>
    <col min="8444" max="8444" customWidth="1" width="11.42578125"/>
    <col min="8445" max="8445" customWidth="1" width="11.42578125"/>
    <col min="8446" max="8446" customWidth="1" width="11.42578125"/>
    <col min="8447" max="8447" customWidth="1" width="11.42578125"/>
    <col min="8448" max="8448" customWidth="1" width="11.42578125"/>
    <col min="8449" max="8449" customWidth="1" width="11.42578125"/>
    <col min="8450" max="8450" customWidth="1" width="11.42578125"/>
    <col min="8451" max="8451" customWidth="1" width="11.42578125"/>
    <col min="8452" max="8452" customWidth="1" width="11.42578125"/>
    <col min="8453" max="8453" customWidth="1" width="11.42578125"/>
    <col min="8454" max="8454" customWidth="1" width="11.42578125"/>
    <col min="8455" max="8455" customWidth="1" width="11.42578125"/>
    <col min="8456" max="8456" customWidth="1" width="11.42578125"/>
    <col min="8457" max="8457" customWidth="1" width="11.42578125"/>
    <col min="8458" max="8458" customWidth="1" width="11.42578125"/>
    <col min="8459" max="8459" customWidth="1" width="11.42578125"/>
    <col min="8460" max="8460" customWidth="1" width="11.42578125"/>
    <col min="8461" max="8461" customWidth="1" width="11.42578125"/>
    <col min="8462" max="8462" customWidth="1" width="11.42578125"/>
    <col min="8463" max="8463" customWidth="1" width="11.42578125"/>
    <col min="8464" max="8464" customWidth="1" width="11.42578125"/>
    <col min="8465" max="8465" customWidth="1" width="11.42578125"/>
    <col min="8466" max="8466" customWidth="1" width="11.42578125"/>
    <col min="8467" max="8467" customWidth="1" width="11.42578125"/>
    <col min="8468" max="8468" customWidth="1" width="11.42578125"/>
    <col min="8469" max="8469" customWidth="1" width="11.42578125"/>
    <col min="8470" max="8470" customWidth="1" width="11.42578125"/>
    <col min="8471" max="8471" customWidth="1" width="11.42578125"/>
    <col min="8472" max="8472" customWidth="1" width="11.42578125"/>
    <col min="8473" max="8473" customWidth="1" width="11.42578125"/>
    <col min="8474" max="8474" customWidth="1" width="11.42578125"/>
    <col min="8475" max="8475" customWidth="1" width="11.42578125"/>
    <col min="8476" max="8476" customWidth="1" width="11.42578125"/>
    <col min="8477" max="8477" customWidth="1" width="11.42578125"/>
    <col min="8478" max="8478" customWidth="1" width="11.42578125"/>
    <col min="8479" max="8479" customWidth="1" width="11.42578125"/>
    <col min="8480" max="8480" customWidth="1" width="11.42578125"/>
    <col min="8481" max="8481" customWidth="1" width="11.42578125"/>
    <col min="8482" max="8482" customWidth="1" width="11.42578125"/>
    <col min="8483" max="8483" customWidth="1" width="11.42578125"/>
    <col min="8484" max="8484" customWidth="1" width="11.42578125"/>
    <col min="8485" max="8485" customWidth="1" width="11.42578125"/>
    <col min="8486" max="8486" customWidth="1" width="11.42578125"/>
    <col min="8487" max="8487" customWidth="1" width="11.42578125"/>
    <col min="8488" max="8488" customWidth="1" width="11.42578125"/>
    <col min="8489" max="8489" customWidth="1" width="11.42578125"/>
    <col min="8490" max="8490" customWidth="1" width="11.42578125"/>
    <col min="8491" max="8491" customWidth="1" width="11.42578125"/>
    <col min="8492" max="8492" customWidth="1" width="11.42578125"/>
    <col min="8493" max="8493" customWidth="1" width="11.42578125"/>
    <col min="8494" max="8494" customWidth="1" width="11.42578125"/>
    <col min="8495" max="8495" customWidth="1" width="11.42578125"/>
    <col min="8496" max="8496" customWidth="1" width="11.42578125"/>
    <col min="8497" max="8497" customWidth="1" width="11.42578125"/>
    <col min="8498" max="8498" customWidth="1" width="11.42578125"/>
    <col min="8499" max="8499" customWidth="1" width="11.42578125"/>
    <col min="8500" max="8500" customWidth="1" width="11.42578125"/>
    <col min="8501" max="8501" customWidth="1" width="11.42578125"/>
    <col min="8502" max="8502" customWidth="1" width="11.42578125"/>
    <col min="8503" max="8503" customWidth="1" width="11.42578125"/>
    <col min="8504" max="8504" customWidth="1" width="11.42578125"/>
    <col min="8505" max="8505" customWidth="1" width="11.42578125"/>
    <col min="8506" max="8506" customWidth="1" width="11.42578125"/>
    <col min="8507" max="8507" customWidth="1" width="11.42578125"/>
    <col min="8508" max="8508" customWidth="1" width="11.42578125"/>
    <col min="8509" max="8509" customWidth="1" width="11.42578125"/>
    <col min="8510" max="8510" customWidth="1" width="11.42578125"/>
    <col min="8511" max="8511" customWidth="1" width="11.42578125"/>
    <col min="8512" max="8512" customWidth="1" width="11.42578125"/>
    <col min="8513" max="8513" customWidth="1" width="11.42578125"/>
    <col min="8514" max="8514" customWidth="1" width="11.42578125"/>
    <col min="8515" max="8515" customWidth="1" width="11.42578125"/>
    <col min="8516" max="8516" customWidth="1" width="11.42578125"/>
    <col min="8517" max="8517" customWidth="1" width="11.42578125"/>
    <col min="8518" max="8518" customWidth="1" width="11.42578125"/>
    <col min="8519" max="8519" customWidth="1" width="11.42578125"/>
    <col min="8520" max="8520" customWidth="1" width="11.42578125"/>
    <col min="8521" max="8521" customWidth="1" width="11.42578125"/>
    <col min="8522" max="8522" customWidth="1" width="11.42578125"/>
    <col min="8523" max="8523" customWidth="1" width="11.42578125"/>
    <col min="8524" max="8524" customWidth="1" width="11.42578125"/>
    <col min="8525" max="8525" customWidth="1" width="11.42578125"/>
    <col min="8526" max="8526" customWidth="1" width="11.42578125"/>
    <col min="8527" max="8527" customWidth="1" width="11.42578125"/>
    <col min="8528" max="8528" customWidth="1" width="11.42578125"/>
    <col min="8529" max="8529" customWidth="1" width="11.42578125"/>
    <col min="8530" max="8530" customWidth="1" width="11.42578125"/>
    <col min="8531" max="8531" customWidth="1" width="11.42578125"/>
    <col min="8532" max="8532" customWidth="1" width="11.42578125"/>
    <col min="8533" max="8533" customWidth="1" width="11.42578125"/>
    <col min="8534" max="8534" customWidth="1" width="11.42578125"/>
    <col min="8535" max="8535" customWidth="1" width="11.42578125"/>
    <col min="8536" max="8536" customWidth="1" width="11.42578125"/>
    <col min="8537" max="8537" customWidth="1" width="11.42578125"/>
    <col min="8538" max="8538" customWidth="1" width="11.42578125"/>
    <col min="8539" max="8539" customWidth="1" width="11.42578125"/>
    <col min="8540" max="8540" customWidth="1" width="11.42578125"/>
    <col min="8541" max="8541" customWidth="1" width="11.42578125"/>
    <col min="8542" max="8542" customWidth="1" width="11.42578125"/>
    <col min="8543" max="8543" customWidth="1" width="11.42578125"/>
    <col min="8544" max="8544" customWidth="1" width="11.42578125"/>
    <col min="8545" max="8545" customWidth="1" width="11.42578125"/>
    <col min="8546" max="8546" customWidth="1" width="11.42578125"/>
    <col min="8547" max="8547" customWidth="1" width="11.42578125"/>
    <col min="8548" max="8548" customWidth="1" width="11.42578125"/>
    <col min="8549" max="8549" customWidth="1" width="11.42578125"/>
    <col min="8550" max="8550" customWidth="1" width="11.42578125"/>
    <col min="8551" max="8551" customWidth="1" width="11.42578125"/>
    <col min="8552" max="8552" customWidth="1" width="11.42578125"/>
    <col min="8553" max="8553" customWidth="1" width="11.42578125"/>
    <col min="8554" max="8554" customWidth="1" width="11.42578125"/>
    <col min="8555" max="8555" customWidth="1" width="11.42578125"/>
    <col min="8556" max="8556" customWidth="1" width="11.42578125"/>
    <col min="8557" max="8557" customWidth="1" width="11.42578125"/>
    <col min="8558" max="8558" customWidth="1" width="11.42578125"/>
    <col min="8559" max="8559" customWidth="1" width="11.42578125"/>
    <col min="8560" max="8560" customWidth="1" width="11.42578125"/>
    <col min="8561" max="8561" customWidth="1" width="11.42578125"/>
    <col min="8562" max="8562" customWidth="1" width="11.42578125"/>
    <col min="8563" max="8563" customWidth="1" width="11.42578125"/>
    <col min="8564" max="8564" customWidth="1" width="11.42578125"/>
    <col min="8565" max="8565" customWidth="1" width="11.42578125"/>
    <col min="8566" max="8566" customWidth="1" width="11.42578125"/>
    <col min="8567" max="8567" customWidth="1" width="11.42578125"/>
    <col min="8568" max="8568" customWidth="1" width="11.42578125"/>
    <col min="8569" max="8569" customWidth="1" width="11.42578125"/>
    <col min="8570" max="8570" customWidth="1" width="11.42578125"/>
    <col min="8571" max="8571" customWidth="1" width="11.42578125"/>
    <col min="8572" max="8572" customWidth="1" width="11.42578125"/>
    <col min="8573" max="8573" customWidth="1" width="11.42578125"/>
    <col min="8574" max="8574" customWidth="1" width="11.42578125"/>
    <col min="8575" max="8575" customWidth="1" width="11.42578125"/>
    <col min="8576" max="8576" customWidth="1" width="11.42578125"/>
    <col min="8577" max="8577" customWidth="1" width="11.42578125"/>
    <col min="8578" max="8578" customWidth="1" width="11.42578125"/>
    <col min="8579" max="8579" customWidth="1" width="11.42578125"/>
    <col min="8580" max="8580" customWidth="1" width="11.42578125"/>
    <col min="8581" max="8581" customWidth="1" width="11.42578125"/>
    <col min="8582" max="8582" customWidth="1" width="11.42578125"/>
    <col min="8583" max="8583" customWidth="1" width="11.42578125"/>
    <col min="8584" max="8584" customWidth="1" width="11.42578125"/>
    <col min="8585" max="8585" customWidth="1" width="11.42578125"/>
    <col min="8586" max="8586" customWidth="1" width="11.42578125"/>
    <col min="8587" max="8587" customWidth="1" width="11.42578125"/>
    <col min="8588" max="8588" customWidth="1" width="11.42578125"/>
    <col min="8589" max="8589" customWidth="1" width="11.42578125"/>
    <col min="8590" max="8590" customWidth="1" width="11.42578125"/>
    <col min="8591" max="8591" customWidth="1" width="11.42578125"/>
    <col min="8592" max="8592" customWidth="1" width="11.42578125"/>
    <col min="8593" max="8593" customWidth="1" width="11.42578125"/>
    <col min="8594" max="8594" customWidth="1" width="11.42578125"/>
    <col min="8595" max="8595" customWidth="1" width="11.42578125"/>
    <col min="8596" max="8596" customWidth="1" width="11.42578125"/>
    <col min="8597" max="8597" customWidth="1" width="11.42578125"/>
    <col min="8598" max="8598" customWidth="1" width="11.42578125"/>
    <col min="8599" max="8599" customWidth="1" width="11.42578125"/>
    <col min="8600" max="8600" customWidth="1" width="11.42578125"/>
    <col min="8601" max="8601" customWidth="1" width="11.42578125"/>
    <col min="8602" max="8602" customWidth="1" width="11.42578125"/>
    <col min="8603" max="8603" customWidth="1" width="11.42578125"/>
    <col min="8604" max="8604" customWidth="1" width="11.42578125"/>
    <col min="8605" max="8605" customWidth="1" width="11.42578125"/>
    <col min="8606" max="8606" customWidth="1" width="11.42578125"/>
    <col min="8607" max="8607" customWidth="1" width="11.42578125"/>
    <col min="8608" max="8608" customWidth="1" width="11.42578125"/>
    <col min="8609" max="8609" customWidth="1" width="11.42578125"/>
    <col min="8610" max="8610" customWidth="1" width="11.42578125"/>
    <col min="8611" max="8611" customWidth="1" width="11.42578125"/>
    <col min="8612" max="8612" customWidth="1" width="11.42578125"/>
    <col min="8613" max="8613" customWidth="1" width="11.42578125"/>
    <col min="8614" max="8614" customWidth="1" width="11.42578125"/>
    <col min="8615" max="8615" customWidth="1" width="11.42578125"/>
    <col min="8616" max="8616" customWidth="1" width="11.42578125"/>
    <col min="8617" max="8617" customWidth="1" width="11.42578125"/>
    <col min="8618" max="8618" customWidth="1" width="11.42578125"/>
    <col min="8619" max="8619" customWidth="1" width="11.42578125"/>
    <col min="8620" max="8620" customWidth="1" width="11.42578125"/>
    <col min="8621" max="8621" customWidth="1" width="11.42578125"/>
    <col min="8622" max="8622" customWidth="1" width="11.42578125"/>
    <col min="8623" max="8623" customWidth="1" width="11.42578125"/>
    <col min="8624" max="8624" customWidth="1" width="11.42578125"/>
    <col min="8625" max="8625" customWidth="1" width="11.42578125"/>
    <col min="8626" max="8626" customWidth="1" width="11.42578125"/>
    <col min="8627" max="8627" customWidth="1" width="11.42578125"/>
    <col min="8628" max="8628" customWidth="1" width="11.42578125"/>
    <col min="8629" max="8629" customWidth="1" width="11.42578125"/>
    <col min="8630" max="8630" customWidth="1" width="11.42578125"/>
    <col min="8631" max="8631" customWidth="1" width="11.42578125"/>
    <col min="8632" max="8632" customWidth="1" width="11.42578125"/>
    <col min="8633" max="8633" customWidth="1" width="11.42578125"/>
    <col min="8634" max="8634" customWidth="1" width="11.42578125"/>
    <col min="8635" max="8635" customWidth="1" width="11.42578125"/>
    <col min="8636" max="8636" customWidth="1" width="11.42578125"/>
    <col min="8637" max="8637" customWidth="1" width="11.42578125"/>
    <col min="8638" max="8638" customWidth="1" width="11.42578125"/>
    <col min="8639" max="8639" customWidth="1" width="11.42578125"/>
    <col min="8640" max="8640" customWidth="1" width="11.42578125"/>
    <col min="8641" max="8641" customWidth="1" width="11.42578125"/>
    <col min="8642" max="8642" customWidth="1" width="11.42578125"/>
    <col min="8643" max="8643" customWidth="1" width="11.42578125"/>
    <col min="8644" max="8644" customWidth="1" width="11.42578125"/>
    <col min="8645" max="8645" customWidth="1" width="11.42578125"/>
    <col min="8646" max="8646" customWidth="1" width="11.42578125"/>
    <col min="8647" max="8647" customWidth="1" width="11.42578125"/>
    <col min="8648" max="8648" customWidth="1" width="11.42578125"/>
    <col min="8649" max="8649" customWidth="1" width="11.42578125"/>
    <col min="8650" max="8650" customWidth="1" width="11.42578125"/>
    <col min="8651" max="8651" customWidth="1" width="11.42578125"/>
    <col min="8652" max="8652" customWidth="1" width="11.42578125"/>
    <col min="8653" max="8653" customWidth="1" width="11.42578125"/>
    <col min="8654" max="8654" customWidth="1" width="11.42578125"/>
    <col min="8655" max="8655" customWidth="1" width="11.42578125"/>
    <col min="8656" max="8656" customWidth="1" width="11.42578125"/>
    <col min="8657" max="8657" customWidth="1" width="11.42578125"/>
    <col min="8658" max="8658" customWidth="1" width="11.42578125"/>
    <col min="8659" max="8659" customWidth="1" width="11.42578125"/>
    <col min="8660" max="8660" customWidth="1" width="11.42578125"/>
    <col min="8661" max="8661" customWidth="1" width="11.42578125"/>
    <col min="8662" max="8662" customWidth="1" width="11.42578125"/>
    <col min="8663" max="8663" customWidth="1" width="11.42578125"/>
    <col min="8664" max="8664" customWidth="1" width="11.42578125"/>
    <col min="8665" max="8665" customWidth="1" width="11.42578125"/>
    <col min="8666" max="8666" customWidth="1" width="11.42578125"/>
    <col min="8667" max="8667" customWidth="1" width="11.42578125"/>
    <col min="8668" max="8668" customWidth="1" width="11.42578125"/>
    <col min="8669" max="8669" customWidth="1" width="11.42578125"/>
    <col min="8670" max="8670" customWidth="1" width="11.42578125"/>
    <col min="8671" max="8671" customWidth="1" width="11.42578125"/>
    <col min="8672" max="8672" customWidth="1" width="11.42578125"/>
    <col min="8673" max="8673" customWidth="1" width="11.42578125"/>
    <col min="8674" max="8674" customWidth="1" width="11.42578125"/>
    <col min="8675" max="8675" customWidth="1" width="11.42578125"/>
    <col min="8676" max="8676" customWidth="1" width="11.42578125"/>
    <col min="8677" max="8677" customWidth="1" width="11.42578125"/>
    <col min="8678" max="8678" customWidth="1" width="11.42578125"/>
    <col min="8679" max="8679" customWidth="1" width="11.42578125"/>
    <col min="8680" max="8680" customWidth="1" width="11.42578125"/>
    <col min="8681" max="8681" customWidth="1" width="11.42578125"/>
    <col min="8682" max="8682" customWidth="1" width="11.42578125"/>
    <col min="8683" max="8683" customWidth="1" width="11.42578125"/>
    <col min="8684" max="8684" customWidth="1" width="11.42578125"/>
    <col min="8685" max="8685" customWidth="1" width="11.42578125"/>
    <col min="8686" max="8686" customWidth="1" width="11.42578125"/>
    <col min="8687" max="8687" customWidth="1" width="11.42578125"/>
    <col min="8688" max="8688" customWidth="1" width="11.42578125"/>
    <col min="8689" max="8689" customWidth="1" width="11.42578125"/>
    <col min="8690" max="8690" customWidth="1" width="11.42578125"/>
    <col min="8691" max="8691" customWidth="1" width="11.42578125"/>
    <col min="8692" max="8692" customWidth="1" width="11.42578125"/>
    <col min="8693" max="8693" customWidth="1" width="11.42578125"/>
    <col min="8694" max="8694" customWidth="1" width="11.42578125"/>
    <col min="8695" max="8695" customWidth="1" width="11.42578125"/>
    <col min="8696" max="8696" customWidth="1" width="11.42578125"/>
    <col min="8697" max="8697" customWidth="1" width="11.42578125"/>
    <col min="8698" max="8698" customWidth="1" width="11.42578125"/>
    <col min="8699" max="8699" customWidth="1" width="11.42578125"/>
    <col min="8700" max="8700" customWidth="1" width="11.42578125"/>
    <col min="8701" max="8701" customWidth="1" width="11.42578125"/>
    <col min="8702" max="8702" customWidth="1" width="11.42578125"/>
    <col min="8703" max="8703" customWidth="1" width="11.42578125"/>
    <col min="8704" max="8704" customWidth="1" width="11.42578125"/>
    <col min="8705" max="8705" customWidth="1" width="11.42578125"/>
    <col min="8706" max="8706" customWidth="1" width="11.42578125"/>
    <col min="8707" max="8707" customWidth="1" width="11.42578125"/>
    <col min="8708" max="8708" customWidth="1" width="11.42578125"/>
    <col min="8709" max="8709" customWidth="1" width="11.42578125"/>
    <col min="8710" max="8710" customWidth="1" width="11.42578125"/>
    <col min="8711" max="8711" customWidth="1" width="11.42578125"/>
    <col min="8712" max="8712" customWidth="1" width="11.42578125"/>
    <col min="8713" max="8713" customWidth="1" width="11.42578125"/>
    <col min="8714" max="8714" customWidth="1" width="11.42578125"/>
    <col min="8715" max="8715" customWidth="1" width="11.42578125"/>
    <col min="8716" max="8716" customWidth="1" width="11.42578125"/>
    <col min="8717" max="8717" customWidth="1" width="11.42578125"/>
    <col min="8718" max="8718" customWidth="1" width="11.42578125"/>
    <col min="8719" max="8719" customWidth="1" width="11.42578125"/>
    <col min="8720" max="8720" customWidth="1" width="11.42578125"/>
    <col min="8721" max="8721" customWidth="1" width="11.42578125"/>
    <col min="8722" max="8722" customWidth="1" width="11.42578125"/>
    <col min="8723" max="8723" customWidth="1" width="11.42578125"/>
    <col min="8724" max="8724" customWidth="1" width="11.42578125"/>
    <col min="8725" max="8725" customWidth="1" width="11.42578125"/>
    <col min="8726" max="8726" customWidth="1" width="11.42578125"/>
    <col min="8727" max="8727" customWidth="1" width="11.42578125"/>
    <col min="8728" max="8728" customWidth="1" width="11.42578125"/>
    <col min="8729" max="8729" customWidth="1" width="11.42578125"/>
    <col min="8730" max="8730" customWidth="1" width="11.42578125"/>
    <col min="8731" max="8731" customWidth="1" width="11.42578125"/>
    <col min="8732" max="8732" customWidth="1" width="11.42578125"/>
    <col min="8733" max="8733" customWidth="1" width="11.42578125"/>
    <col min="8734" max="8734" customWidth="1" width="11.42578125"/>
    <col min="8735" max="8735" customWidth="1" width="11.42578125"/>
    <col min="8736" max="8736" customWidth="1" width="11.42578125"/>
    <col min="8737" max="8737" customWidth="1" width="11.42578125"/>
    <col min="8738" max="8738" customWidth="1" width="11.42578125"/>
    <col min="8739" max="8739" customWidth="1" width="11.42578125"/>
    <col min="8740" max="8740" customWidth="1" width="11.42578125"/>
    <col min="8741" max="8741" customWidth="1" width="11.42578125"/>
    <col min="8742" max="8742" customWidth="1" width="11.42578125"/>
    <col min="8743" max="8743" customWidth="1" width="11.42578125"/>
    <col min="8744" max="8744" customWidth="1" width="11.42578125"/>
    <col min="8745" max="8745" customWidth="1" width="11.42578125"/>
    <col min="8746" max="8746" customWidth="1" width="11.42578125"/>
    <col min="8747" max="8747" customWidth="1" width="11.42578125"/>
    <col min="8748" max="8748" customWidth="1" width="11.42578125"/>
    <col min="8749" max="8749" customWidth="1" width="11.42578125"/>
    <col min="8750" max="8750" customWidth="1" width="11.42578125"/>
    <col min="8751" max="8751" customWidth="1" width="11.42578125"/>
    <col min="8752" max="8752" customWidth="1" width="11.42578125"/>
    <col min="8753" max="8753" customWidth="1" width="11.42578125"/>
    <col min="8754" max="8754" customWidth="1" width="11.42578125"/>
    <col min="8755" max="8755" customWidth="1" width="11.42578125"/>
    <col min="8756" max="8756" customWidth="1" width="11.42578125"/>
    <col min="8757" max="8757" customWidth="1" width="11.42578125"/>
    <col min="8758" max="8758" customWidth="1" width="11.42578125"/>
    <col min="8759" max="8759" customWidth="1" width="11.42578125"/>
    <col min="8760" max="8760" customWidth="1" width="11.42578125"/>
    <col min="8761" max="8761" customWidth="1" width="11.42578125"/>
    <col min="8762" max="8762" customWidth="1" width="11.42578125"/>
    <col min="8763" max="8763" customWidth="1" width="11.42578125"/>
    <col min="8764" max="8764" customWidth="1" width="11.42578125"/>
    <col min="8765" max="8765" customWidth="1" width="11.42578125"/>
    <col min="8766" max="8766" customWidth="1" width="11.42578125"/>
    <col min="8767" max="8767" customWidth="1" width="11.42578125"/>
    <col min="8768" max="8768" customWidth="1" width="11.42578125"/>
    <col min="8769" max="8769" customWidth="1" width="11.42578125"/>
    <col min="8770" max="8770" customWidth="1" width="11.42578125"/>
    <col min="8771" max="8771" customWidth="1" width="11.42578125"/>
    <col min="8772" max="8772" customWidth="1" width="11.42578125"/>
    <col min="8773" max="8773" customWidth="1" width="11.42578125"/>
    <col min="8774" max="8774" customWidth="1" width="11.42578125"/>
    <col min="8775" max="8775" customWidth="1" width="11.42578125"/>
    <col min="8776" max="8776" customWidth="1" width="11.42578125"/>
    <col min="8777" max="8777" customWidth="1" width="11.42578125"/>
    <col min="8778" max="8778" customWidth="1" width="11.42578125"/>
    <col min="8779" max="8779" customWidth="1" width="11.42578125"/>
    <col min="8780" max="8780" customWidth="1" width="11.42578125"/>
    <col min="8781" max="8781" customWidth="1" width="11.42578125"/>
    <col min="8782" max="8782" customWidth="1" width="11.42578125"/>
    <col min="8783" max="8783" customWidth="1" width="11.42578125"/>
    <col min="8784" max="8784" customWidth="1" width="11.42578125"/>
    <col min="8785" max="8785" customWidth="1" width="11.42578125"/>
    <col min="8786" max="8786" customWidth="1" width="11.42578125"/>
    <col min="8787" max="8787" customWidth="1" width="11.42578125"/>
    <col min="8788" max="8788" customWidth="1" width="11.42578125"/>
    <col min="8789" max="8789" customWidth="1" width="11.42578125"/>
    <col min="8790" max="8790" customWidth="1" width="11.42578125"/>
    <col min="8791" max="8791" customWidth="1" width="11.42578125"/>
    <col min="8792" max="8792" customWidth="1" width="11.42578125"/>
    <col min="8793" max="8793" customWidth="1" width="11.42578125"/>
    <col min="8794" max="8794" customWidth="1" width="11.42578125"/>
    <col min="8795" max="8795" customWidth="1" width="11.42578125"/>
    <col min="8796" max="8796" customWidth="1" width="11.42578125"/>
    <col min="8797" max="8797" customWidth="1" width="11.42578125"/>
    <col min="8798" max="8798" customWidth="1" width="11.42578125"/>
    <col min="8799" max="8799" customWidth="1" width="11.42578125"/>
    <col min="8800" max="8800" customWidth="1" width="11.42578125"/>
    <col min="8801" max="8801" customWidth="1" width="11.42578125"/>
    <col min="8802" max="8802" customWidth="1" width="11.42578125"/>
    <col min="8803" max="8803" customWidth="1" width="11.42578125"/>
    <col min="8804" max="8804" customWidth="1" width="11.42578125"/>
    <col min="8805" max="8805" customWidth="1" width="11.42578125"/>
    <col min="8806" max="8806" customWidth="1" width="11.42578125"/>
    <col min="8807" max="8807" customWidth="1" width="11.42578125"/>
    <col min="8808" max="8808" customWidth="1" width="11.42578125"/>
    <col min="8809" max="8809" customWidth="1" width="11.42578125"/>
    <col min="8810" max="8810" customWidth="1" width="11.42578125"/>
    <col min="8811" max="8811" customWidth="1" width="11.42578125"/>
    <col min="8812" max="8812" customWidth="1" width="11.42578125"/>
    <col min="8813" max="8813" customWidth="1" width="11.42578125"/>
    <col min="8814" max="8814" customWidth="1" width="11.42578125"/>
    <col min="8815" max="8815" customWidth="1" width="11.42578125"/>
    <col min="8816" max="8816" customWidth="1" width="11.42578125"/>
    <col min="8817" max="8817" customWidth="1" width="11.42578125"/>
    <col min="8818" max="8818" customWidth="1" width="11.42578125"/>
    <col min="8819" max="8819" customWidth="1" width="11.42578125"/>
    <col min="8820" max="8820" customWidth="1" width="11.42578125"/>
    <col min="8821" max="8821" customWidth="1" width="11.42578125"/>
    <col min="8822" max="8822" customWidth="1" width="11.42578125"/>
    <col min="8823" max="8823" customWidth="1" width="11.42578125"/>
    <col min="8824" max="8824" customWidth="1" width="11.42578125"/>
    <col min="8825" max="8825" customWidth="1" width="11.42578125"/>
    <col min="8826" max="8826" customWidth="1" width="11.42578125"/>
    <col min="8827" max="8827" customWidth="1" width="11.42578125"/>
    <col min="8828" max="8828" customWidth="1" width="11.42578125"/>
    <col min="8829" max="8829" customWidth="1" width="11.42578125"/>
    <col min="8830" max="8830" customWidth="1" width="11.42578125"/>
    <col min="8831" max="8831" customWidth="1" width="11.42578125"/>
    <col min="8832" max="8832" customWidth="1" width="11.42578125"/>
    <col min="8833" max="8833" customWidth="1" width="11.42578125"/>
    <col min="8834" max="8834" customWidth="1" width="11.42578125"/>
    <col min="8835" max="8835" customWidth="1" width="11.42578125"/>
    <col min="8836" max="8836" customWidth="1" width="11.42578125"/>
    <col min="8837" max="8837" customWidth="1" width="11.42578125"/>
    <col min="8838" max="8838" customWidth="1" width="11.42578125"/>
    <col min="8839" max="8839" customWidth="1" width="11.42578125"/>
    <col min="8840" max="8840" customWidth="1" width="11.42578125"/>
    <col min="8841" max="8841" customWidth="1" width="11.42578125"/>
    <col min="8842" max="8842" customWidth="1" width="11.42578125"/>
    <col min="8843" max="8843" customWidth="1" width="11.42578125"/>
    <col min="8844" max="8844" customWidth="1" width="11.42578125"/>
    <col min="8845" max="8845" customWidth="1" width="11.42578125"/>
    <col min="8846" max="8846" customWidth="1" width="11.42578125"/>
    <col min="8847" max="8847" customWidth="1" width="11.42578125"/>
    <col min="8848" max="8848" customWidth="1" width="11.42578125"/>
    <col min="8849" max="8849" customWidth="1" width="11.42578125"/>
    <col min="8850" max="8850" customWidth="1" width="11.42578125"/>
    <col min="8851" max="8851" customWidth="1" width="11.42578125"/>
    <col min="8852" max="8852" customWidth="1" width="11.42578125"/>
    <col min="8853" max="8853" customWidth="1" width="11.42578125"/>
    <col min="8854" max="8854" customWidth="1" width="11.42578125"/>
    <col min="8855" max="8855" customWidth="1" width="11.42578125"/>
    <col min="8856" max="8856" customWidth="1" width="11.42578125"/>
    <col min="8857" max="8857" customWidth="1" width="11.42578125"/>
    <col min="8858" max="8858" customWidth="1" width="11.42578125"/>
    <col min="8859" max="8859" customWidth="1" width="11.42578125"/>
    <col min="8860" max="8860" customWidth="1" width="11.42578125"/>
    <col min="8861" max="8861" customWidth="1" width="11.42578125"/>
    <col min="8862" max="8862" customWidth="1" width="11.42578125"/>
    <col min="8863" max="8863" customWidth="1" width="11.42578125"/>
    <col min="8864" max="8864" customWidth="1" width="11.42578125"/>
    <col min="8865" max="8865" customWidth="1" width="11.42578125"/>
    <col min="8866" max="8866" customWidth="1" width="11.42578125"/>
    <col min="8867" max="8867" customWidth="1" width="11.42578125"/>
    <col min="8868" max="8868" customWidth="1" width="11.42578125"/>
    <col min="8869" max="8869" customWidth="1" width="11.42578125"/>
    <col min="8870" max="8870" customWidth="1" width="11.42578125"/>
    <col min="8871" max="8871" customWidth="1" width="11.42578125"/>
    <col min="8872" max="8872" customWidth="1" width="11.42578125"/>
    <col min="8873" max="8873" customWidth="1" width="11.42578125"/>
    <col min="8874" max="8874" customWidth="1" width="11.42578125"/>
    <col min="8875" max="8875" customWidth="1" width="11.42578125"/>
    <col min="8876" max="8876" customWidth="1" width="11.42578125"/>
    <col min="8877" max="8877" customWidth="1" width="11.42578125"/>
    <col min="8878" max="8878" customWidth="1" width="11.42578125"/>
    <col min="8879" max="8879" customWidth="1" width="11.42578125"/>
    <col min="8880" max="8880" customWidth="1" width="11.42578125"/>
    <col min="8881" max="8881" customWidth="1" width="11.42578125"/>
    <col min="8882" max="8882" customWidth="1" width="11.42578125"/>
    <col min="8883" max="8883" customWidth="1" width="11.42578125"/>
    <col min="8884" max="8884" customWidth="1" width="11.42578125"/>
    <col min="8885" max="8885" customWidth="1" width="11.42578125"/>
    <col min="8886" max="8886" customWidth="1" width="11.42578125"/>
    <col min="8887" max="8887" customWidth="1" width="11.42578125"/>
    <col min="8888" max="8888" customWidth="1" width="11.42578125"/>
    <col min="8889" max="8889" customWidth="1" width="11.42578125"/>
    <col min="8890" max="8890" customWidth="1" width="11.42578125"/>
    <col min="8891" max="8891" customWidth="1" width="11.42578125"/>
    <col min="8892" max="8892" customWidth="1" width="11.42578125"/>
    <col min="8893" max="8893" customWidth="1" width="11.42578125"/>
    <col min="8894" max="8894" customWidth="1" width="11.42578125"/>
    <col min="8895" max="8895" customWidth="1" width="11.42578125"/>
    <col min="8896" max="8896" customWidth="1" width="11.42578125"/>
    <col min="8897" max="8897" customWidth="1" width="11.42578125"/>
    <col min="8898" max="8898" customWidth="1" width="11.42578125"/>
    <col min="8899" max="8899" customWidth="1" width="11.42578125"/>
    <col min="8900" max="8900" customWidth="1" width="11.42578125"/>
    <col min="8901" max="8901" customWidth="1" width="11.42578125"/>
    <col min="8902" max="8902" customWidth="1" width="11.42578125"/>
    <col min="8903" max="8903" customWidth="1" width="11.42578125"/>
    <col min="8904" max="8904" customWidth="1" width="11.42578125"/>
    <col min="8905" max="8905" customWidth="1" width="11.42578125"/>
    <col min="8906" max="8906" customWidth="1" width="11.42578125"/>
    <col min="8907" max="8907" customWidth="1" width="11.42578125"/>
    <col min="8908" max="8908" customWidth="1" width="11.42578125"/>
    <col min="8909" max="8909" customWidth="1" width="11.42578125"/>
    <col min="8910" max="8910" customWidth="1" width="11.42578125"/>
    <col min="8911" max="8911" customWidth="1" width="11.42578125"/>
    <col min="8912" max="8912" customWidth="1" width="11.42578125"/>
    <col min="8913" max="8913" customWidth="1" width="11.42578125"/>
    <col min="8914" max="8914" customWidth="1" width="11.42578125"/>
    <col min="8915" max="8915" customWidth="1" width="11.42578125"/>
    <col min="8916" max="8916" customWidth="1" width="11.42578125"/>
    <col min="8917" max="8917" customWidth="1" width="11.42578125"/>
    <col min="8918" max="8918" customWidth="1" width="11.42578125"/>
    <col min="8919" max="8919" customWidth="1" width="11.42578125"/>
    <col min="8920" max="8920" customWidth="1" width="11.42578125"/>
    <col min="8921" max="8921" customWidth="1" width="11.42578125"/>
    <col min="8922" max="8922" customWidth="1" width="11.42578125"/>
    <col min="8923" max="8923" customWidth="1" width="11.42578125"/>
    <col min="8924" max="8924" customWidth="1" width="11.42578125"/>
    <col min="8925" max="8925" customWidth="1" width="11.42578125"/>
    <col min="8926" max="8926" customWidth="1" width="11.42578125"/>
    <col min="8927" max="8927" customWidth="1" width="11.42578125"/>
    <col min="8928" max="8928" customWidth="1" width="11.42578125"/>
    <col min="8929" max="8929" customWidth="1" width="11.42578125"/>
    <col min="8930" max="8930" customWidth="1" width="11.42578125"/>
    <col min="8931" max="8931" customWidth="1" width="11.42578125"/>
    <col min="8932" max="8932" customWidth="1" width="11.42578125"/>
    <col min="8933" max="8933" customWidth="1" width="11.42578125"/>
    <col min="8934" max="8934" customWidth="1" width="11.42578125"/>
    <col min="8935" max="8935" customWidth="1" width="11.42578125"/>
    <col min="8936" max="8936" customWidth="1" width="11.42578125"/>
    <col min="8937" max="8937" customWidth="1" width="11.42578125"/>
    <col min="8938" max="8938" customWidth="1" width="11.42578125"/>
    <col min="8939" max="8939" customWidth="1" width="11.42578125"/>
    <col min="8940" max="8940" customWidth="1" width="11.42578125"/>
    <col min="8941" max="8941" customWidth="1" width="11.42578125"/>
    <col min="8942" max="8942" customWidth="1" width="11.42578125"/>
    <col min="8943" max="8943" customWidth="1" width="11.42578125"/>
    <col min="8944" max="8944" customWidth="1" width="11.42578125"/>
    <col min="8945" max="8945" customWidth="1" width="11.42578125"/>
    <col min="8946" max="8946" customWidth="1" width="11.42578125"/>
    <col min="8947" max="8947" customWidth="1" width="11.42578125"/>
    <col min="8948" max="8948" customWidth="1" width="11.42578125"/>
    <col min="8949" max="8949" customWidth="1" width="11.42578125"/>
    <col min="8950" max="8950" customWidth="1" width="11.42578125"/>
    <col min="8951" max="8951" customWidth="1" width="11.42578125"/>
    <col min="8952" max="8952" customWidth="1" width="11.42578125"/>
    <col min="8953" max="8953" customWidth="1" width="11.42578125"/>
    <col min="8954" max="8954" customWidth="1" width="11.42578125"/>
    <col min="8955" max="8955" customWidth="1" width="11.42578125"/>
    <col min="8956" max="8956" customWidth="1" width="11.42578125"/>
    <col min="8957" max="8957" customWidth="1" width="11.42578125"/>
    <col min="8958" max="8958" customWidth="1" width="11.42578125"/>
    <col min="8959" max="8959" customWidth="1" width="11.42578125"/>
    <col min="8960" max="8960" customWidth="1" width="11.42578125"/>
    <col min="8961" max="8961" customWidth="1" width="11.42578125"/>
    <col min="8962" max="8962" customWidth="1" width="11.42578125"/>
    <col min="8963" max="8963" customWidth="1" width="11.42578125"/>
    <col min="8964" max="8964" customWidth="1" width="11.42578125"/>
    <col min="8965" max="8965" customWidth="1" width="11.42578125"/>
    <col min="8966" max="8966" customWidth="1" width="11.42578125"/>
    <col min="8967" max="8967" customWidth="1" width="11.42578125"/>
    <col min="8968" max="8968" customWidth="1" width="11.42578125"/>
    <col min="8969" max="8969" customWidth="1" width="11.42578125"/>
    <col min="8970" max="8970" customWidth="1" width="11.42578125"/>
    <col min="8971" max="8971" customWidth="1" width="11.42578125"/>
    <col min="8972" max="8972" customWidth="1" width="11.42578125"/>
    <col min="8973" max="8973" customWidth="1" width="11.42578125"/>
    <col min="8974" max="8974" customWidth="1" width="11.42578125"/>
    <col min="8975" max="8975" customWidth="1" width="11.42578125"/>
    <col min="8976" max="8976" customWidth="1" width="11.42578125"/>
    <col min="8977" max="8977" customWidth="1" width="11.42578125"/>
    <col min="8978" max="8978" customWidth="1" width="11.42578125"/>
    <col min="8979" max="8979" customWidth="1" width="11.42578125"/>
    <col min="8980" max="8980" customWidth="1" width="11.42578125"/>
    <col min="8981" max="8981" customWidth="1" width="11.42578125"/>
    <col min="8982" max="8982" customWidth="1" width="11.42578125"/>
    <col min="8983" max="8983" customWidth="1" width="11.42578125"/>
    <col min="8984" max="8984" customWidth="1" width="11.42578125"/>
    <col min="8985" max="8985" customWidth="1" width="11.42578125"/>
    <col min="8986" max="8986" customWidth="1" width="11.42578125"/>
    <col min="8987" max="8987" customWidth="1" width="11.42578125"/>
    <col min="8988" max="8988" customWidth="1" width="11.42578125"/>
    <col min="8989" max="8989" customWidth="1" width="11.42578125"/>
    <col min="8990" max="8990" customWidth="1" width="11.42578125"/>
    <col min="8991" max="8991" customWidth="1" width="11.42578125"/>
    <col min="8992" max="8992" customWidth="1" width="11.42578125"/>
    <col min="8993" max="8993" customWidth="1" width="11.42578125"/>
    <col min="8994" max="8994" customWidth="1" width="11.42578125"/>
    <col min="8995" max="8995" customWidth="1" width="11.42578125"/>
    <col min="8996" max="8996" customWidth="1" width="11.42578125"/>
    <col min="8997" max="8997" customWidth="1" width="11.42578125"/>
    <col min="8998" max="8998" customWidth="1" width="11.42578125"/>
    <col min="8999" max="8999" customWidth="1" width="11.42578125"/>
    <col min="9000" max="9000" customWidth="1" width="11.42578125"/>
    <col min="9001" max="9001" customWidth="1" width="11.42578125"/>
    <col min="9002" max="9002" customWidth="1" width="11.42578125"/>
    <col min="9003" max="9003" customWidth="1" width="11.42578125"/>
    <col min="9004" max="9004" customWidth="1" width="11.42578125"/>
    <col min="9005" max="9005" customWidth="1" width="11.42578125"/>
    <col min="9006" max="9006" customWidth="1" width="11.42578125"/>
    <col min="9007" max="9007" customWidth="1" width="11.42578125"/>
    <col min="9008" max="9008" customWidth="1" width="11.42578125"/>
    <col min="9009" max="9009" customWidth="1" width="11.42578125"/>
    <col min="9010" max="9010" customWidth="1" width="11.42578125"/>
    <col min="9011" max="9011" customWidth="1" width="11.42578125"/>
    <col min="9012" max="9012" customWidth="1" width="11.42578125"/>
    <col min="9013" max="9013" customWidth="1" width="11.42578125"/>
    <col min="9014" max="9014" customWidth="1" width="11.42578125"/>
    <col min="9015" max="9015" customWidth="1" width="11.42578125"/>
    <col min="9016" max="9016" customWidth="1" width="11.42578125"/>
    <col min="9017" max="9017" customWidth="1" width="11.42578125"/>
    <col min="9018" max="9018" customWidth="1" width="11.42578125"/>
    <col min="9019" max="9019" customWidth="1" width="11.42578125"/>
    <col min="9020" max="9020" customWidth="1" width="11.42578125"/>
    <col min="9021" max="9021" customWidth="1" width="11.42578125"/>
    <col min="9022" max="9022" customWidth="1" width="11.42578125"/>
    <col min="9023" max="9023" customWidth="1" width="11.42578125"/>
    <col min="9024" max="9024" customWidth="1" width="11.42578125"/>
    <col min="9025" max="9025" customWidth="1" width="11.42578125"/>
    <col min="9026" max="9026" customWidth="1" width="11.42578125"/>
    <col min="9027" max="9027" customWidth="1" width="11.42578125"/>
    <col min="9028" max="9028" customWidth="1" width="11.42578125"/>
    <col min="9029" max="9029" customWidth="1" width="11.42578125"/>
    <col min="9030" max="9030" customWidth="1" width="11.42578125"/>
    <col min="9031" max="9031" customWidth="1" width="11.42578125"/>
    <col min="9032" max="9032" customWidth="1" width="11.42578125"/>
    <col min="9033" max="9033" customWidth="1" width="11.42578125"/>
    <col min="9034" max="9034" customWidth="1" width="11.42578125"/>
    <col min="9035" max="9035" customWidth="1" width="11.42578125"/>
    <col min="9036" max="9036" customWidth="1" width="11.42578125"/>
    <col min="9037" max="9037" customWidth="1" width="11.42578125"/>
    <col min="9038" max="9038" customWidth="1" width="11.42578125"/>
    <col min="9039" max="9039" customWidth="1" width="11.42578125"/>
    <col min="9040" max="9040" customWidth="1" width="11.42578125"/>
    <col min="9041" max="9041" customWidth="1" width="11.42578125"/>
    <col min="9042" max="9042" customWidth="1" width="11.42578125"/>
    <col min="9043" max="9043" customWidth="1" width="11.42578125"/>
    <col min="9044" max="9044" customWidth="1" width="11.42578125"/>
    <col min="9045" max="9045" customWidth="1" width="11.42578125"/>
    <col min="9046" max="9046" customWidth="1" width="11.42578125"/>
    <col min="9047" max="9047" customWidth="1" width="11.42578125"/>
    <col min="9048" max="9048" customWidth="1" width="11.42578125"/>
    <col min="9049" max="9049" customWidth="1" width="11.42578125"/>
    <col min="9050" max="9050" customWidth="1" width="11.42578125"/>
    <col min="9051" max="9051" customWidth="1" width="11.42578125"/>
    <col min="9052" max="9052" customWidth="1" width="11.42578125"/>
    <col min="9053" max="9053" customWidth="1" width="11.42578125"/>
    <col min="9054" max="9054" customWidth="1" width="11.42578125"/>
    <col min="9055" max="9055" customWidth="1" width="11.42578125"/>
    <col min="9056" max="9056" customWidth="1" width="11.42578125"/>
    <col min="9057" max="9057" customWidth="1" width="11.42578125"/>
    <col min="9058" max="9058" customWidth="1" width="11.42578125"/>
    <col min="9059" max="9059" customWidth="1" width="11.42578125"/>
    <col min="9060" max="9060" customWidth="1" width="11.42578125"/>
    <col min="9061" max="9061" customWidth="1" width="11.42578125"/>
    <col min="9062" max="9062" customWidth="1" width="11.42578125"/>
    <col min="9063" max="9063" customWidth="1" width="11.42578125"/>
    <col min="9064" max="9064" customWidth="1" width="11.42578125"/>
    <col min="9065" max="9065" customWidth="1" width="11.42578125"/>
    <col min="9066" max="9066" customWidth="1" width="11.42578125"/>
    <col min="9067" max="9067" customWidth="1" width="11.42578125"/>
    <col min="9068" max="9068" customWidth="1" width="11.42578125"/>
    <col min="9069" max="9069" customWidth="1" width="11.42578125"/>
    <col min="9070" max="9070" customWidth="1" width="11.42578125"/>
    <col min="9071" max="9071" customWidth="1" width="11.42578125"/>
    <col min="9072" max="9072" customWidth="1" width="11.42578125"/>
    <col min="9073" max="9073" customWidth="1" width="11.42578125"/>
    <col min="9074" max="9074" customWidth="1" width="11.42578125"/>
    <col min="9075" max="9075" customWidth="1" width="11.42578125"/>
    <col min="9076" max="9076" customWidth="1" width="11.42578125"/>
    <col min="9077" max="9077" customWidth="1" width="11.42578125"/>
    <col min="9078" max="9078" customWidth="1" width="11.42578125"/>
    <col min="9079" max="9079" customWidth="1" width="11.42578125"/>
    <col min="9080" max="9080" customWidth="1" width="11.42578125"/>
    <col min="9081" max="9081" customWidth="1" width="11.42578125"/>
    <col min="9082" max="9082" customWidth="1" width="11.42578125"/>
    <col min="9083" max="9083" customWidth="1" width="11.42578125"/>
    <col min="9084" max="9084" customWidth="1" width="11.42578125"/>
    <col min="9085" max="9085" customWidth="1" width="11.42578125"/>
    <col min="9086" max="9086" customWidth="1" width="11.42578125"/>
    <col min="9087" max="9087" customWidth="1" width="11.42578125"/>
    <col min="9088" max="9088" customWidth="1" width="11.42578125"/>
    <col min="9089" max="9089" customWidth="1" width="11.42578125"/>
    <col min="9090" max="9090" customWidth="1" width="11.42578125"/>
    <col min="9091" max="9091" customWidth="1" width="11.42578125"/>
    <col min="9092" max="9092" customWidth="1" width="11.42578125"/>
    <col min="9093" max="9093" customWidth="1" width="11.42578125"/>
    <col min="9094" max="9094" customWidth="1" width="11.42578125"/>
    <col min="9095" max="9095" customWidth="1" width="11.42578125"/>
    <col min="9096" max="9096" customWidth="1" width="11.42578125"/>
    <col min="9097" max="9097" customWidth="1" width="11.42578125"/>
    <col min="9098" max="9098" customWidth="1" width="11.42578125"/>
    <col min="9099" max="9099" customWidth="1" width="11.42578125"/>
    <col min="9100" max="9100" customWidth="1" width="11.42578125"/>
    <col min="9101" max="9101" customWidth="1" width="11.42578125"/>
    <col min="9102" max="9102" customWidth="1" width="11.42578125"/>
    <col min="9103" max="9103" customWidth="1" width="11.42578125"/>
    <col min="9104" max="9104" customWidth="1" width="11.42578125"/>
    <col min="9105" max="9105" customWidth="1" width="11.42578125"/>
    <col min="9106" max="9106" customWidth="1" width="11.42578125"/>
    <col min="9107" max="9107" customWidth="1" width="11.42578125"/>
    <col min="9108" max="9108" customWidth="1" width="11.42578125"/>
    <col min="9109" max="9109" customWidth="1" width="11.42578125"/>
    <col min="9110" max="9110" customWidth="1" width="11.42578125"/>
    <col min="9111" max="9111" customWidth="1" width="11.42578125"/>
    <col min="9112" max="9112" customWidth="1" width="11.42578125"/>
    <col min="9113" max="9113" customWidth="1" width="11.42578125"/>
    <col min="9114" max="9114" customWidth="1" width="11.42578125"/>
    <col min="9115" max="9115" customWidth="1" width="11.42578125"/>
    <col min="9116" max="9116" customWidth="1" width="11.42578125"/>
    <col min="9117" max="9117" customWidth="1" width="11.42578125"/>
    <col min="9118" max="9118" customWidth="1" width="11.42578125"/>
    <col min="9119" max="9119" customWidth="1" width="11.42578125"/>
    <col min="9120" max="9120" customWidth="1" width="11.42578125"/>
    <col min="9121" max="9121" customWidth="1" width="11.42578125"/>
    <col min="9122" max="9122" customWidth="1" width="11.42578125"/>
    <col min="9123" max="9123" customWidth="1" width="11.42578125"/>
    <col min="9124" max="9124" customWidth="1" width="11.42578125"/>
    <col min="9125" max="9125" customWidth="1" width="11.42578125"/>
    <col min="9126" max="9126" customWidth="1" width="11.42578125"/>
    <col min="9127" max="9127" customWidth="1" width="11.42578125"/>
    <col min="9128" max="9128" customWidth="1" width="11.42578125"/>
    <col min="9129" max="9129" customWidth="1" width="11.42578125"/>
    <col min="9130" max="9130" customWidth="1" width="11.42578125"/>
    <col min="9131" max="9131" customWidth="1" width="11.42578125"/>
    <col min="9132" max="9132" customWidth="1" width="11.42578125"/>
    <col min="9133" max="9133" customWidth="1" width="11.42578125"/>
    <col min="9134" max="9134" customWidth="1" width="11.42578125"/>
    <col min="9135" max="9135" customWidth="1" width="11.42578125"/>
    <col min="9136" max="9136" customWidth="1" width="11.42578125"/>
    <col min="9137" max="9137" customWidth="1" width="11.42578125"/>
    <col min="9138" max="9138" customWidth="1" width="11.42578125"/>
    <col min="9139" max="9139" customWidth="1" width="11.42578125"/>
    <col min="9140" max="9140" customWidth="1" width="11.42578125"/>
    <col min="9141" max="9141" customWidth="1" width="11.42578125"/>
    <col min="9142" max="9142" customWidth="1" width="11.42578125"/>
    <col min="9143" max="9143" customWidth="1" width="11.42578125"/>
    <col min="9144" max="9144" customWidth="1" width="11.42578125"/>
    <col min="9145" max="9145" customWidth="1" width="11.42578125"/>
    <col min="9146" max="9146" customWidth="1" width="11.42578125"/>
    <col min="9147" max="9147" customWidth="1" width="11.42578125"/>
    <col min="9148" max="9148" customWidth="1" width="11.42578125"/>
    <col min="9149" max="9149" customWidth="1" width="11.42578125"/>
    <col min="9150" max="9150" customWidth="1" width="11.42578125"/>
    <col min="9151" max="9151" customWidth="1" width="11.42578125"/>
    <col min="9152" max="9152" customWidth="1" width="11.42578125"/>
    <col min="9153" max="9153" customWidth="1" width="11.42578125"/>
    <col min="9154" max="9154" customWidth="1" width="11.42578125"/>
    <col min="9155" max="9155" customWidth="1" width="11.42578125"/>
    <col min="9156" max="9156" customWidth="1" width="11.42578125"/>
    <col min="9157" max="9157" customWidth="1" width="11.42578125"/>
    <col min="9158" max="9158" customWidth="1" width="11.42578125"/>
    <col min="9159" max="9159" customWidth="1" width="11.42578125"/>
    <col min="9160" max="9160" customWidth="1" width="11.42578125"/>
    <col min="9161" max="9161" customWidth="1" width="11.42578125"/>
    <col min="9162" max="9162" customWidth="1" width="11.42578125"/>
    <col min="9163" max="9163" customWidth="1" width="11.42578125"/>
    <col min="9164" max="9164" customWidth="1" width="11.42578125"/>
    <col min="9165" max="9165" customWidth="1" width="11.42578125"/>
    <col min="9166" max="9166" customWidth="1" width="11.42578125"/>
    <col min="9167" max="9167" customWidth="1" width="11.42578125"/>
    <col min="9168" max="9168" customWidth="1" width="11.42578125"/>
    <col min="9169" max="9169" customWidth="1" width="11.42578125"/>
    <col min="9170" max="9170" customWidth="1" width="11.42578125"/>
    <col min="9171" max="9171" customWidth="1" width="11.42578125"/>
    <col min="9172" max="9172" customWidth="1" width="11.42578125"/>
    <col min="9173" max="9173" customWidth="1" width="11.42578125"/>
    <col min="9174" max="9174" customWidth="1" width="11.42578125"/>
    <col min="9175" max="9175" customWidth="1" width="11.42578125"/>
    <col min="9176" max="9176" customWidth="1" width="11.42578125"/>
    <col min="9177" max="9177" customWidth="1" width="11.42578125"/>
    <col min="9178" max="9178" customWidth="1" width="11.42578125"/>
    <col min="9179" max="9179" customWidth="1" width="11.42578125"/>
    <col min="9180" max="9180" customWidth="1" width="11.42578125"/>
    <col min="9181" max="9181" customWidth="1" width="11.42578125"/>
    <col min="9182" max="9182" customWidth="1" width="11.42578125"/>
    <col min="9183" max="9183" customWidth="1" width="11.42578125"/>
    <col min="9184" max="9184" customWidth="1" width="11.42578125"/>
    <col min="9185" max="9185" customWidth="1" width="11.42578125"/>
    <col min="9186" max="9186" customWidth="1" width="11.42578125"/>
    <col min="9187" max="9187" customWidth="1" width="11.42578125"/>
    <col min="9188" max="9188" customWidth="1" width="11.42578125"/>
    <col min="9189" max="9189" customWidth="1" width="11.42578125"/>
    <col min="9190" max="9190" customWidth="1" width="11.42578125"/>
    <col min="9191" max="9191" customWidth="1" width="11.42578125"/>
    <col min="9192" max="9192" customWidth="1" width="11.42578125"/>
    <col min="9193" max="9193" customWidth="1" width="11.42578125"/>
    <col min="9194" max="9194" customWidth="1" width="11.42578125"/>
    <col min="9195" max="9195" customWidth="1" width="11.42578125"/>
    <col min="9196" max="9196" customWidth="1" width="11.42578125"/>
    <col min="9197" max="9197" customWidth="1" width="11.42578125"/>
    <col min="9198" max="9198" customWidth="1" width="11.42578125"/>
    <col min="9199" max="9199" customWidth="1" width="11.42578125"/>
    <col min="9200" max="9200" customWidth="1" width="11.42578125"/>
    <col min="9201" max="9201" customWidth="1" width="11.42578125"/>
    <col min="9202" max="9202" customWidth="1" width="11.42578125"/>
    <col min="9203" max="9203" customWidth="1" width="11.42578125"/>
    <col min="9204" max="9204" customWidth="1" width="11.42578125"/>
    <col min="9205" max="9205" customWidth="1" width="11.42578125"/>
    <col min="9206" max="9206" customWidth="1" width="11.42578125"/>
    <col min="9207" max="9207" customWidth="1" width="11.42578125"/>
    <col min="9208" max="9208" customWidth="1" width="11.42578125"/>
    <col min="9209" max="9209" customWidth="1" width="11.42578125"/>
    <col min="9210" max="9210" customWidth="1" width="11.42578125"/>
    <col min="9211" max="9211" customWidth="1" width="11.42578125"/>
    <col min="9212" max="9212" customWidth="1" width="11.42578125"/>
    <col min="9213" max="9213" customWidth="1" width="11.42578125"/>
    <col min="9214" max="9214" customWidth="1" width="11.42578125"/>
    <col min="9215" max="9215" customWidth="1" width="11.42578125"/>
    <col min="9216" max="9216" customWidth="1" width="11.42578125"/>
    <col min="9217" max="9217" customWidth="1" width="11.42578125"/>
    <col min="9218" max="9218" customWidth="1" width="11.42578125"/>
    <col min="9219" max="9219" customWidth="1" width="11.42578125"/>
    <col min="9220" max="9220" customWidth="1" width="11.42578125"/>
    <col min="9221" max="9221" customWidth="1" width="11.42578125"/>
    <col min="9222" max="9222" customWidth="1" width="11.42578125"/>
    <col min="9223" max="9223" customWidth="1" width="11.42578125"/>
    <col min="9224" max="9224" customWidth="1" width="11.42578125"/>
    <col min="9225" max="9225" customWidth="1" width="11.42578125"/>
    <col min="9226" max="9226" customWidth="1" width="11.42578125"/>
    <col min="9227" max="9227" customWidth="1" width="11.42578125"/>
    <col min="9228" max="9228" customWidth="1" width="11.42578125"/>
    <col min="9229" max="9229" customWidth="1" width="11.42578125"/>
    <col min="9230" max="9230" customWidth="1" width="11.42578125"/>
    <col min="9231" max="9231" customWidth="1" width="11.42578125"/>
    <col min="9232" max="9232" customWidth="1" width="11.42578125"/>
    <col min="9233" max="9233" customWidth="1" width="11.42578125"/>
    <col min="9234" max="9234" customWidth="1" width="11.42578125"/>
    <col min="9235" max="9235" customWidth="1" width="11.42578125"/>
    <col min="9236" max="9236" customWidth="1" width="11.42578125"/>
    <col min="9237" max="9237" customWidth="1" width="11.42578125"/>
    <col min="9238" max="9238" customWidth="1" width="11.42578125"/>
    <col min="9239" max="9239" customWidth="1" width="11.42578125"/>
    <col min="9240" max="9240" customWidth="1" width="11.42578125"/>
    <col min="9241" max="9241" customWidth="1" width="11.42578125"/>
    <col min="9242" max="9242" customWidth="1" width="11.42578125"/>
    <col min="9243" max="9243" customWidth="1" width="11.42578125"/>
    <col min="9244" max="9244" customWidth="1" width="11.42578125"/>
    <col min="9245" max="9245" customWidth="1" width="11.42578125"/>
    <col min="9246" max="9246" customWidth="1" width="11.42578125"/>
    <col min="9247" max="9247" customWidth="1" width="11.42578125"/>
    <col min="9248" max="9248" customWidth="1" width="11.42578125"/>
    <col min="9249" max="9249" customWidth="1" width="11.42578125"/>
    <col min="9250" max="9250" customWidth="1" width="11.42578125"/>
    <col min="9251" max="9251" customWidth="1" width="11.42578125"/>
    <col min="9252" max="9252" customWidth="1" width="11.42578125"/>
    <col min="9253" max="9253" customWidth="1" width="11.42578125"/>
    <col min="9254" max="9254" customWidth="1" width="11.42578125"/>
    <col min="9255" max="9255" customWidth="1" width="11.42578125"/>
    <col min="9256" max="9256" customWidth="1" width="11.42578125"/>
    <col min="9257" max="9257" customWidth="1" width="11.42578125"/>
    <col min="9258" max="9258" customWidth="1" width="11.42578125"/>
    <col min="9259" max="9259" customWidth="1" width="11.42578125"/>
    <col min="9260" max="9260" customWidth="1" width="11.42578125"/>
    <col min="9261" max="9261" customWidth="1" width="11.42578125"/>
    <col min="9262" max="9262" customWidth="1" width="11.42578125"/>
    <col min="9263" max="9263" customWidth="1" width="11.42578125"/>
    <col min="9264" max="9264" customWidth="1" width="11.42578125"/>
    <col min="9265" max="9265" customWidth="1" width="11.42578125"/>
    <col min="9266" max="9266" customWidth="1" width="11.42578125"/>
    <col min="9267" max="9267" customWidth="1" width="11.42578125"/>
    <col min="9268" max="9268" customWidth="1" width="11.42578125"/>
    <col min="9269" max="9269" customWidth="1" width="11.42578125"/>
    <col min="9270" max="9270" customWidth="1" width="11.42578125"/>
    <col min="9271" max="9271" customWidth="1" width="11.42578125"/>
    <col min="9272" max="9272" customWidth="1" width="11.42578125"/>
    <col min="9273" max="9273" customWidth="1" width="11.42578125"/>
    <col min="9274" max="9274" customWidth="1" width="11.42578125"/>
    <col min="9275" max="9275" customWidth="1" width="11.42578125"/>
    <col min="9276" max="9276" customWidth="1" width="11.42578125"/>
    <col min="9277" max="9277" customWidth="1" width="11.42578125"/>
    <col min="9278" max="9278" customWidth="1" width="11.42578125"/>
    <col min="9279" max="9279" customWidth="1" width="11.42578125"/>
    <col min="9280" max="9280" customWidth="1" width="11.42578125"/>
    <col min="9281" max="9281" customWidth="1" width="11.42578125"/>
    <col min="9282" max="9282" customWidth="1" width="11.42578125"/>
    <col min="9283" max="9283" customWidth="1" width="11.42578125"/>
    <col min="9284" max="9284" customWidth="1" width="11.42578125"/>
    <col min="9285" max="9285" customWidth="1" width="11.42578125"/>
    <col min="9286" max="9286" customWidth="1" width="11.42578125"/>
    <col min="9287" max="9287" customWidth="1" width="11.42578125"/>
    <col min="9288" max="9288" customWidth="1" width="11.42578125"/>
    <col min="9289" max="9289" customWidth="1" width="11.42578125"/>
    <col min="9290" max="9290" customWidth="1" width="11.42578125"/>
    <col min="9291" max="9291" customWidth="1" width="11.42578125"/>
    <col min="9292" max="9292" customWidth="1" width="11.42578125"/>
    <col min="9293" max="9293" customWidth="1" width="11.42578125"/>
    <col min="9294" max="9294" customWidth="1" width="11.42578125"/>
    <col min="9295" max="9295" customWidth="1" width="11.42578125"/>
    <col min="9296" max="9296" customWidth="1" width="11.42578125"/>
    <col min="9297" max="9297" customWidth="1" width="11.42578125"/>
    <col min="9298" max="9298" customWidth="1" width="11.42578125"/>
    <col min="9299" max="9299" customWidth="1" width="11.42578125"/>
    <col min="9300" max="9300" customWidth="1" width="11.42578125"/>
    <col min="9301" max="9301" customWidth="1" width="11.42578125"/>
    <col min="9302" max="9302" customWidth="1" width="11.42578125"/>
    <col min="9303" max="9303" customWidth="1" width="11.42578125"/>
    <col min="9304" max="9304" customWidth="1" width="11.42578125"/>
    <col min="9305" max="9305" customWidth="1" width="11.42578125"/>
    <col min="9306" max="9306" customWidth="1" width="11.42578125"/>
    <col min="9307" max="9307" customWidth="1" width="11.42578125"/>
    <col min="9308" max="9308" customWidth="1" width="11.42578125"/>
    <col min="9309" max="9309" customWidth="1" width="11.42578125"/>
    <col min="9310" max="9310" customWidth="1" width="11.42578125"/>
    <col min="9311" max="9311" customWidth="1" width="11.42578125"/>
    <col min="9312" max="9312" customWidth="1" width="11.42578125"/>
    <col min="9313" max="9313" customWidth="1" width="11.42578125"/>
    <col min="9314" max="9314" customWidth="1" width="11.42578125"/>
    <col min="9315" max="9315" customWidth="1" width="11.42578125"/>
    <col min="9316" max="9316" customWidth="1" width="11.42578125"/>
    <col min="9317" max="9317" customWidth="1" width="11.42578125"/>
    <col min="9318" max="9318" customWidth="1" width="11.42578125"/>
    <col min="9319" max="9319" customWidth="1" width="11.42578125"/>
    <col min="9320" max="9320" customWidth="1" width="11.42578125"/>
    <col min="9321" max="9321" customWidth="1" width="11.42578125"/>
    <col min="9322" max="9322" customWidth="1" width="11.42578125"/>
    <col min="9323" max="9323" customWidth="1" width="11.42578125"/>
    <col min="9324" max="9324" customWidth="1" width="11.42578125"/>
    <col min="9325" max="9325" customWidth="1" width="11.42578125"/>
    <col min="9326" max="9326" customWidth="1" width="11.42578125"/>
    <col min="9327" max="9327" customWidth="1" width="11.42578125"/>
    <col min="9328" max="9328" customWidth="1" width="11.42578125"/>
    <col min="9329" max="9329" customWidth="1" width="11.42578125"/>
    <col min="9330" max="9330" customWidth="1" width="11.42578125"/>
    <col min="9331" max="9331" customWidth="1" width="11.42578125"/>
    <col min="9332" max="9332" customWidth="1" width="11.42578125"/>
    <col min="9333" max="9333" customWidth="1" width="11.42578125"/>
    <col min="9334" max="9334" customWidth="1" width="11.42578125"/>
    <col min="9335" max="9335" customWidth="1" width="11.42578125"/>
    <col min="9336" max="9336" customWidth="1" width="11.42578125"/>
    <col min="9337" max="9337" customWidth="1" width="11.42578125"/>
    <col min="9338" max="9338" customWidth="1" width="11.42578125"/>
    <col min="9339" max="9339" customWidth="1" width="11.42578125"/>
    <col min="9340" max="9340" customWidth="1" width="11.42578125"/>
    <col min="9341" max="9341" customWidth="1" width="11.42578125"/>
    <col min="9342" max="9342" customWidth="1" width="11.42578125"/>
    <col min="9343" max="9343" customWidth="1" width="11.42578125"/>
    <col min="9344" max="9344" customWidth="1" width="11.42578125"/>
    <col min="9345" max="9345" customWidth="1" width="11.42578125"/>
    <col min="9346" max="9346" customWidth="1" width="11.42578125"/>
    <col min="9347" max="9347" customWidth="1" width="11.42578125"/>
    <col min="9348" max="9348" customWidth="1" width="11.42578125"/>
    <col min="9349" max="9349" customWidth="1" width="11.42578125"/>
    <col min="9350" max="9350" customWidth="1" width="11.42578125"/>
    <col min="9351" max="9351" customWidth="1" width="11.42578125"/>
    <col min="9352" max="9352" customWidth="1" width="11.42578125"/>
    <col min="9353" max="9353" customWidth="1" width="11.42578125"/>
    <col min="9354" max="9354" customWidth="1" width="11.42578125"/>
    <col min="9355" max="9355" customWidth="1" width="11.42578125"/>
    <col min="9356" max="9356" customWidth="1" width="11.42578125"/>
    <col min="9357" max="9357" customWidth="1" width="11.42578125"/>
    <col min="9358" max="9358" customWidth="1" width="11.42578125"/>
    <col min="9359" max="9359" customWidth="1" width="11.42578125"/>
    <col min="9360" max="9360" customWidth="1" width="11.42578125"/>
    <col min="9361" max="9361" customWidth="1" width="11.42578125"/>
    <col min="9362" max="9362" customWidth="1" width="11.42578125"/>
    <col min="9363" max="9363" customWidth="1" width="11.42578125"/>
    <col min="9364" max="9364" customWidth="1" width="11.42578125"/>
    <col min="9365" max="9365" customWidth="1" width="11.42578125"/>
    <col min="9366" max="9366" customWidth="1" width="11.42578125"/>
    <col min="9367" max="9367" customWidth="1" width="11.42578125"/>
    <col min="9368" max="9368" customWidth="1" width="11.42578125"/>
    <col min="9369" max="9369" customWidth="1" width="11.42578125"/>
    <col min="9370" max="9370" customWidth="1" width="11.42578125"/>
    <col min="9371" max="9371" customWidth="1" width="11.42578125"/>
    <col min="9372" max="9372" customWidth="1" width="11.42578125"/>
    <col min="9373" max="9373" customWidth="1" width="11.42578125"/>
    <col min="9374" max="9374" customWidth="1" width="11.42578125"/>
    <col min="9375" max="9375" customWidth="1" width="11.42578125"/>
    <col min="9376" max="9376" customWidth="1" width="11.42578125"/>
    <col min="9377" max="9377" customWidth="1" width="11.42578125"/>
    <col min="9378" max="9378" customWidth="1" width="11.42578125"/>
    <col min="9379" max="9379" customWidth="1" width="11.42578125"/>
    <col min="9380" max="9380" customWidth="1" width="11.42578125"/>
    <col min="9381" max="9381" customWidth="1" width="11.42578125"/>
    <col min="9382" max="9382" customWidth="1" width="11.42578125"/>
    <col min="9383" max="9383" customWidth="1" width="11.42578125"/>
    <col min="9384" max="9384" customWidth="1" width="11.42578125"/>
    <col min="9385" max="9385" customWidth="1" width="11.42578125"/>
    <col min="9386" max="9386" customWidth="1" width="11.42578125"/>
    <col min="9387" max="9387" customWidth="1" width="11.42578125"/>
    <col min="9388" max="9388" customWidth="1" width="11.42578125"/>
    <col min="9389" max="9389" customWidth="1" width="11.42578125"/>
    <col min="9390" max="9390" customWidth="1" width="11.42578125"/>
    <col min="9391" max="9391" customWidth="1" width="11.42578125"/>
    <col min="9392" max="9392" customWidth="1" width="11.42578125"/>
    <col min="9393" max="9393" customWidth="1" width="11.42578125"/>
    <col min="9394" max="9394" customWidth="1" width="11.42578125"/>
    <col min="9395" max="9395" customWidth="1" width="11.42578125"/>
    <col min="9396" max="9396" customWidth="1" width="11.42578125"/>
    <col min="9397" max="9397" customWidth="1" width="11.42578125"/>
    <col min="9398" max="9398" customWidth="1" width="11.42578125"/>
    <col min="9399" max="9399" customWidth="1" width="11.42578125"/>
    <col min="9400" max="9400" customWidth="1" width="11.42578125"/>
    <col min="9401" max="9401" customWidth="1" width="11.42578125"/>
    <col min="9402" max="9402" customWidth="1" width="11.42578125"/>
    <col min="9403" max="9403" customWidth="1" width="11.42578125"/>
    <col min="9404" max="9404" customWidth="1" width="11.42578125"/>
    <col min="9405" max="9405" customWidth="1" width="11.42578125"/>
    <col min="9406" max="9406" customWidth="1" width="11.42578125"/>
    <col min="9407" max="9407" customWidth="1" width="11.42578125"/>
    <col min="9408" max="9408" customWidth="1" width="11.42578125"/>
    <col min="9409" max="9409" customWidth="1" width="11.42578125"/>
    <col min="9410" max="9410" customWidth="1" width="11.42578125"/>
    <col min="9411" max="9411" customWidth="1" width="11.42578125"/>
    <col min="9412" max="9412" customWidth="1" width="11.42578125"/>
    <col min="9413" max="9413" customWidth="1" width="11.42578125"/>
    <col min="9414" max="9414" customWidth="1" width="11.42578125"/>
    <col min="9415" max="9415" customWidth="1" width="11.42578125"/>
    <col min="9416" max="9416" customWidth="1" width="11.42578125"/>
    <col min="9417" max="9417" customWidth="1" width="11.42578125"/>
    <col min="9418" max="9418" customWidth="1" width="11.42578125"/>
    <col min="9419" max="9419" customWidth="1" width="11.42578125"/>
    <col min="9420" max="9420" customWidth="1" width="11.42578125"/>
    <col min="9421" max="9421" customWidth="1" width="11.42578125"/>
    <col min="9422" max="9422" customWidth="1" width="11.42578125"/>
    <col min="9423" max="9423" customWidth="1" width="11.42578125"/>
    <col min="9424" max="9424" customWidth="1" width="11.42578125"/>
    <col min="9425" max="9425" customWidth="1" width="11.42578125"/>
    <col min="9426" max="9426" customWidth="1" width="11.42578125"/>
    <col min="9427" max="9427" customWidth="1" width="11.42578125"/>
    <col min="9428" max="9428" customWidth="1" width="11.42578125"/>
    <col min="9429" max="9429" customWidth="1" width="11.42578125"/>
    <col min="9430" max="9430" customWidth="1" width="11.42578125"/>
    <col min="9431" max="9431" customWidth="1" width="11.42578125"/>
    <col min="9432" max="9432" customWidth="1" width="11.42578125"/>
    <col min="9433" max="9433" customWidth="1" width="11.42578125"/>
    <col min="9434" max="9434" customWidth="1" width="11.42578125"/>
    <col min="9435" max="9435" customWidth="1" width="11.42578125"/>
    <col min="9436" max="9436" customWidth="1" width="11.42578125"/>
    <col min="9437" max="9437" customWidth="1" width="11.42578125"/>
    <col min="9438" max="9438" customWidth="1" width="11.42578125"/>
    <col min="9439" max="9439" customWidth="1" width="11.42578125"/>
    <col min="9440" max="9440" customWidth="1" width="11.42578125"/>
    <col min="9441" max="9441" customWidth="1" width="11.42578125"/>
    <col min="9442" max="9442" customWidth="1" width="11.42578125"/>
    <col min="9443" max="9443" customWidth="1" width="11.42578125"/>
    <col min="9444" max="9444" customWidth="1" width="11.42578125"/>
    <col min="9445" max="9445" customWidth="1" width="11.42578125"/>
    <col min="9446" max="9446" customWidth="1" width="11.42578125"/>
    <col min="9447" max="9447" customWidth="1" width="11.42578125"/>
    <col min="9448" max="9448" customWidth="1" width="11.42578125"/>
    <col min="9449" max="9449" customWidth="1" width="11.42578125"/>
    <col min="9450" max="9450" customWidth="1" width="11.42578125"/>
    <col min="9451" max="9451" customWidth="1" width="11.42578125"/>
    <col min="9452" max="9452" customWidth="1" width="11.42578125"/>
    <col min="9453" max="9453" customWidth="1" width="11.42578125"/>
    <col min="9454" max="9454" customWidth="1" width="11.42578125"/>
    <col min="9455" max="9455" customWidth="1" width="11.42578125"/>
    <col min="9456" max="9456" customWidth="1" width="11.42578125"/>
    <col min="9457" max="9457" customWidth="1" width="11.42578125"/>
    <col min="9458" max="9458" customWidth="1" width="11.42578125"/>
    <col min="9459" max="9459" customWidth="1" width="11.42578125"/>
    <col min="9460" max="9460" customWidth="1" width="11.42578125"/>
    <col min="9461" max="9461" customWidth="1" width="11.42578125"/>
    <col min="9462" max="9462" customWidth="1" width="11.42578125"/>
    <col min="9463" max="9463" customWidth="1" width="11.42578125"/>
    <col min="9464" max="9464" customWidth="1" width="11.42578125"/>
    <col min="9465" max="9465" customWidth="1" width="11.42578125"/>
    <col min="9466" max="9466" customWidth="1" width="11.42578125"/>
    <col min="9467" max="9467" customWidth="1" width="11.42578125"/>
    <col min="9468" max="9468" customWidth="1" width="11.42578125"/>
    <col min="9469" max="9469" customWidth="1" width="11.42578125"/>
    <col min="9470" max="9470" customWidth="1" width="11.42578125"/>
    <col min="9471" max="9471" customWidth="1" width="11.42578125"/>
    <col min="9472" max="9472" customWidth="1" width="11.42578125"/>
    <col min="9473" max="9473" customWidth="1" width="11.42578125"/>
    <col min="9474" max="9474" customWidth="1" width="11.42578125"/>
    <col min="9475" max="9475" customWidth="1" width="11.42578125"/>
    <col min="9476" max="9476" customWidth="1" width="11.42578125"/>
    <col min="9477" max="9477" customWidth="1" width="11.42578125"/>
    <col min="9478" max="9478" customWidth="1" width="11.42578125"/>
    <col min="9479" max="9479" customWidth="1" width="11.42578125"/>
    <col min="9480" max="9480" customWidth="1" width="11.42578125"/>
    <col min="9481" max="9481" customWidth="1" width="11.42578125"/>
    <col min="9482" max="9482" customWidth="1" width="11.42578125"/>
    <col min="9483" max="9483" customWidth="1" width="11.42578125"/>
    <col min="9484" max="9484" customWidth="1" width="11.42578125"/>
    <col min="9485" max="9485" customWidth="1" width="11.42578125"/>
    <col min="9486" max="9486" customWidth="1" width="11.42578125"/>
    <col min="9487" max="9487" customWidth="1" width="11.42578125"/>
    <col min="9488" max="9488" customWidth="1" width="11.42578125"/>
    <col min="9489" max="9489" customWidth="1" width="11.42578125"/>
    <col min="9490" max="9490" customWidth="1" width="11.42578125"/>
    <col min="9491" max="9491" customWidth="1" width="11.42578125"/>
    <col min="9492" max="9492" customWidth="1" width="11.42578125"/>
    <col min="9493" max="9493" customWidth="1" width="11.42578125"/>
    <col min="9494" max="9494" customWidth="1" width="11.42578125"/>
    <col min="9495" max="9495" customWidth="1" width="11.42578125"/>
    <col min="9496" max="9496" customWidth="1" width="11.42578125"/>
    <col min="9497" max="9497" customWidth="1" width="11.42578125"/>
    <col min="9498" max="9498" customWidth="1" width="11.42578125"/>
    <col min="9499" max="9499" customWidth="1" width="11.42578125"/>
    <col min="9500" max="9500" customWidth="1" width="11.42578125"/>
    <col min="9501" max="9501" customWidth="1" width="11.42578125"/>
    <col min="9502" max="9502" customWidth="1" width="11.42578125"/>
    <col min="9503" max="9503" customWidth="1" width="11.42578125"/>
    <col min="9504" max="9504" customWidth="1" width="11.42578125"/>
    <col min="9505" max="9505" customWidth="1" width="11.42578125"/>
    <col min="9506" max="9506" customWidth="1" width="11.42578125"/>
    <col min="9507" max="9507" customWidth="1" width="11.42578125"/>
    <col min="9508" max="9508" customWidth="1" width="11.42578125"/>
    <col min="9509" max="9509" customWidth="1" width="11.42578125"/>
    <col min="9510" max="9510" customWidth="1" width="11.42578125"/>
    <col min="9511" max="9511" customWidth="1" width="11.42578125"/>
    <col min="9512" max="9512" customWidth="1" width="11.42578125"/>
    <col min="9513" max="9513" customWidth="1" width="11.42578125"/>
    <col min="9514" max="9514" customWidth="1" width="11.42578125"/>
    <col min="9515" max="9515" customWidth="1" width="11.42578125"/>
    <col min="9516" max="9516" customWidth="1" width="11.42578125"/>
    <col min="9517" max="9517" customWidth="1" width="11.42578125"/>
    <col min="9518" max="9518" customWidth="1" width="11.42578125"/>
    <col min="9519" max="9519" customWidth="1" width="11.42578125"/>
    <col min="9520" max="9520" customWidth="1" width="11.42578125"/>
    <col min="9521" max="9521" customWidth="1" width="11.42578125"/>
    <col min="9522" max="9522" customWidth="1" width="11.42578125"/>
    <col min="9523" max="9523" customWidth="1" width="11.42578125"/>
    <col min="9524" max="9524" customWidth="1" width="11.42578125"/>
    <col min="9525" max="9525" customWidth="1" width="11.42578125"/>
    <col min="9526" max="9526" customWidth="1" width="11.42578125"/>
    <col min="9527" max="9527" customWidth="1" width="11.42578125"/>
    <col min="9528" max="9528" customWidth="1" width="11.42578125"/>
    <col min="9529" max="9529" customWidth="1" width="11.42578125"/>
    <col min="9530" max="9530" customWidth="1" width="11.42578125"/>
    <col min="9531" max="9531" customWidth="1" width="11.42578125"/>
    <col min="9532" max="9532" customWidth="1" width="11.42578125"/>
    <col min="9533" max="9533" customWidth="1" width="11.42578125"/>
    <col min="9534" max="9534" customWidth="1" width="11.42578125"/>
    <col min="9535" max="9535" customWidth="1" width="11.42578125"/>
    <col min="9536" max="9536" customWidth="1" width="11.42578125"/>
    <col min="9537" max="9537" customWidth="1" width="11.42578125"/>
    <col min="9538" max="9538" customWidth="1" width="11.42578125"/>
    <col min="9539" max="9539" customWidth="1" width="11.42578125"/>
    <col min="9540" max="9540" customWidth="1" width="11.42578125"/>
    <col min="9541" max="9541" customWidth="1" width="11.42578125"/>
    <col min="9542" max="9542" customWidth="1" width="11.42578125"/>
    <col min="9543" max="9543" customWidth="1" width="11.42578125"/>
    <col min="9544" max="9544" customWidth="1" width="11.42578125"/>
    <col min="9545" max="9545" customWidth="1" width="11.42578125"/>
    <col min="9546" max="9546" customWidth="1" width="11.42578125"/>
    <col min="9547" max="9547" customWidth="1" width="11.42578125"/>
    <col min="9548" max="9548" customWidth="1" width="11.42578125"/>
    <col min="9549" max="9549" customWidth="1" width="11.42578125"/>
    <col min="9550" max="9550" customWidth="1" width="11.42578125"/>
    <col min="9551" max="9551" customWidth="1" width="11.42578125"/>
    <col min="9552" max="9552" customWidth="1" width="11.42578125"/>
    <col min="9553" max="9553" customWidth="1" width="11.42578125"/>
    <col min="9554" max="9554" customWidth="1" width="11.42578125"/>
    <col min="9555" max="9555" customWidth="1" width="11.42578125"/>
    <col min="9556" max="9556" customWidth="1" width="11.42578125"/>
    <col min="9557" max="9557" customWidth="1" width="11.42578125"/>
    <col min="9558" max="9558" customWidth="1" width="11.42578125"/>
    <col min="9559" max="9559" customWidth="1" width="11.42578125"/>
    <col min="9560" max="9560" customWidth="1" width="11.42578125"/>
    <col min="9561" max="9561" customWidth="1" width="11.42578125"/>
    <col min="9562" max="9562" customWidth="1" width="11.42578125"/>
    <col min="9563" max="9563" customWidth="1" width="11.42578125"/>
    <col min="9564" max="9564" customWidth="1" width="11.42578125"/>
    <col min="9565" max="9565" customWidth="1" width="11.42578125"/>
    <col min="9566" max="9566" customWidth="1" width="11.42578125"/>
    <col min="9567" max="9567" customWidth="1" width="11.42578125"/>
    <col min="9568" max="9568" customWidth="1" width="11.42578125"/>
    <col min="9569" max="9569" customWidth="1" width="11.42578125"/>
    <col min="9570" max="9570" customWidth="1" width="11.42578125"/>
    <col min="9571" max="9571" customWidth="1" width="11.42578125"/>
    <col min="9572" max="9572" customWidth="1" width="11.42578125"/>
    <col min="9573" max="9573" customWidth="1" width="11.42578125"/>
    <col min="9574" max="9574" customWidth="1" width="11.42578125"/>
    <col min="9575" max="9575" customWidth="1" width="11.42578125"/>
    <col min="9576" max="9576" customWidth="1" width="11.42578125"/>
    <col min="9577" max="9577" customWidth="1" width="11.42578125"/>
    <col min="9578" max="9578" customWidth="1" width="11.42578125"/>
    <col min="9579" max="9579" customWidth="1" width="11.42578125"/>
    <col min="9580" max="9580" customWidth="1" width="11.42578125"/>
    <col min="9581" max="9581" customWidth="1" width="11.42578125"/>
    <col min="9582" max="9582" customWidth="1" width="11.42578125"/>
    <col min="9583" max="9583" customWidth="1" width="11.42578125"/>
    <col min="9584" max="9584" customWidth="1" width="11.42578125"/>
    <col min="9585" max="9585" customWidth="1" width="11.42578125"/>
    <col min="9586" max="9586" customWidth="1" width="11.42578125"/>
    <col min="9587" max="9587" customWidth="1" width="11.42578125"/>
    <col min="9588" max="9588" customWidth="1" width="11.42578125"/>
    <col min="9589" max="9589" customWidth="1" width="11.42578125"/>
    <col min="9590" max="9590" customWidth="1" width="11.42578125"/>
    <col min="9591" max="9591" customWidth="1" width="11.42578125"/>
    <col min="9592" max="9592" customWidth="1" width="11.42578125"/>
    <col min="9593" max="9593" customWidth="1" width="11.42578125"/>
    <col min="9594" max="9594" customWidth="1" width="11.42578125"/>
    <col min="9595" max="9595" customWidth="1" width="11.42578125"/>
    <col min="9596" max="9596" customWidth="1" width="11.42578125"/>
    <col min="9597" max="9597" customWidth="1" width="11.42578125"/>
    <col min="9598" max="9598" customWidth="1" width="11.42578125"/>
    <col min="9599" max="9599" customWidth="1" width="11.42578125"/>
    <col min="9600" max="9600" customWidth="1" width="11.42578125"/>
    <col min="9601" max="9601" customWidth="1" width="11.42578125"/>
    <col min="9602" max="9602" customWidth="1" width="11.42578125"/>
    <col min="9603" max="9603" customWidth="1" width="11.42578125"/>
    <col min="9604" max="9604" customWidth="1" width="11.42578125"/>
    <col min="9605" max="9605" customWidth="1" width="11.42578125"/>
    <col min="9606" max="9606" customWidth="1" width="11.42578125"/>
    <col min="9607" max="9607" customWidth="1" width="11.42578125"/>
    <col min="9608" max="9608" customWidth="1" width="11.42578125"/>
    <col min="9609" max="9609" customWidth="1" width="11.42578125"/>
    <col min="9610" max="9610" customWidth="1" width="11.42578125"/>
    <col min="9611" max="9611" customWidth="1" width="11.42578125"/>
    <col min="9612" max="9612" customWidth="1" width="11.42578125"/>
    <col min="9613" max="9613" customWidth="1" width="11.42578125"/>
    <col min="9614" max="9614" customWidth="1" width="11.42578125"/>
    <col min="9615" max="9615" customWidth="1" width="11.42578125"/>
    <col min="9616" max="9616" customWidth="1" width="11.42578125"/>
    <col min="9617" max="9617" customWidth="1" width="11.42578125"/>
    <col min="9618" max="9618" customWidth="1" width="11.42578125"/>
    <col min="9619" max="9619" customWidth="1" width="11.42578125"/>
    <col min="9620" max="9620" customWidth="1" width="11.42578125"/>
    <col min="9621" max="9621" customWidth="1" width="11.42578125"/>
    <col min="9622" max="9622" customWidth="1" width="11.42578125"/>
    <col min="9623" max="9623" customWidth="1" width="11.42578125"/>
    <col min="9624" max="9624" customWidth="1" width="11.42578125"/>
    <col min="9625" max="9625" customWidth="1" width="11.42578125"/>
    <col min="9626" max="9626" customWidth="1" width="11.42578125"/>
    <col min="9627" max="9627" customWidth="1" width="11.42578125"/>
    <col min="9628" max="9628" customWidth="1" width="11.42578125"/>
    <col min="9629" max="9629" customWidth="1" width="11.42578125"/>
    <col min="9630" max="9630" customWidth="1" width="11.42578125"/>
    <col min="9631" max="9631" customWidth="1" width="11.42578125"/>
    <col min="9632" max="9632" customWidth="1" width="11.42578125"/>
    <col min="9633" max="9633" customWidth="1" width="11.42578125"/>
    <col min="9634" max="9634" customWidth="1" width="11.42578125"/>
    <col min="9635" max="9635" customWidth="1" width="11.42578125"/>
    <col min="9636" max="9636" customWidth="1" width="11.42578125"/>
    <col min="9637" max="9637" customWidth="1" width="11.42578125"/>
    <col min="9638" max="9638" customWidth="1" width="11.42578125"/>
    <col min="9639" max="9639" customWidth="1" width="11.42578125"/>
    <col min="9640" max="9640" customWidth="1" width="11.42578125"/>
    <col min="9641" max="9641" customWidth="1" width="11.42578125"/>
    <col min="9642" max="9642" customWidth="1" width="11.42578125"/>
    <col min="9643" max="9643" customWidth="1" width="11.42578125"/>
    <col min="9644" max="9644" customWidth="1" width="11.42578125"/>
    <col min="9645" max="9645" customWidth="1" width="11.42578125"/>
    <col min="9646" max="9646" customWidth="1" width="11.42578125"/>
    <col min="9647" max="9647" customWidth="1" width="11.42578125"/>
    <col min="9648" max="9648" customWidth="1" width="11.42578125"/>
    <col min="9649" max="9649" customWidth="1" width="11.42578125"/>
    <col min="9650" max="9650" customWidth="1" width="11.42578125"/>
    <col min="9651" max="9651" customWidth="1" width="11.42578125"/>
    <col min="9652" max="9652" customWidth="1" width="11.42578125"/>
    <col min="9653" max="9653" customWidth="1" width="11.42578125"/>
    <col min="9654" max="9654" customWidth="1" width="11.42578125"/>
    <col min="9655" max="9655" customWidth="1" width="11.42578125"/>
    <col min="9656" max="9656" customWidth="1" width="11.42578125"/>
    <col min="9657" max="9657" customWidth="1" width="11.42578125"/>
    <col min="9658" max="9658" customWidth="1" width="11.42578125"/>
    <col min="9659" max="9659" customWidth="1" width="11.42578125"/>
    <col min="9660" max="9660" customWidth="1" width="11.42578125"/>
    <col min="9661" max="9661" customWidth="1" width="11.42578125"/>
    <col min="9662" max="9662" customWidth="1" width="11.42578125"/>
    <col min="9663" max="9663" customWidth="1" width="11.42578125"/>
    <col min="9664" max="9664" customWidth="1" width="11.42578125"/>
    <col min="9665" max="9665" customWidth="1" width="11.42578125"/>
    <col min="9666" max="9666" customWidth="1" width="11.42578125"/>
    <col min="9667" max="9667" customWidth="1" width="11.42578125"/>
    <col min="9668" max="9668" customWidth="1" width="11.42578125"/>
    <col min="9669" max="9669" customWidth="1" width="11.42578125"/>
    <col min="9670" max="9670" customWidth="1" width="11.42578125"/>
    <col min="9671" max="9671" customWidth="1" width="11.42578125"/>
    <col min="9672" max="9672" customWidth="1" width="11.42578125"/>
    <col min="9673" max="9673" customWidth="1" width="11.42578125"/>
    <col min="9674" max="9674" customWidth="1" width="11.42578125"/>
    <col min="9675" max="9675" customWidth="1" width="11.42578125"/>
    <col min="9676" max="9676" customWidth="1" width="11.42578125"/>
    <col min="9677" max="9677" customWidth="1" width="11.42578125"/>
    <col min="9678" max="9678" customWidth="1" width="11.42578125"/>
    <col min="9679" max="9679" customWidth="1" width="11.42578125"/>
    <col min="9680" max="9680" customWidth="1" width="11.42578125"/>
    <col min="9681" max="9681" customWidth="1" width="11.42578125"/>
    <col min="9682" max="9682" customWidth="1" width="11.42578125"/>
    <col min="9683" max="9683" customWidth="1" width="11.42578125"/>
    <col min="9684" max="9684" customWidth="1" width="11.42578125"/>
    <col min="9685" max="9685" customWidth="1" width="11.42578125"/>
    <col min="9686" max="9686" customWidth="1" width="11.42578125"/>
    <col min="9687" max="9687" customWidth="1" width="11.42578125"/>
    <col min="9688" max="9688" customWidth="1" width="11.42578125"/>
    <col min="9689" max="9689" customWidth="1" width="11.42578125"/>
    <col min="9690" max="9690" customWidth="1" width="11.42578125"/>
    <col min="9691" max="9691" customWidth="1" width="11.42578125"/>
    <col min="9692" max="9692" customWidth="1" width="11.42578125"/>
    <col min="9693" max="9693" customWidth="1" width="11.42578125"/>
    <col min="9694" max="9694" customWidth="1" width="11.42578125"/>
    <col min="9695" max="9695" customWidth="1" width="11.42578125"/>
    <col min="9696" max="9696" customWidth="1" width="11.42578125"/>
    <col min="9697" max="9697" customWidth="1" width="11.42578125"/>
    <col min="9698" max="9698" customWidth="1" width="11.42578125"/>
    <col min="9699" max="9699" customWidth="1" width="11.42578125"/>
    <col min="9700" max="9700" customWidth="1" width="11.42578125"/>
    <col min="9701" max="9701" customWidth="1" width="11.42578125"/>
    <col min="9702" max="9702" customWidth="1" width="11.42578125"/>
    <col min="9703" max="9703" customWidth="1" width="11.42578125"/>
    <col min="9704" max="9704" customWidth="1" width="11.42578125"/>
    <col min="9705" max="9705" customWidth="1" width="11.42578125"/>
    <col min="9706" max="9706" customWidth="1" width="11.42578125"/>
    <col min="9707" max="9707" customWidth="1" width="11.42578125"/>
    <col min="9708" max="9708" customWidth="1" width="11.42578125"/>
    <col min="9709" max="9709" customWidth="1" width="11.42578125"/>
    <col min="9710" max="9710" customWidth="1" width="11.42578125"/>
    <col min="9711" max="9711" customWidth="1" width="11.42578125"/>
    <col min="9712" max="9712" customWidth="1" width="11.42578125"/>
    <col min="9713" max="9713" customWidth="1" width="11.42578125"/>
    <col min="9714" max="9714" customWidth="1" width="11.42578125"/>
    <col min="9715" max="9715" customWidth="1" width="11.42578125"/>
    <col min="9716" max="9716" customWidth="1" width="11.42578125"/>
    <col min="9717" max="9717" customWidth="1" width="11.42578125"/>
    <col min="9718" max="9718" customWidth="1" width="11.42578125"/>
    <col min="9719" max="9719" customWidth="1" width="11.42578125"/>
    <col min="9720" max="9720" customWidth="1" width="11.42578125"/>
    <col min="9721" max="9721" customWidth="1" width="11.42578125"/>
    <col min="9722" max="9722" customWidth="1" width="11.42578125"/>
    <col min="9723" max="9723" customWidth="1" width="11.42578125"/>
    <col min="9724" max="9724" customWidth="1" width="11.42578125"/>
    <col min="9725" max="9725" customWidth="1" width="11.42578125"/>
    <col min="9726" max="9726" customWidth="1" width="11.42578125"/>
    <col min="9727" max="9727" customWidth="1" width="11.42578125"/>
    <col min="9728" max="9728" customWidth="1" width="11.42578125"/>
    <col min="9729" max="9729" customWidth="1" width="11.42578125"/>
    <col min="9730" max="9730" customWidth="1" width="11.42578125"/>
    <col min="9731" max="9731" customWidth="1" width="11.42578125"/>
    <col min="9732" max="9732" customWidth="1" width="11.42578125"/>
    <col min="9733" max="9733" customWidth="1" width="11.42578125"/>
    <col min="9734" max="9734" customWidth="1" width="11.42578125"/>
    <col min="9735" max="9735" customWidth="1" width="11.42578125"/>
    <col min="9736" max="9736" customWidth="1" width="11.42578125"/>
    <col min="9737" max="9737" customWidth="1" width="11.42578125"/>
    <col min="9738" max="9738" customWidth="1" width="11.42578125"/>
    <col min="9739" max="9739" customWidth="1" width="11.42578125"/>
    <col min="9740" max="9740" customWidth="1" width="11.42578125"/>
    <col min="9741" max="9741" customWidth="1" width="11.42578125"/>
    <col min="9742" max="9742" customWidth="1" width="11.42578125"/>
    <col min="9743" max="9743" customWidth="1" width="11.42578125"/>
    <col min="9744" max="9744" customWidth="1" width="11.42578125"/>
    <col min="9745" max="9745" customWidth="1" width="11.42578125"/>
    <col min="9746" max="9746" customWidth="1" width="11.42578125"/>
    <col min="9747" max="9747" customWidth="1" width="11.42578125"/>
    <col min="9748" max="9748" customWidth="1" width="11.42578125"/>
    <col min="9749" max="9749" customWidth="1" width="11.42578125"/>
    <col min="9750" max="9750" customWidth="1" width="11.42578125"/>
    <col min="9751" max="9751" customWidth="1" width="11.42578125"/>
    <col min="9752" max="9752" customWidth="1" width="11.42578125"/>
    <col min="9753" max="9753" customWidth="1" width="11.42578125"/>
    <col min="9754" max="9754" customWidth="1" width="11.42578125"/>
    <col min="9755" max="9755" customWidth="1" width="11.42578125"/>
    <col min="9756" max="9756" customWidth="1" width="11.42578125"/>
    <col min="9757" max="9757" customWidth="1" width="11.42578125"/>
    <col min="9758" max="9758" customWidth="1" width="11.42578125"/>
    <col min="9759" max="9759" customWidth="1" width="11.42578125"/>
    <col min="9760" max="9760" customWidth="1" width="11.42578125"/>
    <col min="9761" max="9761" customWidth="1" width="11.42578125"/>
    <col min="9762" max="9762" customWidth="1" width="11.42578125"/>
    <col min="9763" max="9763" customWidth="1" width="11.42578125"/>
    <col min="9764" max="9764" customWidth="1" width="11.42578125"/>
    <col min="9765" max="9765" customWidth="1" width="11.42578125"/>
    <col min="9766" max="9766" customWidth="1" width="11.42578125"/>
    <col min="9767" max="9767" customWidth="1" width="11.42578125"/>
    <col min="9768" max="9768" customWidth="1" width="11.42578125"/>
    <col min="9769" max="9769" customWidth="1" width="11.42578125"/>
    <col min="9770" max="9770" customWidth="1" width="11.42578125"/>
    <col min="9771" max="9771" customWidth="1" width="11.42578125"/>
    <col min="9772" max="9772" customWidth="1" width="11.42578125"/>
    <col min="9773" max="9773" customWidth="1" width="11.42578125"/>
    <col min="9774" max="9774" customWidth="1" width="11.42578125"/>
    <col min="9775" max="9775" customWidth="1" width="11.42578125"/>
    <col min="9776" max="9776" customWidth="1" width="11.42578125"/>
    <col min="9777" max="9777" customWidth="1" width="11.42578125"/>
    <col min="9778" max="9778" customWidth="1" width="11.42578125"/>
    <col min="9779" max="9779" customWidth="1" width="11.42578125"/>
    <col min="9780" max="9780" customWidth="1" width="11.42578125"/>
    <col min="9781" max="9781" customWidth="1" width="11.42578125"/>
    <col min="9782" max="9782" customWidth="1" width="11.42578125"/>
    <col min="9783" max="9783" customWidth="1" width="11.42578125"/>
    <col min="9784" max="9784" customWidth="1" width="11.42578125"/>
    <col min="9785" max="9785" customWidth="1" width="11.42578125"/>
    <col min="9786" max="9786" customWidth="1" width="11.42578125"/>
    <col min="9787" max="9787" customWidth="1" width="11.42578125"/>
    <col min="9788" max="9788" customWidth="1" width="11.42578125"/>
    <col min="9789" max="9789" customWidth="1" width="11.42578125"/>
    <col min="9790" max="9790" customWidth="1" width="11.42578125"/>
    <col min="9791" max="9791" customWidth="1" width="11.42578125"/>
    <col min="9792" max="9792" customWidth="1" width="11.42578125"/>
    <col min="9793" max="9793" customWidth="1" width="11.42578125"/>
    <col min="9794" max="9794" customWidth="1" width="11.42578125"/>
    <col min="9795" max="9795" customWidth="1" width="11.42578125"/>
    <col min="9796" max="9796" customWidth="1" width="11.42578125"/>
    <col min="9797" max="9797" customWidth="1" width="11.42578125"/>
    <col min="9798" max="9798" customWidth="1" width="11.42578125"/>
    <col min="9799" max="9799" customWidth="1" width="11.42578125"/>
    <col min="9800" max="9800" customWidth="1" width="11.42578125"/>
    <col min="9801" max="9801" customWidth="1" width="11.42578125"/>
    <col min="9802" max="9802" customWidth="1" width="11.42578125"/>
    <col min="9803" max="9803" customWidth="1" width="11.42578125"/>
    <col min="9804" max="9804" customWidth="1" width="11.42578125"/>
    <col min="9805" max="9805" customWidth="1" width="11.42578125"/>
    <col min="9806" max="9806" customWidth="1" width="11.42578125"/>
    <col min="9807" max="9807" customWidth="1" width="11.42578125"/>
    <col min="9808" max="9808" customWidth="1" width="11.42578125"/>
    <col min="9809" max="9809" customWidth="1" width="11.42578125"/>
    <col min="9810" max="9810" customWidth="1" width="11.42578125"/>
    <col min="9811" max="9811" customWidth="1" width="11.42578125"/>
    <col min="9812" max="9812" customWidth="1" width="11.42578125"/>
    <col min="9813" max="9813" customWidth="1" width="11.42578125"/>
    <col min="9814" max="9814" customWidth="1" width="11.42578125"/>
    <col min="9815" max="9815" customWidth="1" width="11.42578125"/>
    <col min="9816" max="9816" customWidth="1" width="11.42578125"/>
    <col min="9817" max="9817" customWidth="1" width="11.42578125"/>
    <col min="9818" max="9818" customWidth="1" width="11.42578125"/>
    <col min="9819" max="9819" customWidth="1" width="11.42578125"/>
    <col min="9820" max="9820" customWidth="1" width="11.42578125"/>
    <col min="9821" max="9821" customWidth="1" width="11.42578125"/>
    <col min="9822" max="9822" customWidth="1" width="11.42578125"/>
    <col min="9823" max="9823" customWidth="1" width="11.42578125"/>
    <col min="9824" max="9824" customWidth="1" width="11.42578125"/>
    <col min="9825" max="9825" customWidth="1" width="11.42578125"/>
    <col min="9826" max="9826" customWidth="1" width="11.42578125"/>
    <col min="9827" max="9827" customWidth="1" width="11.42578125"/>
    <col min="9828" max="9828" customWidth="1" width="11.42578125"/>
    <col min="9829" max="9829" customWidth="1" width="11.42578125"/>
    <col min="9830" max="9830" customWidth="1" width="11.42578125"/>
    <col min="9831" max="9831" customWidth="1" width="11.42578125"/>
    <col min="9832" max="9832" customWidth="1" width="11.42578125"/>
    <col min="9833" max="9833" customWidth="1" width="11.42578125"/>
    <col min="9834" max="9834" customWidth="1" width="11.42578125"/>
    <col min="9835" max="9835" customWidth="1" width="11.42578125"/>
    <col min="9836" max="9836" customWidth="1" width="11.42578125"/>
    <col min="9837" max="9837" customWidth="1" width="11.42578125"/>
    <col min="9838" max="9838" customWidth="1" width="11.42578125"/>
    <col min="9839" max="9839" customWidth="1" width="11.42578125"/>
    <col min="9840" max="9840" customWidth="1" width="11.42578125"/>
    <col min="9841" max="9841" customWidth="1" width="11.42578125"/>
    <col min="9842" max="9842" customWidth="1" width="11.42578125"/>
    <col min="9843" max="9843" customWidth="1" width="11.42578125"/>
    <col min="9844" max="9844" customWidth="1" width="11.42578125"/>
    <col min="9845" max="9845" customWidth="1" width="11.42578125"/>
    <col min="9846" max="9846" customWidth="1" width="11.42578125"/>
    <col min="9847" max="9847" customWidth="1" width="11.42578125"/>
    <col min="9848" max="9848" customWidth="1" width="11.42578125"/>
    <col min="9849" max="9849" customWidth="1" width="11.42578125"/>
    <col min="9850" max="9850" customWidth="1" width="11.42578125"/>
    <col min="9851" max="9851" customWidth="1" width="11.42578125"/>
    <col min="9852" max="9852" customWidth="1" width="11.42578125"/>
    <col min="9853" max="9853" customWidth="1" width="11.42578125"/>
    <col min="9854" max="9854" customWidth="1" width="11.42578125"/>
    <col min="9855" max="9855" customWidth="1" width="11.42578125"/>
    <col min="9856" max="9856" customWidth="1" width="11.42578125"/>
    <col min="9857" max="9857" customWidth="1" width="11.42578125"/>
    <col min="9858" max="9858" customWidth="1" width="11.42578125"/>
    <col min="9859" max="9859" customWidth="1" width="11.42578125"/>
    <col min="9860" max="9860" customWidth="1" width="11.42578125"/>
    <col min="9861" max="9861" customWidth="1" width="11.42578125"/>
    <col min="9862" max="9862" customWidth="1" width="11.42578125"/>
    <col min="9863" max="9863" customWidth="1" width="11.42578125"/>
    <col min="9864" max="9864" customWidth="1" width="11.42578125"/>
    <col min="9865" max="9865" customWidth="1" width="11.42578125"/>
    <col min="9866" max="9866" customWidth="1" width="11.42578125"/>
    <col min="9867" max="9867" customWidth="1" width="11.42578125"/>
    <col min="9868" max="9868" customWidth="1" width="11.42578125"/>
    <col min="9869" max="9869" customWidth="1" width="11.42578125"/>
    <col min="9870" max="9870" customWidth="1" width="11.42578125"/>
    <col min="9871" max="9871" customWidth="1" width="11.42578125"/>
    <col min="9872" max="9872" customWidth="1" width="11.42578125"/>
    <col min="9873" max="9873" customWidth="1" width="11.42578125"/>
    <col min="9874" max="9874" customWidth="1" width="11.42578125"/>
    <col min="9875" max="9875" customWidth="1" width="11.42578125"/>
    <col min="9876" max="9876" customWidth="1" width="11.42578125"/>
    <col min="9877" max="9877" customWidth="1" width="11.42578125"/>
    <col min="9878" max="9878" customWidth="1" width="11.42578125"/>
    <col min="9879" max="9879" customWidth="1" width="11.42578125"/>
    <col min="9880" max="9880" customWidth="1" width="11.42578125"/>
    <col min="9881" max="9881" customWidth="1" width="11.42578125"/>
    <col min="9882" max="9882" customWidth="1" width="11.42578125"/>
    <col min="9883" max="9883" customWidth="1" width="11.42578125"/>
    <col min="9884" max="9884" customWidth="1" width="11.42578125"/>
    <col min="9885" max="9885" customWidth="1" width="11.42578125"/>
    <col min="9886" max="9886" customWidth="1" width="11.42578125"/>
    <col min="9887" max="9887" customWidth="1" width="11.42578125"/>
    <col min="9888" max="9888" customWidth="1" width="11.42578125"/>
    <col min="9889" max="9889" customWidth="1" width="11.42578125"/>
    <col min="9890" max="9890" customWidth="1" width="11.42578125"/>
    <col min="9891" max="9891" customWidth="1" width="11.42578125"/>
    <col min="9892" max="9892" customWidth="1" width="11.42578125"/>
    <col min="9893" max="9893" customWidth="1" width="11.42578125"/>
    <col min="9894" max="9894" customWidth="1" width="11.42578125"/>
    <col min="9895" max="9895" customWidth="1" width="11.42578125"/>
    <col min="9896" max="9896" customWidth="1" width="11.42578125"/>
    <col min="9897" max="9897" customWidth="1" width="11.42578125"/>
    <col min="9898" max="9898" customWidth="1" width="11.42578125"/>
    <col min="9899" max="9899" customWidth="1" width="11.42578125"/>
    <col min="9900" max="9900" customWidth="1" width="11.42578125"/>
    <col min="9901" max="9901" customWidth="1" width="11.42578125"/>
    <col min="9902" max="9902" customWidth="1" width="11.42578125"/>
    <col min="9903" max="9903" customWidth="1" width="11.42578125"/>
    <col min="9904" max="9904" customWidth="1" width="11.42578125"/>
    <col min="9905" max="9905" customWidth="1" width="11.42578125"/>
    <col min="9906" max="9906" customWidth="1" width="11.42578125"/>
    <col min="9907" max="9907" customWidth="1" width="11.42578125"/>
    <col min="9908" max="9908" customWidth="1" width="11.42578125"/>
    <col min="9909" max="9909" customWidth="1" width="11.42578125"/>
    <col min="9910" max="9910" customWidth="1" width="11.42578125"/>
    <col min="9911" max="9911" customWidth="1" width="11.42578125"/>
    <col min="9912" max="9912" customWidth="1" width="11.42578125"/>
    <col min="9913" max="9913" customWidth="1" width="11.42578125"/>
    <col min="9914" max="9914" customWidth="1" width="11.42578125"/>
    <col min="9915" max="9915" customWidth="1" width="11.42578125"/>
    <col min="9916" max="9916" customWidth="1" width="11.42578125"/>
    <col min="9917" max="9917" customWidth="1" width="11.42578125"/>
    <col min="9918" max="9918" customWidth="1" width="11.42578125"/>
    <col min="9919" max="9919" customWidth="1" width="11.42578125"/>
    <col min="9920" max="9920" customWidth="1" width="11.42578125"/>
    <col min="9921" max="9921" customWidth="1" width="11.42578125"/>
    <col min="9922" max="9922" customWidth="1" width="11.42578125"/>
    <col min="9923" max="9923" customWidth="1" width="11.42578125"/>
    <col min="9924" max="9924" customWidth="1" width="11.42578125"/>
    <col min="9925" max="9925" customWidth="1" width="11.42578125"/>
    <col min="9926" max="9926" customWidth="1" width="11.42578125"/>
    <col min="9927" max="9927" customWidth="1" width="11.42578125"/>
    <col min="9928" max="9928" customWidth="1" width="11.42578125"/>
    <col min="9929" max="9929" customWidth="1" width="11.42578125"/>
    <col min="9930" max="9930" customWidth="1" width="11.42578125"/>
    <col min="9931" max="9931" customWidth="1" width="11.42578125"/>
    <col min="9932" max="9932" customWidth="1" width="11.42578125"/>
    <col min="9933" max="9933" customWidth="1" width="11.42578125"/>
    <col min="9934" max="9934" customWidth="1" width="11.42578125"/>
    <col min="9935" max="9935" customWidth="1" width="11.42578125"/>
    <col min="9936" max="9936" customWidth="1" width="11.42578125"/>
    <col min="9937" max="9937" customWidth="1" width="11.42578125"/>
    <col min="9938" max="9938" customWidth="1" width="11.42578125"/>
    <col min="9939" max="9939" customWidth="1" width="11.42578125"/>
    <col min="9940" max="9940" customWidth="1" width="11.42578125"/>
    <col min="9941" max="9941" customWidth="1" width="11.42578125"/>
    <col min="9942" max="9942" customWidth="1" width="11.42578125"/>
    <col min="9943" max="9943" customWidth="1" width="11.42578125"/>
    <col min="9944" max="9944" customWidth="1" width="11.42578125"/>
    <col min="9945" max="9945" customWidth="1" width="11.42578125"/>
    <col min="9946" max="9946" customWidth="1" width="11.42578125"/>
    <col min="9947" max="9947" customWidth="1" width="11.42578125"/>
    <col min="9948" max="9948" customWidth="1" width="11.42578125"/>
    <col min="9949" max="9949" customWidth="1" width="11.42578125"/>
    <col min="9950" max="9950" customWidth="1" width="11.42578125"/>
    <col min="9951" max="9951" customWidth="1" width="11.42578125"/>
    <col min="9952" max="9952" customWidth="1" width="11.42578125"/>
    <col min="9953" max="9953" customWidth="1" width="11.42578125"/>
    <col min="9954" max="9954" customWidth="1" width="11.42578125"/>
    <col min="9955" max="9955" customWidth="1" width="11.42578125"/>
    <col min="9956" max="9956" customWidth="1" width="11.42578125"/>
    <col min="9957" max="9957" customWidth="1" width="11.42578125"/>
    <col min="9958" max="9958" customWidth="1" width="11.42578125"/>
    <col min="9959" max="9959" customWidth="1" width="11.42578125"/>
    <col min="9960" max="9960" customWidth="1" width="11.42578125"/>
    <col min="9961" max="9961" customWidth="1" width="11.42578125"/>
    <col min="9962" max="9962" customWidth="1" width="11.42578125"/>
    <col min="9963" max="9963" customWidth="1" width="11.42578125"/>
    <col min="9964" max="9964" customWidth="1" width="11.42578125"/>
    <col min="9965" max="9965" customWidth="1" width="11.42578125"/>
    <col min="9966" max="9966" customWidth="1" width="11.42578125"/>
    <col min="9967" max="9967" customWidth="1" width="11.42578125"/>
    <col min="9968" max="9968" customWidth="1" width="11.42578125"/>
    <col min="9969" max="9969" customWidth="1" width="11.42578125"/>
    <col min="9970" max="9970" customWidth="1" width="11.42578125"/>
    <col min="9971" max="9971" customWidth="1" width="11.42578125"/>
    <col min="9972" max="9972" customWidth="1" width="11.42578125"/>
    <col min="9973" max="9973" customWidth="1" width="11.42578125"/>
    <col min="9974" max="9974" customWidth="1" width="11.42578125"/>
    <col min="9975" max="9975" customWidth="1" width="11.42578125"/>
    <col min="9976" max="9976" customWidth="1" width="11.42578125"/>
    <col min="9977" max="9977" customWidth="1" width="11.42578125"/>
    <col min="9978" max="9978" customWidth="1" width="11.42578125"/>
    <col min="9979" max="9979" customWidth="1" width="11.42578125"/>
    <col min="9980" max="9980" customWidth="1" width="11.42578125"/>
    <col min="9981" max="9981" customWidth="1" width="11.42578125"/>
    <col min="9982" max="9982" customWidth="1" width="11.42578125"/>
    <col min="9983" max="9983" customWidth="1" width="11.42578125"/>
    <col min="9984" max="9984" customWidth="1" width="11.42578125"/>
    <col min="9985" max="9985" customWidth="1" width="11.42578125"/>
    <col min="9986" max="9986" customWidth="1" width="11.42578125"/>
    <col min="9987" max="9987" customWidth="1" width="11.42578125"/>
    <col min="9988" max="9988" customWidth="1" width="11.42578125"/>
    <col min="9989" max="9989" customWidth="1" width="11.42578125"/>
    <col min="9990" max="9990" customWidth="1" width="11.42578125"/>
    <col min="9991" max="9991" customWidth="1" width="11.42578125"/>
    <col min="9992" max="9992" customWidth="1" width="11.42578125"/>
    <col min="9993" max="9993" customWidth="1" width="11.42578125"/>
    <col min="9994" max="9994" customWidth="1" width="11.42578125"/>
    <col min="9995" max="9995" customWidth="1" width="11.42578125"/>
    <col min="9996" max="9996" customWidth="1" width="11.42578125"/>
    <col min="9997" max="9997" customWidth="1" width="11.42578125"/>
    <col min="9998" max="9998" customWidth="1" width="11.42578125"/>
    <col min="9999" max="9999" customWidth="1" width="11.42578125"/>
    <col min="10000" max="10000" customWidth="1" width="11.42578125"/>
    <col min="10001" max="10001" customWidth="1" width="11.42578125"/>
    <col min="10002" max="10002" customWidth="1" width="11.42578125"/>
    <col min="10003" max="10003" customWidth="1" width="11.42578125"/>
    <col min="10004" max="10004" customWidth="1" width="11.42578125"/>
    <col min="10005" max="10005" customWidth="1" width="11.42578125"/>
    <col min="10006" max="10006" customWidth="1" width="11.42578125"/>
    <col min="10007" max="10007" customWidth="1" width="11.42578125"/>
    <col min="10008" max="10008" customWidth="1" width="11.42578125"/>
    <col min="10009" max="10009" customWidth="1" width="11.42578125"/>
    <col min="10010" max="10010" customWidth="1" width="11.42578125"/>
    <col min="10011" max="10011" customWidth="1" width="11.42578125"/>
    <col min="10012" max="10012" customWidth="1" width="11.42578125"/>
    <col min="10013" max="10013" customWidth="1" width="11.42578125"/>
    <col min="10014" max="10014" customWidth="1" width="11.42578125"/>
    <col min="10015" max="10015" customWidth="1" width="11.42578125"/>
    <col min="10016" max="10016" customWidth="1" width="11.42578125"/>
    <col min="10017" max="10017" customWidth="1" width="11.42578125"/>
    <col min="10018" max="10018" customWidth="1" width="11.42578125"/>
    <col min="10019" max="10019" customWidth="1" width="11.42578125"/>
    <col min="10020" max="10020" customWidth="1" width="11.42578125"/>
    <col min="10021" max="10021" customWidth="1" width="11.42578125"/>
    <col min="10022" max="10022" customWidth="1" width="11.42578125"/>
    <col min="10023" max="10023" customWidth="1" width="11.42578125"/>
    <col min="10024" max="10024" customWidth="1" width="11.42578125"/>
    <col min="10025" max="10025" customWidth="1" width="11.42578125"/>
    <col min="10026" max="10026" customWidth="1" width="11.42578125"/>
    <col min="10027" max="10027" customWidth="1" width="11.42578125"/>
    <col min="10028" max="10028" customWidth="1" width="11.42578125"/>
    <col min="10029" max="10029" customWidth="1" width="11.42578125"/>
    <col min="10030" max="10030" customWidth="1" width="11.42578125"/>
    <col min="10031" max="10031" customWidth="1" width="11.42578125"/>
    <col min="10032" max="10032" customWidth="1" width="11.42578125"/>
    <col min="10033" max="10033" customWidth="1" width="11.42578125"/>
    <col min="10034" max="10034" customWidth="1" width="11.42578125"/>
    <col min="10035" max="10035" customWidth="1" width="11.42578125"/>
    <col min="10036" max="10036" customWidth="1" width="11.42578125"/>
    <col min="10037" max="10037" customWidth="1" width="11.42578125"/>
    <col min="10038" max="10038" customWidth="1" width="11.42578125"/>
    <col min="10039" max="10039" customWidth="1" width="11.42578125"/>
    <col min="10040" max="10040" customWidth="1" width="11.42578125"/>
    <col min="10041" max="10041" customWidth="1" width="11.42578125"/>
    <col min="10042" max="10042" customWidth="1" width="11.42578125"/>
    <col min="10043" max="10043" customWidth="1" width="11.42578125"/>
    <col min="10044" max="10044" customWidth="1" width="11.42578125"/>
    <col min="10045" max="10045" customWidth="1" width="11.42578125"/>
    <col min="10046" max="10046" customWidth="1" width="11.42578125"/>
    <col min="10047" max="10047" customWidth="1" width="11.42578125"/>
    <col min="10048" max="10048" customWidth="1" width="11.42578125"/>
    <col min="10049" max="10049" customWidth="1" width="11.42578125"/>
    <col min="10050" max="10050" customWidth="1" width="11.42578125"/>
    <col min="10051" max="10051" customWidth="1" width="11.42578125"/>
    <col min="10052" max="10052" customWidth="1" width="11.42578125"/>
    <col min="10053" max="10053" customWidth="1" width="11.42578125"/>
    <col min="10054" max="10054" customWidth="1" width="11.42578125"/>
    <col min="10055" max="10055" customWidth="1" width="11.42578125"/>
    <col min="10056" max="10056" customWidth="1" width="11.42578125"/>
    <col min="10057" max="10057" customWidth="1" width="11.42578125"/>
    <col min="10058" max="10058" customWidth="1" width="11.42578125"/>
    <col min="10059" max="10059" customWidth="1" width="11.42578125"/>
    <col min="10060" max="10060" customWidth="1" width="11.42578125"/>
    <col min="10061" max="10061" customWidth="1" width="11.42578125"/>
    <col min="10062" max="10062" customWidth="1" width="11.42578125"/>
    <col min="10063" max="10063" customWidth="1" width="11.42578125"/>
    <col min="10064" max="10064" customWidth="1" width="11.42578125"/>
    <col min="10065" max="10065" customWidth="1" width="11.42578125"/>
    <col min="10066" max="10066" customWidth="1" width="11.42578125"/>
    <col min="10067" max="10067" customWidth="1" width="11.42578125"/>
    <col min="10068" max="10068" customWidth="1" width="11.42578125"/>
    <col min="10069" max="10069" customWidth="1" width="11.42578125"/>
    <col min="10070" max="10070" customWidth="1" width="11.42578125"/>
    <col min="10071" max="10071" customWidth="1" width="11.42578125"/>
    <col min="10072" max="10072" customWidth="1" width="11.42578125"/>
    <col min="10073" max="10073" customWidth="1" width="11.42578125"/>
    <col min="10074" max="10074" customWidth="1" width="11.42578125"/>
    <col min="10075" max="10075" customWidth="1" width="11.42578125"/>
    <col min="10076" max="10076" customWidth="1" width="11.42578125"/>
    <col min="10077" max="10077" customWidth="1" width="11.42578125"/>
    <col min="10078" max="10078" customWidth="1" width="11.42578125"/>
    <col min="10079" max="10079" customWidth="1" width="11.42578125"/>
    <col min="10080" max="10080" customWidth="1" width="11.42578125"/>
    <col min="10081" max="10081" customWidth="1" width="11.42578125"/>
    <col min="10082" max="10082" customWidth="1" width="11.42578125"/>
    <col min="10083" max="10083" customWidth="1" width="11.42578125"/>
    <col min="10084" max="10084" customWidth="1" width="11.42578125"/>
    <col min="10085" max="10085" customWidth="1" width="11.42578125"/>
    <col min="10086" max="10086" customWidth="1" width="11.42578125"/>
    <col min="10087" max="10087" customWidth="1" width="11.42578125"/>
    <col min="10088" max="10088" customWidth="1" width="11.42578125"/>
    <col min="10089" max="10089" customWidth="1" width="11.42578125"/>
    <col min="10090" max="10090" customWidth="1" width="11.42578125"/>
    <col min="10091" max="10091" customWidth="1" width="11.42578125"/>
    <col min="10092" max="10092" customWidth="1" width="11.42578125"/>
    <col min="10093" max="10093" customWidth="1" width="11.42578125"/>
    <col min="10094" max="10094" customWidth="1" width="11.42578125"/>
    <col min="10095" max="10095" customWidth="1" width="11.42578125"/>
    <col min="10096" max="10096" customWidth="1" width="11.42578125"/>
    <col min="10097" max="10097" customWidth="1" width="11.42578125"/>
    <col min="10098" max="10098" customWidth="1" width="11.42578125"/>
    <col min="10099" max="10099" customWidth="1" width="11.42578125"/>
    <col min="10100" max="10100" customWidth="1" width="11.42578125"/>
    <col min="10101" max="10101" customWidth="1" width="11.42578125"/>
    <col min="10102" max="10102" customWidth="1" width="11.42578125"/>
    <col min="10103" max="10103" customWidth="1" width="11.42578125"/>
    <col min="10104" max="10104" customWidth="1" width="11.42578125"/>
    <col min="10105" max="10105" customWidth="1" width="11.42578125"/>
    <col min="10106" max="10106" customWidth="1" width="11.42578125"/>
    <col min="10107" max="10107" customWidth="1" width="11.42578125"/>
    <col min="10108" max="10108" customWidth="1" width="11.42578125"/>
    <col min="10109" max="10109" customWidth="1" width="11.42578125"/>
    <col min="10110" max="10110" customWidth="1" width="11.42578125"/>
    <col min="10111" max="10111" customWidth="1" width="11.42578125"/>
    <col min="10112" max="10112" customWidth="1" width="11.42578125"/>
    <col min="10113" max="10113" customWidth="1" width="11.42578125"/>
    <col min="10114" max="10114" customWidth="1" width="11.42578125"/>
    <col min="10115" max="10115" customWidth="1" width="11.42578125"/>
    <col min="10116" max="10116" customWidth="1" width="11.42578125"/>
    <col min="10117" max="10117" customWidth="1" width="11.42578125"/>
    <col min="10118" max="10118" customWidth="1" width="11.42578125"/>
    <col min="10119" max="10119" customWidth="1" width="11.42578125"/>
    <col min="10120" max="10120" customWidth="1" width="11.42578125"/>
    <col min="10121" max="10121" customWidth="1" width="11.42578125"/>
    <col min="10122" max="10122" customWidth="1" width="11.42578125"/>
    <col min="10123" max="10123" customWidth="1" width="11.42578125"/>
    <col min="10124" max="10124" customWidth="1" width="11.42578125"/>
    <col min="10125" max="10125" customWidth="1" width="11.42578125"/>
    <col min="10126" max="10126" customWidth="1" width="11.42578125"/>
    <col min="10127" max="10127" customWidth="1" width="11.42578125"/>
    <col min="10128" max="10128" customWidth="1" width="11.42578125"/>
    <col min="10129" max="10129" customWidth="1" width="11.42578125"/>
    <col min="10130" max="10130" customWidth="1" width="11.42578125"/>
    <col min="10131" max="10131" customWidth="1" width="11.42578125"/>
    <col min="10132" max="10132" customWidth="1" width="11.42578125"/>
    <col min="10133" max="10133" customWidth="1" width="11.42578125"/>
    <col min="10134" max="10134" customWidth="1" width="11.42578125"/>
    <col min="10135" max="10135" customWidth="1" width="11.42578125"/>
    <col min="10136" max="10136" customWidth="1" width="11.42578125"/>
    <col min="10137" max="10137" customWidth="1" width="11.42578125"/>
    <col min="10138" max="10138" customWidth="1" width="11.42578125"/>
    <col min="10139" max="10139" customWidth="1" width="11.42578125"/>
    <col min="10140" max="10140" customWidth="1" width="11.42578125"/>
    <col min="10141" max="10141" customWidth="1" width="11.42578125"/>
    <col min="10142" max="10142" customWidth="1" width="11.42578125"/>
    <col min="10143" max="10143" customWidth="1" width="11.42578125"/>
    <col min="10144" max="10144" customWidth="1" width="11.42578125"/>
    <col min="10145" max="10145" customWidth="1" width="11.42578125"/>
    <col min="10146" max="10146" customWidth="1" width="11.42578125"/>
    <col min="10147" max="10147" customWidth="1" width="11.42578125"/>
    <col min="10148" max="10148" customWidth="1" width="11.42578125"/>
    <col min="10149" max="10149" customWidth="1" width="11.42578125"/>
    <col min="10150" max="10150" customWidth="1" width="11.42578125"/>
    <col min="10151" max="10151" customWidth="1" width="11.42578125"/>
    <col min="10152" max="10152" customWidth="1" width="11.42578125"/>
    <col min="10153" max="10153" customWidth="1" width="11.42578125"/>
    <col min="10154" max="10154" customWidth="1" width="11.42578125"/>
    <col min="10155" max="10155" customWidth="1" width="11.42578125"/>
    <col min="10156" max="10156" customWidth="1" width="11.42578125"/>
    <col min="10157" max="10157" customWidth="1" width="11.42578125"/>
    <col min="10158" max="10158" customWidth="1" width="11.42578125"/>
    <col min="10159" max="10159" customWidth="1" width="11.42578125"/>
    <col min="10160" max="10160" customWidth="1" width="11.42578125"/>
    <col min="10161" max="10161" customWidth="1" width="11.42578125"/>
    <col min="10162" max="10162" customWidth="1" width="11.42578125"/>
    <col min="10163" max="10163" customWidth="1" width="11.42578125"/>
    <col min="10164" max="10164" customWidth="1" width="11.42578125"/>
    <col min="10165" max="10165" customWidth="1" width="11.42578125"/>
    <col min="10166" max="10166" customWidth="1" width="11.42578125"/>
    <col min="10167" max="10167" customWidth="1" width="11.42578125"/>
    <col min="10168" max="10168" customWidth="1" width="11.42578125"/>
    <col min="10169" max="10169" customWidth="1" width="11.42578125"/>
    <col min="10170" max="10170" customWidth="1" width="11.42578125"/>
    <col min="10171" max="10171" customWidth="1" width="11.42578125"/>
    <col min="10172" max="10172" customWidth="1" width="11.42578125"/>
    <col min="10173" max="10173" customWidth="1" width="11.42578125"/>
    <col min="10174" max="10174" customWidth="1" width="11.42578125"/>
    <col min="10175" max="10175" customWidth="1" width="11.42578125"/>
    <col min="10176" max="10176" customWidth="1" width="11.42578125"/>
    <col min="10177" max="10177" customWidth="1" width="11.42578125"/>
    <col min="10178" max="10178" customWidth="1" width="11.42578125"/>
    <col min="10179" max="10179" customWidth="1" width="11.42578125"/>
    <col min="10180" max="10180" customWidth="1" width="11.42578125"/>
    <col min="10181" max="10181" customWidth="1" width="11.42578125"/>
    <col min="10182" max="10182" customWidth="1" width="11.42578125"/>
    <col min="10183" max="10183" customWidth="1" width="11.42578125"/>
    <col min="10184" max="10184" customWidth="1" width="11.42578125"/>
    <col min="10185" max="10185" customWidth="1" width="11.42578125"/>
    <col min="10186" max="10186" customWidth="1" width="11.42578125"/>
    <col min="10187" max="10187" customWidth="1" width="11.42578125"/>
    <col min="10188" max="10188" customWidth="1" width="11.42578125"/>
    <col min="10189" max="10189" customWidth="1" width="11.42578125"/>
    <col min="10190" max="10190" customWidth="1" width="11.42578125"/>
    <col min="10191" max="10191" customWidth="1" width="11.42578125"/>
    <col min="10192" max="10192" customWidth="1" width="11.42578125"/>
    <col min="10193" max="10193" customWidth="1" width="11.42578125"/>
    <col min="10194" max="10194" customWidth="1" width="11.42578125"/>
    <col min="10195" max="10195" customWidth="1" width="11.42578125"/>
    <col min="10196" max="10196" customWidth="1" width="11.42578125"/>
    <col min="10197" max="10197" customWidth="1" width="11.42578125"/>
    <col min="10198" max="10198" customWidth="1" width="11.42578125"/>
    <col min="10199" max="10199" customWidth="1" width="11.42578125"/>
    <col min="10200" max="10200" customWidth="1" width="11.42578125"/>
    <col min="10201" max="10201" customWidth="1" width="11.42578125"/>
    <col min="10202" max="10202" customWidth="1" width="11.42578125"/>
    <col min="10203" max="10203" customWidth="1" width="11.42578125"/>
    <col min="10204" max="10204" customWidth="1" width="11.42578125"/>
    <col min="10205" max="10205" customWidth="1" width="11.42578125"/>
    <col min="10206" max="10206" customWidth="1" width="11.42578125"/>
    <col min="10207" max="10207" customWidth="1" width="11.42578125"/>
    <col min="10208" max="10208" customWidth="1" width="11.42578125"/>
    <col min="10209" max="10209" customWidth="1" width="11.42578125"/>
    <col min="10210" max="10210" customWidth="1" width="11.42578125"/>
    <col min="10211" max="10211" customWidth="1" width="11.42578125"/>
    <col min="10212" max="10212" customWidth="1" width="11.42578125"/>
    <col min="10213" max="10213" customWidth="1" width="11.42578125"/>
    <col min="10214" max="10214" customWidth="1" width="11.42578125"/>
    <col min="10215" max="10215" customWidth="1" width="11.42578125"/>
    <col min="10216" max="10216" customWidth="1" width="11.42578125"/>
    <col min="10217" max="10217" customWidth="1" width="11.42578125"/>
    <col min="10218" max="10218" customWidth="1" width="11.42578125"/>
    <col min="10219" max="10219" customWidth="1" width="11.42578125"/>
    <col min="10220" max="10220" customWidth="1" width="11.42578125"/>
    <col min="10221" max="10221" customWidth="1" width="11.42578125"/>
    <col min="10222" max="10222" customWidth="1" width="11.42578125"/>
    <col min="10223" max="10223" customWidth="1" width="11.42578125"/>
    <col min="10224" max="10224" customWidth="1" width="11.42578125"/>
    <col min="10225" max="10225" customWidth="1" width="11.42578125"/>
    <col min="10226" max="10226" customWidth="1" width="11.42578125"/>
    <col min="10227" max="10227" customWidth="1" width="11.42578125"/>
    <col min="10228" max="10228" customWidth="1" width="11.42578125"/>
    <col min="10229" max="10229" customWidth="1" width="11.42578125"/>
    <col min="10230" max="10230" customWidth="1" width="11.42578125"/>
    <col min="10231" max="10231" customWidth="1" width="11.42578125"/>
    <col min="10232" max="10232" customWidth="1" width="11.42578125"/>
    <col min="10233" max="10233" customWidth="1" width="11.42578125"/>
    <col min="10234" max="10234" customWidth="1" width="11.42578125"/>
    <col min="10235" max="10235" customWidth="1" width="11.42578125"/>
    <col min="10236" max="10236" customWidth="1" width="11.42578125"/>
    <col min="10237" max="10237" customWidth="1" width="11.42578125"/>
    <col min="10238" max="10238" customWidth="1" width="11.42578125"/>
    <col min="10239" max="10239" customWidth="1" width="11.42578125"/>
    <col min="10240" max="10240" customWidth="1" width="11.42578125"/>
    <col min="10241" max="10241" customWidth="1" width="11.42578125"/>
    <col min="10242" max="10242" customWidth="1" width="11.42578125"/>
    <col min="10243" max="10243" customWidth="1" width="11.42578125"/>
    <col min="10244" max="10244" customWidth="1" width="11.42578125"/>
    <col min="10245" max="10245" customWidth="1" width="11.42578125"/>
    <col min="10246" max="10246" customWidth="1" width="11.42578125"/>
    <col min="10247" max="10247" customWidth="1" width="11.42578125"/>
    <col min="10248" max="10248" customWidth="1" width="11.42578125"/>
    <col min="10249" max="10249" customWidth="1" width="11.42578125"/>
    <col min="10250" max="10250" customWidth="1" width="11.42578125"/>
    <col min="10251" max="10251" customWidth="1" width="11.42578125"/>
    <col min="10252" max="10252" customWidth="1" width="11.42578125"/>
    <col min="10253" max="10253" customWidth="1" width="11.42578125"/>
    <col min="10254" max="10254" customWidth="1" width="11.42578125"/>
    <col min="10255" max="10255" customWidth="1" width="11.42578125"/>
    <col min="10256" max="10256" customWidth="1" width="11.42578125"/>
    <col min="10257" max="10257" customWidth="1" width="11.42578125"/>
    <col min="10258" max="10258" customWidth="1" width="11.42578125"/>
    <col min="10259" max="10259" customWidth="1" width="11.42578125"/>
    <col min="10260" max="10260" customWidth="1" width="11.42578125"/>
    <col min="10261" max="10261" customWidth="1" width="11.42578125"/>
    <col min="10262" max="10262" customWidth="1" width="11.42578125"/>
    <col min="10263" max="10263" customWidth="1" width="11.42578125"/>
    <col min="10264" max="10264" customWidth="1" width="11.42578125"/>
    <col min="10265" max="10265" customWidth="1" width="11.42578125"/>
    <col min="10266" max="10266" customWidth="1" width="11.42578125"/>
    <col min="10267" max="10267" customWidth="1" width="11.42578125"/>
    <col min="10268" max="10268" customWidth="1" width="11.42578125"/>
    <col min="10269" max="10269" customWidth="1" width="11.42578125"/>
    <col min="10270" max="10270" customWidth="1" width="11.42578125"/>
    <col min="10271" max="10271" customWidth="1" width="11.42578125"/>
    <col min="10272" max="10272" customWidth="1" width="11.42578125"/>
    <col min="10273" max="10273" customWidth="1" width="11.42578125"/>
    <col min="10274" max="10274" customWidth="1" width="11.42578125"/>
    <col min="10275" max="10275" customWidth="1" width="11.42578125"/>
    <col min="10276" max="10276" customWidth="1" width="11.42578125"/>
    <col min="10277" max="10277" customWidth="1" width="11.42578125"/>
    <col min="10278" max="10278" customWidth="1" width="11.42578125"/>
    <col min="10279" max="10279" customWidth="1" width="11.42578125"/>
    <col min="10280" max="10280" customWidth="1" width="11.42578125"/>
    <col min="10281" max="10281" customWidth="1" width="11.42578125"/>
    <col min="10282" max="10282" customWidth="1" width="11.42578125"/>
    <col min="10283" max="10283" customWidth="1" width="11.42578125"/>
    <col min="10284" max="10284" customWidth="1" width="11.42578125"/>
    <col min="10285" max="10285" customWidth="1" width="11.42578125"/>
    <col min="10286" max="10286" customWidth="1" width="11.42578125"/>
    <col min="10287" max="10287" customWidth="1" width="11.42578125"/>
    <col min="10288" max="10288" customWidth="1" width="11.42578125"/>
    <col min="10289" max="10289" customWidth="1" width="11.42578125"/>
    <col min="10290" max="10290" customWidth="1" width="11.42578125"/>
    <col min="10291" max="10291" customWidth="1" width="11.42578125"/>
    <col min="10292" max="10292" customWidth="1" width="11.42578125"/>
    <col min="10293" max="10293" customWidth="1" width="11.42578125"/>
    <col min="10294" max="10294" customWidth="1" width="11.42578125"/>
    <col min="10295" max="10295" customWidth="1" width="11.42578125"/>
    <col min="10296" max="10296" customWidth="1" width="11.42578125"/>
    <col min="10297" max="10297" customWidth="1" width="11.42578125"/>
    <col min="10298" max="10298" customWidth="1" width="11.42578125"/>
    <col min="10299" max="10299" customWidth="1" width="11.42578125"/>
    <col min="10300" max="10300" customWidth="1" width="11.42578125"/>
    <col min="10301" max="10301" customWidth="1" width="11.42578125"/>
    <col min="10302" max="10302" customWidth="1" width="11.42578125"/>
    <col min="10303" max="10303" customWidth="1" width="11.42578125"/>
    <col min="10304" max="10304" customWidth="1" width="11.42578125"/>
    <col min="10305" max="10305" customWidth="1" width="11.42578125"/>
    <col min="10306" max="10306" customWidth="1" width="11.42578125"/>
    <col min="10307" max="10307" customWidth="1" width="11.42578125"/>
    <col min="10308" max="10308" customWidth="1" width="11.42578125"/>
    <col min="10309" max="10309" customWidth="1" width="11.42578125"/>
    <col min="10310" max="10310" customWidth="1" width="11.42578125"/>
    <col min="10311" max="10311" customWidth="1" width="11.42578125"/>
    <col min="10312" max="10312" customWidth="1" width="11.42578125"/>
    <col min="10313" max="10313" customWidth="1" width="11.42578125"/>
    <col min="10314" max="10314" customWidth="1" width="11.42578125"/>
    <col min="10315" max="10315" customWidth="1" width="11.42578125"/>
    <col min="10316" max="10316" customWidth="1" width="11.42578125"/>
    <col min="10317" max="10317" customWidth="1" width="11.42578125"/>
    <col min="10318" max="10318" customWidth="1" width="11.42578125"/>
    <col min="10319" max="10319" customWidth="1" width="11.42578125"/>
    <col min="10320" max="10320" customWidth="1" width="11.42578125"/>
    <col min="10321" max="10321" customWidth="1" width="11.42578125"/>
    <col min="10322" max="10322" customWidth="1" width="11.42578125"/>
    <col min="10323" max="10323" customWidth="1" width="11.42578125"/>
    <col min="10324" max="10324" customWidth="1" width="11.42578125"/>
    <col min="10325" max="10325" customWidth="1" width="11.42578125"/>
    <col min="10326" max="10326" customWidth="1" width="11.42578125"/>
    <col min="10327" max="10327" customWidth="1" width="11.42578125"/>
    <col min="10328" max="10328" customWidth="1" width="11.42578125"/>
    <col min="10329" max="10329" customWidth="1" width="11.42578125"/>
    <col min="10330" max="10330" customWidth="1" width="11.42578125"/>
    <col min="10331" max="10331" customWidth="1" width="11.42578125"/>
    <col min="10332" max="10332" customWidth="1" width="11.42578125"/>
    <col min="10333" max="10333" customWidth="1" width="11.42578125"/>
    <col min="10334" max="10334" customWidth="1" width="11.42578125"/>
    <col min="10335" max="10335" customWidth="1" width="11.42578125"/>
    <col min="10336" max="10336" customWidth="1" width="11.42578125"/>
    <col min="10337" max="10337" customWidth="1" width="11.42578125"/>
    <col min="10338" max="10338" customWidth="1" width="11.42578125"/>
    <col min="10339" max="10339" customWidth="1" width="11.42578125"/>
    <col min="10340" max="10340" customWidth="1" width="11.42578125"/>
    <col min="10341" max="10341" customWidth="1" width="11.42578125"/>
    <col min="10342" max="10342" customWidth="1" width="11.42578125"/>
    <col min="10343" max="10343" customWidth="1" width="11.42578125"/>
    <col min="10344" max="10344" customWidth="1" width="11.42578125"/>
    <col min="10345" max="10345" customWidth="1" width="11.42578125"/>
    <col min="10346" max="10346" customWidth="1" width="11.42578125"/>
    <col min="10347" max="10347" customWidth="1" width="11.42578125"/>
    <col min="10348" max="10348" customWidth="1" width="11.42578125"/>
    <col min="10349" max="10349" customWidth="1" width="11.42578125"/>
    <col min="10350" max="10350" customWidth="1" width="11.42578125"/>
    <col min="10351" max="10351" customWidth="1" width="11.42578125"/>
    <col min="10352" max="10352" customWidth="1" width="11.42578125"/>
    <col min="10353" max="10353" customWidth="1" width="11.42578125"/>
    <col min="10354" max="10354" customWidth="1" width="11.42578125"/>
    <col min="10355" max="10355" customWidth="1" width="11.42578125"/>
    <col min="10356" max="10356" customWidth="1" width="11.42578125"/>
    <col min="10357" max="10357" customWidth="1" width="11.42578125"/>
    <col min="10358" max="10358" customWidth="1" width="11.42578125"/>
    <col min="10359" max="10359" customWidth="1" width="11.42578125"/>
    <col min="10360" max="10360" customWidth="1" width="11.42578125"/>
    <col min="10361" max="10361" customWidth="1" width="11.42578125"/>
    <col min="10362" max="10362" customWidth="1" width="11.42578125"/>
    <col min="10363" max="10363" customWidth="1" width="11.42578125"/>
    <col min="10364" max="10364" customWidth="1" width="11.42578125"/>
    <col min="10365" max="10365" customWidth="1" width="11.42578125"/>
    <col min="10366" max="10366" customWidth="1" width="11.42578125"/>
    <col min="10367" max="10367" customWidth="1" width="11.42578125"/>
    <col min="10368" max="10368" customWidth="1" width="11.42578125"/>
    <col min="10369" max="10369" customWidth="1" width="11.42578125"/>
    <col min="10370" max="10370" customWidth="1" width="11.42578125"/>
    <col min="10371" max="10371" customWidth="1" width="11.42578125"/>
    <col min="10372" max="10372" customWidth="1" width="11.42578125"/>
    <col min="10373" max="10373" customWidth="1" width="11.42578125"/>
    <col min="10374" max="10374" customWidth="1" width="11.42578125"/>
    <col min="10375" max="10375" customWidth="1" width="11.42578125"/>
    <col min="10376" max="10376" customWidth="1" width="11.42578125"/>
    <col min="10377" max="10377" customWidth="1" width="11.42578125"/>
    <col min="10378" max="10378" customWidth="1" width="11.42578125"/>
    <col min="10379" max="10379" customWidth="1" width="11.42578125"/>
    <col min="10380" max="10380" customWidth="1" width="11.42578125"/>
    <col min="10381" max="10381" customWidth="1" width="11.42578125"/>
    <col min="10382" max="10382" customWidth="1" width="11.42578125"/>
    <col min="10383" max="10383" customWidth="1" width="11.42578125"/>
    <col min="10384" max="10384" customWidth="1" width="11.42578125"/>
    <col min="10385" max="10385" customWidth="1" width="11.42578125"/>
    <col min="10386" max="10386" customWidth="1" width="11.42578125"/>
    <col min="10387" max="10387" customWidth="1" width="11.42578125"/>
    <col min="10388" max="10388" customWidth="1" width="11.42578125"/>
    <col min="10389" max="10389" customWidth="1" width="11.42578125"/>
    <col min="10390" max="10390" customWidth="1" width="11.42578125"/>
    <col min="10391" max="10391" customWidth="1" width="11.42578125"/>
    <col min="10392" max="10392" customWidth="1" width="11.42578125"/>
    <col min="10393" max="10393" customWidth="1" width="11.42578125"/>
    <col min="10394" max="10394" customWidth="1" width="11.42578125"/>
    <col min="10395" max="10395" customWidth="1" width="11.42578125"/>
    <col min="10396" max="10396" customWidth="1" width="11.42578125"/>
    <col min="10397" max="10397" customWidth="1" width="11.42578125"/>
    <col min="10398" max="10398" customWidth="1" width="11.42578125"/>
    <col min="10399" max="10399" customWidth="1" width="11.42578125"/>
    <col min="10400" max="10400" customWidth="1" width="11.42578125"/>
    <col min="10401" max="10401" customWidth="1" width="11.42578125"/>
    <col min="10402" max="10402" customWidth="1" width="11.42578125"/>
    <col min="10403" max="10403" customWidth="1" width="11.42578125"/>
    <col min="10404" max="10404" customWidth="1" width="11.42578125"/>
    <col min="10405" max="10405" customWidth="1" width="11.42578125"/>
    <col min="10406" max="10406" customWidth="1" width="11.42578125"/>
    <col min="10407" max="10407" customWidth="1" width="11.42578125"/>
    <col min="10408" max="10408" customWidth="1" width="11.42578125"/>
    <col min="10409" max="10409" customWidth="1" width="11.42578125"/>
    <col min="10410" max="10410" customWidth="1" width="11.42578125"/>
    <col min="10411" max="10411" customWidth="1" width="11.42578125"/>
    <col min="10412" max="10412" customWidth="1" width="11.42578125"/>
    <col min="10413" max="10413" customWidth="1" width="11.42578125"/>
    <col min="10414" max="10414" customWidth="1" width="11.42578125"/>
    <col min="10415" max="10415" customWidth="1" width="11.42578125"/>
    <col min="10416" max="10416" customWidth="1" width="11.42578125"/>
    <col min="10417" max="10417" customWidth="1" width="11.42578125"/>
    <col min="10418" max="10418" customWidth="1" width="11.42578125"/>
    <col min="10419" max="10419" customWidth="1" width="11.42578125"/>
    <col min="10420" max="10420" customWidth="1" width="11.42578125"/>
    <col min="10421" max="10421" customWidth="1" width="11.42578125"/>
    <col min="10422" max="10422" customWidth="1" width="11.42578125"/>
    <col min="10423" max="10423" customWidth="1" width="11.42578125"/>
    <col min="10424" max="10424" customWidth="1" width="11.42578125"/>
    <col min="10425" max="10425" customWidth="1" width="11.42578125"/>
    <col min="10426" max="10426" customWidth="1" width="11.42578125"/>
    <col min="10427" max="10427" customWidth="1" width="11.42578125"/>
    <col min="10428" max="10428" customWidth="1" width="11.42578125"/>
    <col min="10429" max="10429" customWidth="1" width="11.42578125"/>
    <col min="10430" max="10430" customWidth="1" width="11.42578125"/>
    <col min="10431" max="10431" customWidth="1" width="11.42578125"/>
    <col min="10432" max="10432" customWidth="1" width="11.42578125"/>
    <col min="10433" max="10433" customWidth="1" width="11.42578125"/>
    <col min="10434" max="10434" customWidth="1" width="11.42578125"/>
    <col min="10435" max="10435" customWidth="1" width="11.42578125"/>
    <col min="10436" max="10436" customWidth="1" width="11.42578125"/>
    <col min="10437" max="10437" customWidth="1" width="11.42578125"/>
    <col min="10438" max="10438" customWidth="1" width="11.42578125"/>
    <col min="10439" max="10439" customWidth="1" width="11.42578125"/>
    <col min="10440" max="10440" customWidth="1" width="11.42578125"/>
    <col min="10441" max="10441" customWidth="1" width="11.42578125"/>
    <col min="10442" max="10442" customWidth="1" width="11.42578125"/>
    <col min="10443" max="10443" customWidth="1" width="11.42578125"/>
    <col min="10444" max="10444" customWidth="1" width="11.42578125"/>
    <col min="10445" max="10445" customWidth="1" width="11.42578125"/>
    <col min="10446" max="10446" customWidth="1" width="11.42578125"/>
    <col min="10447" max="10447" customWidth="1" width="11.42578125"/>
    <col min="10448" max="10448" customWidth="1" width="11.42578125"/>
    <col min="10449" max="10449" customWidth="1" width="11.42578125"/>
    <col min="10450" max="10450" customWidth="1" width="11.42578125"/>
    <col min="10451" max="10451" customWidth="1" width="11.42578125"/>
    <col min="10452" max="10452" customWidth="1" width="11.42578125"/>
    <col min="10453" max="10453" customWidth="1" width="11.42578125"/>
    <col min="10454" max="10454" customWidth="1" width="11.42578125"/>
    <col min="10455" max="10455" customWidth="1" width="11.42578125"/>
    <col min="10456" max="10456" customWidth="1" width="11.42578125"/>
    <col min="10457" max="10457" customWidth="1" width="11.42578125"/>
    <col min="10458" max="10458" customWidth="1" width="11.42578125"/>
    <col min="10459" max="10459" customWidth="1" width="11.42578125"/>
    <col min="10460" max="10460" customWidth="1" width="11.42578125"/>
    <col min="10461" max="10461" customWidth="1" width="11.42578125"/>
    <col min="10462" max="10462" customWidth="1" width="11.42578125"/>
    <col min="10463" max="10463" customWidth="1" width="11.42578125"/>
    <col min="10464" max="10464" customWidth="1" width="11.42578125"/>
    <col min="10465" max="10465" customWidth="1" width="11.42578125"/>
    <col min="10466" max="10466" customWidth="1" width="11.42578125"/>
    <col min="10467" max="10467" customWidth="1" width="11.42578125"/>
    <col min="10468" max="10468" customWidth="1" width="11.42578125"/>
    <col min="10469" max="10469" customWidth="1" width="11.42578125"/>
    <col min="10470" max="10470" customWidth="1" width="11.42578125"/>
    <col min="10471" max="10471" customWidth="1" width="11.42578125"/>
    <col min="10472" max="10472" customWidth="1" width="11.42578125"/>
    <col min="10473" max="10473" customWidth="1" width="11.42578125"/>
    <col min="10474" max="10474" customWidth="1" width="11.42578125"/>
    <col min="10475" max="10475" customWidth="1" width="11.42578125"/>
    <col min="10476" max="10476" customWidth="1" width="11.42578125"/>
    <col min="10477" max="10477" customWidth="1" width="11.42578125"/>
    <col min="10478" max="10478" customWidth="1" width="11.42578125"/>
    <col min="10479" max="10479" customWidth="1" width="11.42578125"/>
    <col min="10480" max="10480" customWidth="1" width="11.42578125"/>
    <col min="10481" max="10481" customWidth="1" width="11.42578125"/>
    <col min="10482" max="10482" customWidth="1" width="11.42578125"/>
    <col min="10483" max="10483" customWidth="1" width="11.42578125"/>
    <col min="10484" max="10484" customWidth="1" width="11.42578125"/>
    <col min="10485" max="10485" customWidth="1" width="11.42578125"/>
    <col min="10486" max="10486" customWidth="1" width="11.42578125"/>
    <col min="10487" max="10487" customWidth="1" width="11.42578125"/>
    <col min="10488" max="10488" customWidth="1" width="11.42578125"/>
    <col min="10489" max="10489" customWidth="1" width="11.42578125"/>
    <col min="10490" max="10490" customWidth="1" width="11.42578125"/>
    <col min="10491" max="10491" customWidth="1" width="11.42578125"/>
    <col min="10492" max="10492" customWidth="1" width="11.42578125"/>
    <col min="10493" max="10493" customWidth="1" width="11.42578125"/>
    <col min="10494" max="10494" customWidth="1" width="11.42578125"/>
    <col min="10495" max="10495" customWidth="1" width="11.42578125"/>
    <col min="10496" max="10496" customWidth="1" width="11.42578125"/>
    <col min="10497" max="10497" customWidth="1" width="11.42578125"/>
    <col min="10498" max="10498" customWidth="1" width="11.42578125"/>
    <col min="10499" max="10499" customWidth="1" width="11.42578125"/>
    <col min="10500" max="10500" customWidth="1" width="11.42578125"/>
    <col min="10501" max="10501" customWidth="1" width="11.42578125"/>
    <col min="10502" max="10502" customWidth="1" width="11.42578125"/>
    <col min="10503" max="10503" customWidth="1" width="11.42578125"/>
    <col min="10504" max="10504" customWidth="1" width="11.42578125"/>
    <col min="10505" max="10505" customWidth="1" width="11.42578125"/>
    <col min="10506" max="10506" customWidth="1" width="11.42578125"/>
    <col min="10507" max="10507" customWidth="1" width="11.42578125"/>
    <col min="10508" max="10508" customWidth="1" width="11.42578125"/>
    <col min="10509" max="10509" customWidth="1" width="11.42578125"/>
    <col min="10510" max="10510" customWidth="1" width="11.42578125"/>
    <col min="10511" max="10511" customWidth="1" width="11.42578125"/>
    <col min="10512" max="10512" customWidth="1" width="11.42578125"/>
    <col min="10513" max="10513" customWidth="1" width="11.42578125"/>
    <col min="10514" max="10514" customWidth="1" width="11.42578125"/>
    <col min="10515" max="10515" customWidth="1" width="11.42578125"/>
    <col min="10516" max="10516" customWidth="1" width="11.42578125"/>
    <col min="10517" max="10517" customWidth="1" width="11.42578125"/>
    <col min="10518" max="10518" customWidth="1" width="11.42578125"/>
    <col min="10519" max="10519" customWidth="1" width="11.42578125"/>
    <col min="10520" max="10520" customWidth="1" width="11.42578125"/>
    <col min="10521" max="10521" customWidth="1" width="11.42578125"/>
    <col min="10522" max="10522" customWidth="1" width="11.42578125"/>
    <col min="10523" max="10523" customWidth="1" width="11.42578125"/>
    <col min="10524" max="10524" customWidth="1" width="11.42578125"/>
    <col min="10525" max="10525" customWidth="1" width="11.42578125"/>
    <col min="10526" max="10526" customWidth="1" width="11.42578125"/>
    <col min="10527" max="10527" customWidth="1" width="11.42578125"/>
    <col min="10528" max="10528" customWidth="1" width="11.42578125"/>
    <col min="10529" max="10529" customWidth="1" width="11.42578125"/>
    <col min="10530" max="10530" customWidth="1" width="11.42578125"/>
    <col min="10531" max="10531" customWidth="1" width="11.42578125"/>
    <col min="10532" max="10532" customWidth="1" width="11.42578125"/>
    <col min="10533" max="10533" customWidth="1" width="11.42578125"/>
    <col min="10534" max="10534" customWidth="1" width="11.42578125"/>
    <col min="10535" max="10535" customWidth="1" width="11.42578125"/>
    <col min="10536" max="10536" customWidth="1" width="11.42578125"/>
    <col min="10537" max="10537" customWidth="1" width="11.42578125"/>
    <col min="10538" max="10538" customWidth="1" width="11.42578125"/>
    <col min="10539" max="10539" customWidth="1" width="11.42578125"/>
    <col min="10540" max="10540" customWidth="1" width="11.42578125"/>
    <col min="10541" max="10541" customWidth="1" width="11.42578125"/>
    <col min="10542" max="10542" customWidth="1" width="11.42578125"/>
    <col min="10543" max="10543" customWidth="1" width="11.42578125"/>
    <col min="10544" max="10544" customWidth="1" width="11.42578125"/>
    <col min="10545" max="10545" customWidth="1" width="11.42578125"/>
    <col min="10546" max="10546" customWidth="1" width="11.42578125"/>
    <col min="10547" max="10547" customWidth="1" width="11.42578125"/>
    <col min="10548" max="10548" customWidth="1" width="11.42578125"/>
    <col min="10549" max="10549" customWidth="1" width="11.42578125"/>
    <col min="10550" max="10550" customWidth="1" width="11.42578125"/>
    <col min="10551" max="10551" customWidth="1" width="11.42578125"/>
    <col min="10552" max="10552" customWidth="1" width="11.42578125"/>
    <col min="10553" max="10553" customWidth="1" width="11.42578125"/>
    <col min="10554" max="10554" customWidth="1" width="11.42578125"/>
    <col min="10555" max="10555" customWidth="1" width="11.42578125"/>
    <col min="10556" max="10556" customWidth="1" width="11.42578125"/>
    <col min="10557" max="10557" customWidth="1" width="11.42578125"/>
    <col min="10558" max="10558" customWidth="1" width="11.42578125"/>
    <col min="10559" max="10559" customWidth="1" width="11.42578125"/>
    <col min="10560" max="10560" customWidth="1" width="11.42578125"/>
    <col min="10561" max="10561" customWidth="1" width="11.42578125"/>
    <col min="10562" max="10562" customWidth="1" width="11.42578125"/>
    <col min="10563" max="10563" customWidth="1" width="11.42578125"/>
    <col min="10564" max="10564" customWidth="1" width="11.42578125"/>
    <col min="10565" max="10565" customWidth="1" width="11.42578125"/>
    <col min="10566" max="10566" customWidth="1" width="11.42578125"/>
    <col min="10567" max="10567" customWidth="1" width="11.42578125"/>
    <col min="10568" max="10568" customWidth="1" width="11.42578125"/>
    <col min="10569" max="10569" customWidth="1" width="11.42578125"/>
    <col min="10570" max="10570" customWidth="1" width="11.42578125"/>
    <col min="10571" max="10571" customWidth="1" width="11.42578125"/>
    <col min="10572" max="10572" customWidth="1" width="11.42578125"/>
    <col min="10573" max="10573" customWidth="1" width="11.42578125"/>
    <col min="10574" max="10574" customWidth="1" width="11.42578125"/>
    <col min="10575" max="10575" customWidth="1" width="11.42578125"/>
    <col min="10576" max="10576" customWidth="1" width="11.42578125"/>
    <col min="10577" max="10577" customWidth="1" width="11.42578125"/>
    <col min="10578" max="10578" customWidth="1" width="11.42578125"/>
    <col min="10579" max="10579" customWidth="1" width="11.42578125"/>
    <col min="10580" max="10580" customWidth="1" width="11.42578125"/>
    <col min="10581" max="10581" customWidth="1" width="11.42578125"/>
    <col min="10582" max="10582" customWidth="1" width="11.42578125"/>
    <col min="10583" max="10583" customWidth="1" width="11.42578125"/>
    <col min="10584" max="10584" customWidth="1" width="11.42578125"/>
    <col min="10585" max="10585" customWidth="1" width="11.42578125"/>
    <col min="10586" max="10586" customWidth="1" width="11.42578125"/>
    <col min="10587" max="10587" customWidth="1" width="11.42578125"/>
    <col min="10588" max="10588" customWidth="1" width="11.42578125"/>
    <col min="10589" max="10589" customWidth="1" width="11.42578125"/>
    <col min="10590" max="10590" customWidth="1" width="11.42578125"/>
    <col min="10591" max="10591" customWidth="1" width="11.42578125"/>
    <col min="10592" max="10592" customWidth="1" width="11.42578125"/>
    <col min="10593" max="10593" customWidth="1" width="11.42578125"/>
    <col min="10594" max="10594" customWidth="1" width="11.42578125"/>
    <col min="10595" max="10595" customWidth="1" width="11.42578125"/>
    <col min="10596" max="10596" customWidth="1" width="11.42578125"/>
    <col min="10597" max="10597" customWidth="1" width="11.42578125"/>
    <col min="10598" max="10598" customWidth="1" width="11.42578125"/>
    <col min="10599" max="10599" customWidth="1" width="11.42578125"/>
    <col min="10600" max="10600" customWidth="1" width="11.42578125"/>
    <col min="10601" max="10601" customWidth="1" width="11.42578125"/>
    <col min="10602" max="10602" customWidth="1" width="11.42578125"/>
    <col min="10603" max="10603" customWidth="1" width="11.42578125"/>
    <col min="10604" max="10604" customWidth="1" width="11.42578125"/>
    <col min="10605" max="10605" customWidth="1" width="11.42578125"/>
    <col min="10606" max="10606" customWidth="1" width="11.42578125"/>
    <col min="10607" max="10607" customWidth="1" width="11.42578125"/>
    <col min="10608" max="10608" customWidth="1" width="11.42578125"/>
    <col min="10609" max="10609" customWidth="1" width="11.42578125"/>
    <col min="10610" max="10610" customWidth="1" width="11.42578125"/>
    <col min="10611" max="10611" customWidth="1" width="11.42578125"/>
    <col min="10612" max="10612" customWidth="1" width="11.42578125"/>
    <col min="10613" max="10613" customWidth="1" width="11.42578125"/>
    <col min="10614" max="10614" customWidth="1" width="11.42578125"/>
    <col min="10615" max="10615" customWidth="1" width="11.42578125"/>
    <col min="10616" max="10616" customWidth="1" width="11.42578125"/>
    <col min="10617" max="10617" customWidth="1" width="11.42578125"/>
    <col min="10618" max="10618" customWidth="1" width="11.42578125"/>
    <col min="10619" max="10619" customWidth="1" width="11.42578125"/>
    <col min="10620" max="10620" customWidth="1" width="11.42578125"/>
    <col min="10621" max="10621" customWidth="1" width="11.42578125"/>
    <col min="10622" max="10622" customWidth="1" width="11.42578125"/>
    <col min="10623" max="10623" customWidth="1" width="11.42578125"/>
    <col min="10624" max="10624" customWidth="1" width="11.42578125"/>
    <col min="10625" max="10625" customWidth="1" width="11.42578125"/>
    <col min="10626" max="10626" customWidth="1" width="11.42578125"/>
    <col min="10627" max="10627" customWidth="1" width="11.42578125"/>
    <col min="10628" max="10628" customWidth="1" width="11.42578125"/>
    <col min="10629" max="10629" customWidth="1" width="11.42578125"/>
    <col min="10630" max="10630" customWidth="1" width="11.42578125"/>
    <col min="10631" max="10631" customWidth="1" width="11.42578125"/>
    <col min="10632" max="10632" customWidth="1" width="11.42578125"/>
    <col min="10633" max="10633" customWidth="1" width="11.42578125"/>
    <col min="10634" max="10634" customWidth="1" width="11.42578125"/>
    <col min="10635" max="10635" customWidth="1" width="11.42578125"/>
    <col min="10636" max="10636" customWidth="1" width="11.42578125"/>
    <col min="10637" max="10637" customWidth="1" width="11.42578125"/>
    <col min="10638" max="10638" customWidth="1" width="11.42578125"/>
    <col min="10639" max="10639" customWidth="1" width="11.42578125"/>
    <col min="10640" max="10640" customWidth="1" width="11.42578125"/>
    <col min="10641" max="10641" customWidth="1" width="11.42578125"/>
    <col min="10642" max="10642" customWidth="1" width="11.42578125"/>
    <col min="10643" max="10643" customWidth="1" width="11.42578125"/>
    <col min="10644" max="10644" customWidth="1" width="11.42578125"/>
    <col min="10645" max="10645" customWidth="1" width="11.42578125"/>
    <col min="10646" max="10646" customWidth="1" width="11.42578125"/>
    <col min="10647" max="10647" customWidth="1" width="11.42578125"/>
    <col min="10648" max="10648" customWidth="1" width="11.42578125"/>
    <col min="10649" max="10649" customWidth="1" width="11.42578125"/>
    <col min="10650" max="10650" customWidth="1" width="11.42578125"/>
    <col min="10651" max="10651" customWidth="1" width="11.42578125"/>
    <col min="10652" max="10652" customWidth="1" width="11.42578125"/>
    <col min="10653" max="10653" customWidth="1" width="11.42578125"/>
    <col min="10654" max="10654" customWidth="1" width="11.42578125"/>
    <col min="10655" max="10655" customWidth="1" width="11.42578125"/>
    <col min="10656" max="10656" customWidth="1" width="11.42578125"/>
    <col min="10657" max="10657" customWidth="1" width="11.42578125"/>
    <col min="10658" max="10658" customWidth="1" width="11.42578125"/>
    <col min="10659" max="10659" customWidth="1" width="11.42578125"/>
    <col min="10660" max="10660" customWidth="1" width="11.42578125"/>
    <col min="10661" max="10661" customWidth="1" width="11.42578125"/>
    <col min="10662" max="10662" customWidth="1" width="11.42578125"/>
    <col min="10663" max="10663" customWidth="1" width="11.42578125"/>
    <col min="10664" max="10664" customWidth="1" width="11.42578125"/>
    <col min="10665" max="10665" customWidth="1" width="11.42578125"/>
    <col min="10666" max="10666" customWidth="1" width="11.42578125"/>
    <col min="10667" max="10667" customWidth="1" width="11.42578125"/>
    <col min="10668" max="10668" customWidth="1" width="11.42578125"/>
    <col min="10669" max="10669" customWidth="1" width="11.42578125"/>
    <col min="10670" max="10670" customWidth="1" width="11.42578125"/>
    <col min="10671" max="10671" customWidth="1" width="11.42578125"/>
    <col min="10672" max="10672" customWidth="1" width="11.42578125"/>
    <col min="10673" max="10673" customWidth="1" width="11.42578125"/>
    <col min="10674" max="10674" customWidth="1" width="11.42578125"/>
    <col min="10675" max="10675" customWidth="1" width="11.42578125"/>
    <col min="10676" max="10676" customWidth="1" width="11.42578125"/>
    <col min="10677" max="10677" customWidth="1" width="11.42578125"/>
    <col min="10678" max="10678" customWidth="1" width="11.42578125"/>
    <col min="10679" max="10679" customWidth="1" width="11.42578125"/>
    <col min="10680" max="10680" customWidth="1" width="11.42578125"/>
    <col min="10681" max="10681" customWidth="1" width="11.42578125"/>
    <col min="10682" max="10682" customWidth="1" width="11.42578125"/>
    <col min="10683" max="10683" customWidth="1" width="11.42578125"/>
    <col min="10684" max="10684" customWidth="1" width="11.42578125"/>
    <col min="10685" max="10685" customWidth="1" width="11.42578125"/>
    <col min="10686" max="10686" customWidth="1" width="11.42578125"/>
    <col min="10687" max="10687" customWidth="1" width="11.42578125"/>
    <col min="10688" max="10688" customWidth="1" width="11.42578125"/>
    <col min="10689" max="10689" customWidth="1" width="11.42578125"/>
    <col min="10690" max="10690" customWidth="1" width="11.42578125"/>
    <col min="10691" max="10691" customWidth="1" width="11.42578125"/>
    <col min="10692" max="10692" customWidth="1" width="11.42578125"/>
    <col min="10693" max="10693" customWidth="1" width="11.42578125"/>
    <col min="10694" max="10694" customWidth="1" width="11.42578125"/>
    <col min="10695" max="10695" customWidth="1" width="11.42578125"/>
    <col min="10696" max="10696" customWidth="1" width="11.42578125"/>
    <col min="10697" max="10697" customWidth="1" width="11.42578125"/>
    <col min="10698" max="10698" customWidth="1" width="11.42578125"/>
    <col min="10699" max="10699" customWidth="1" width="11.42578125"/>
    <col min="10700" max="10700" customWidth="1" width="11.42578125"/>
    <col min="10701" max="10701" customWidth="1" width="11.42578125"/>
    <col min="10702" max="10702" customWidth="1" width="11.42578125"/>
    <col min="10703" max="10703" customWidth="1" width="11.42578125"/>
    <col min="10704" max="10704" customWidth="1" width="11.42578125"/>
    <col min="10705" max="10705" customWidth="1" width="11.42578125"/>
    <col min="10706" max="10706" customWidth="1" width="11.42578125"/>
    <col min="10707" max="10707" customWidth="1" width="11.42578125"/>
    <col min="10708" max="10708" customWidth="1" width="11.42578125"/>
    <col min="10709" max="10709" customWidth="1" width="11.42578125"/>
    <col min="10710" max="10710" customWidth="1" width="11.42578125"/>
    <col min="10711" max="10711" customWidth="1" width="11.42578125"/>
    <col min="10712" max="10712" customWidth="1" width="11.42578125"/>
    <col min="10713" max="10713" customWidth="1" width="11.42578125"/>
    <col min="10714" max="10714" customWidth="1" width="11.42578125"/>
    <col min="10715" max="10715" customWidth="1" width="11.42578125"/>
    <col min="10716" max="10716" customWidth="1" width="11.42578125"/>
    <col min="10717" max="10717" customWidth="1" width="11.42578125"/>
    <col min="10718" max="10718" customWidth="1" width="11.42578125"/>
    <col min="10719" max="10719" customWidth="1" width="11.42578125"/>
    <col min="10720" max="10720" customWidth="1" width="11.42578125"/>
    <col min="10721" max="10721" customWidth="1" width="11.42578125"/>
    <col min="10722" max="10722" customWidth="1" width="11.42578125"/>
    <col min="10723" max="10723" customWidth="1" width="11.42578125"/>
    <col min="10724" max="10724" customWidth="1" width="11.42578125"/>
    <col min="10725" max="10725" customWidth="1" width="11.42578125"/>
    <col min="10726" max="10726" customWidth="1" width="11.42578125"/>
    <col min="10727" max="10727" customWidth="1" width="11.42578125"/>
    <col min="10728" max="10728" customWidth="1" width="11.42578125"/>
    <col min="10729" max="10729" customWidth="1" width="11.42578125"/>
    <col min="10730" max="10730" customWidth="1" width="11.42578125"/>
    <col min="10731" max="10731" customWidth="1" width="11.42578125"/>
    <col min="10732" max="10732" customWidth="1" width="11.42578125"/>
    <col min="10733" max="10733" customWidth="1" width="11.42578125"/>
    <col min="10734" max="10734" customWidth="1" width="11.42578125"/>
    <col min="10735" max="10735" customWidth="1" width="11.42578125"/>
    <col min="10736" max="10736" customWidth="1" width="11.42578125"/>
    <col min="10737" max="10737" customWidth="1" width="11.42578125"/>
    <col min="10738" max="10738" customWidth="1" width="11.42578125"/>
    <col min="10739" max="10739" customWidth="1" width="11.42578125"/>
    <col min="10740" max="10740" customWidth="1" width="11.42578125"/>
    <col min="10741" max="10741" customWidth="1" width="11.42578125"/>
    <col min="10742" max="10742" customWidth="1" width="11.42578125"/>
    <col min="10743" max="10743" customWidth="1" width="11.42578125"/>
    <col min="10744" max="10744" customWidth="1" width="11.42578125"/>
    <col min="10745" max="10745" customWidth="1" width="11.42578125"/>
    <col min="10746" max="10746" customWidth="1" width="11.42578125"/>
    <col min="10747" max="10747" customWidth="1" width="11.42578125"/>
    <col min="10748" max="10748" customWidth="1" width="11.42578125"/>
    <col min="10749" max="10749" customWidth="1" width="11.42578125"/>
    <col min="10750" max="10750" customWidth="1" width="11.42578125"/>
    <col min="10751" max="10751" customWidth="1" width="11.42578125"/>
    <col min="10752" max="10752" customWidth="1" width="11.42578125"/>
    <col min="10753" max="10753" customWidth="1" width="11.42578125"/>
    <col min="10754" max="10754" customWidth="1" width="11.42578125"/>
    <col min="10755" max="10755" customWidth="1" width="11.42578125"/>
    <col min="10756" max="10756" customWidth="1" width="11.42578125"/>
    <col min="10757" max="10757" customWidth="1" width="11.42578125"/>
    <col min="10758" max="10758" customWidth="1" width="11.42578125"/>
    <col min="10759" max="10759" customWidth="1" width="11.42578125"/>
    <col min="10760" max="10760" customWidth="1" width="11.42578125"/>
    <col min="10761" max="10761" customWidth="1" width="11.42578125"/>
    <col min="10762" max="10762" customWidth="1" width="11.42578125"/>
    <col min="10763" max="10763" customWidth="1" width="11.42578125"/>
    <col min="10764" max="10764" customWidth="1" width="11.42578125"/>
    <col min="10765" max="10765" customWidth="1" width="11.42578125"/>
    <col min="10766" max="10766" customWidth="1" width="11.42578125"/>
    <col min="10767" max="10767" customWidth="1" width="11.42578125"/>
    <col min="10768" max="10768" customWidth="1" width="11.42578125"/>
    <col min="10769" max="10769" customWidth="1" width="11.42578125"/>
    <col min="10770" max="10770" customWidth="1" width="11.42578125"/>
    <col min="10771" max="10771" customWidth="1" width="11.42578125"/>
    <col min="10772" max="10772" customWidth="1" width="11.42578125"/>
    <col min="10773" max="10773" customWidth="1" width="11.42578125"/>
    <col min="10774" max="10774" customWidth="1" width="11.42578125"/>
    <col min="10775" max="10775" customWidth="1" width="11.42578125"/>
    <col min="10776" max="10776" customWidth="1" width="11.42578125"/>
    <col min="10777" max="10777" customWidth="1" width="11.42578125"/>
    <col min="10778" max="10778" customWidth="1" width="11.42578125"/>
    <col min="10779" max="10779" customWidth="1" width="11.42578125"/>
    <col min="10780" max="10780" customWidth="1" width="11.42578125"/>
    <col min="10781" max="10781" customWidth="1" width="11.42578125"/>
    <col min="10782" max="10782" customWidth="1" width="11.42578125"/>
    <col min="10783" max="10783" customWidth="1" width="11.42578125"/>
    <col min="10784" max="10784" customWidth="1" width="11.42578125"/>
    <col min="10785" max="10785" customWidth="1" width="11.42578125"/>
    <col min="10786" max="10786" customWidth="1" width="11.42578125"/>
    <col min="10787" max="10787" customWidth="1" width="11.42578125"/>
    <col min="10788" max="10788" customWidth="1" width="11.42578125"/>
    <col min="10789" max="10789" customWidth="1" width="11.42578125"/>
    <col min="10790" max="10790" customWidth="1" width="11.42578125"/>
    <col min="10791" max="10791" customWidth="1" width="11.42578125"/>
    <col min="10792" max="10792" customWidth="1" width="11.42578125"/>
    <col min="10793" max="10793" customWidth="1" width="11.42578125"/>
    <col min="10794" max="10794" customWidth="1" width="11.42578125"/>
    <col min="10795" max="10795" customWidth="1" width="11.42578125"/>
    <col min="10796" max="10796" customWidth="1" width="11.42578125"/>
    <col min="10797" max="10797" customWidth="1" width="11.42578125"/>
    <col min="10798" max="10798" customWidth="1" width="11.42578125"/>
    <col min="10799" max="10799" customWidth="1" width="11.42578125"/>
    <col min="10800" max="10800" customWidth="1" width="11.42578125"/>
    <col min="10801" max="10801" customWidth="1" width="11.42578125"/>
    <col min="10802" max="10802" customWidth="1" width="11.42578125"/>
    <col min="10803" max="10803" customWidth="1" width="11.42578125"/>
    <col min="10804" max="10804" customWidth="1" width="11.42578125"/>
    <col min="10805" max="10805" customWidth="1" width="11.42578125"/>
    <col min="10806" max="10806" customWidth="1" width="11.42578125"/>
    <col min="10807" max="10807" customWidth="1" width="11.42578125"/>
    <col min="10808" max="10808" customWidth="1" width="11.42578125"/>
    <col min="10809" max="10809" customWidth="1" width="11.42578125"/>
    <col min="10810" max="10810" customWidth="1" width="11.42578125"/>
    <col min="10811" max="10811" customWidth="1" width="11.42578125"/>
    <col min="10812" max="10812" customWidth="1" width="11.42578125"/>
    <col min="10813" max="10813" customWidth="1" width="11.42578125"/>
    <col min="10814" max="10814" customWidth="1" width="11.42578125"/>
    <col min="10815" max="10815" customWidth="1" width="11.42578125"/>
    <col min="10816" max="10816" customWidth="1" width="11.42578125"/>
    <col min="10817" max="10817" customWidth="1" width="11.42578125"/>
    <col min="10818" max="10818" customWidth="1" width="11.42578125"/>
    <col min="10819" max="10819" customWidth="1" width="11.42578125"/>
    <col min="10820" max="10820" customWidth="1" width="11.42578125"/>
    <col min="10821" max="10821" customWidth="1" width="11.42578125"/>
    <col min="10822" max="10822" customWidth="1" width="11.42578125"/>
    <col min="10823" max="10823" customWidth="1" width="11.42578125"/>
    <col min="10824" max="10824" customWidth="1" width="11.42578125"/>
    <col min="10825" max="10825" customWidth="1" width="11.42578125"/>
    <col min="10826" max="10826" customWidth="1" width="11.42578125"/>
    <col min="10827" max="10827" customWidth="1" width="11.42578125"/>
    <col min="10828" max="10828" customWidth="1" width="11.42578125"/>
    <col min="10829" max="10829" customWidth="1" width="11.42578125"/>
    <col min="10830" max="10830" customWidth="1" width="11.42578125"/>
    <col min="10831" max="10831" customWidth="1" width="11.42578125"/>
    <col min="10832" max="10832" customWidth="1" width="11.42578125"/>
    <col min="10833" max="10833" customWidth="1" width="11.42578125"/>
    <col min="10834" max="10834" customWidth="1" width="11.42578125"/>
    <col min="10835" max="10835" customWidth="1" width="11.42578125"/>
    <col min="10836" max="10836" customWidth="1" width="11.42578125"/>
    <col min="10837" max="10837" customWidth="1" width="11.42578125"/>
    <col min="10838" max="10838" customWidth="1" width="11.42578125"/>
    <col min="10839" max="10839" customWidth="1" width="11.42578125"/>
    <col min="10840" max="10840" customWidth="1" width="11.42578125"/>
    <col min="10841" max="10841" customWidth="1" width="11.42578125"/>
    <col min="10842" max="10842" customWidth="1" width="11.42578125"/>
    <col min="10843" max="10843" customWidth="1" width="11.42578125"/>
    <col min="10844" max="10844" customWidth="1" width="11.42578125"/>
    <col min="10845" max="10845" customWidth="1" width="11.42578125"/>
    <col min="10846" max="10846" customWidth="1" width="11.42578125"/>
    <col min="10847" max="10847" customWidth="1" width="11.42578125"/>
    <col min="10848" max="10848" customWidth="1" width="11.42578125"/>
    <col min="10849" max="10849" customWidth="1" width="11.42578125"/>
    <col min="10850" max="10850" customWidth="1" width="11.42578125"/>
    <col min="10851" max="10851" customWidth="1" width="11.42578125"/>
    <col min="10852" max="10852" customWidth="1" width="11.42578125"/>
    <col min="10853" max="10853" customWidth="1" width="11.42578125"/>
    <col min="10854" max="10854" customWidth="1" width="11.42578125"/>
    <col min="10855" max="10855" customWidth="1" width="11.42578125"/>
    <col min="10856" max="10856" customWidth="1" width="11.42578125"/>
    <col min="10857" max="10857" customWidth="1" width="11.42578125"/>
    <col min="10858" max="10858" customWidth="1" width="11.42578125"/>
    <col min="10859" max="10859" customWidth="1" width="11.42578125"/>
    <col min="10860" max="10860" customWidth="1" width="11.42578125"/>
    <col min="10861" max="10861" customWidth="1" width="11.42578125"/>
    <col min="10862" max="10862" customWidth="1" width="11.42578125"/>
    <col min="10863" max="10863" customWidth="1" width="11.42578125"/>
    <col min="10864" max="10864" customWidth="1" width="11.42578125"/>
    <col min="10865" max="10865" customWidth="1" width="11.42578125"/>
    <col min="10866" max="10866" customWidth="1" width="11.42578125"/>
    <col min="10867" max="10867" customWidth="1" width="11.42578125"/>
    <col min="10868" max="10868" customWidth="1" width="11.42578125"/>
    <col min="10869" max="10869" customWidth="1" width="11.42578125"/>
    <col min="10870" max="10870" customWidth="1" width="11.42578125"/>
    <col min="10871" max="10871" customWidth="1" width="11.42578125"/>
    <col min="10872" max="10872" customWidth="1" width="11.42578125"/>
    <col min="10873" max="10873" customWidth="1" width="11.42578125"/>
    <col min="10874" max="10874" customWidth="1" width="11.42578125"/>
    <col min="10875" max="10875" customWidth="1" width="11.42578125"/>
    <col min="10876" max="10876" customWidth="1" width="11.42578125"/>
    <col min="10877" max="10877" customWidth="1" width="11.42578125"/>
    <col min="10878" max="10878" customWidth="1" width="11.42578125"/>
    <col min="10879" max="10879" customWidth="1" width="11.42578125"/>
    <col min="10880" max="10880" customWidth="1" width="11.42578125"/>
    <col min="10881" max="10881" customWidth="1" width="11.42578125"/>
    <col min="10882" max="10882" customWidth="1" width="11.42578125"/>
    <col min="10883" max="10883" customWidth="1" width="11.42578125"/>
    <col min="10884" max="10884" customWidth="1" width="11.42578125"/>
    <col min="10885" max="10885" customWidth="1" width="11.42578125"/>
    <col min="10886" max="10886" customWidth="1" width="11.42578125"/>
    <col min="10887" max="10887" customWidth="1" width="11.42578125"/>
    <col min="10888" max="10888" customWidth="1" width="11.42578125"/>
    <col min="10889" max="10889" customWidth="1" width="11.42578125"/>
    <col min="10890" max="10890" customWidth="1" width="11.42578125"/>
    <col min="10891" max="10891" customWidth="1" width="11.42578125"/>
    <col min="10892" max="10892" customWidth="1" width="11.42578125"/>
    <col min="10893" max="10893" customWidth="1" width="11.42578125"/>
    <col min="10894" max="10894" customWidth="1" width="11.42578125"/>
    <col min="10895" max="10895" customWidth="1" width="11.42578125"/>
    <col min="10896" max="10896" customWidth="1" width="11.42578125"/>
    <col min="10897" max="10897" customWidth="1" width="11.42578125"/>
    <col min="10898" max="10898" customWidth="1" width="11.42578125"/>
    <col min="10899" max="10899" customWidth="1" width="11.42578125"/>
    <col min="10900" max="10900" customWidth="1" width="11.42578125"/>
    <col min="10901" max="10901" customWidth="1" width="11.42578125"/>
    <col min="10902" max="10902" customWidth="1" width="11.42578125"/>
    <col min="10903" max="10903" customWidth="1" width="11.42578125"/>
    <col min="10904" max="10904" customWidth="1" width="11.42578125"/>
    <col min="10905" max="10905" customWidth="1" width="11.42578125"/>
    <col min="10906" max="10906" customWidth="1" width="11.42578125"/>
    <col min="10907" max="10907" customWidth="1" width="11.42578125"/>
    <col min="10908" max="10908" customWidth="1" width="11.42578125"/>
    <col min="10909" max="10909" customWidth="1" width="11.42578125"/>
    <col min="10910" max="10910" customWidth="1" width="11.42578125"/>
    <col min="10911" max="10911" customWidth="1" width="11.42578125"/>
    <col min="10912" max="10912" customWidth="1" width="11.42578125"/>
    <col min="10913" max="10913" customWidth="1" width="11.42578125"/>
    <col min="10914" max="10914" customWidth="1" width="11.42578125"/>
    <col min="10915" max="10915" customWidth="1" width="11.42578125"/>
    <col min="10916" max="10916" customWidth="1" width="11.42578125"/>
    <col min="10917" max="10917" customWidth="1" width="11.42578125"/>
    <col min="10918" max="10918" customWidth="1" width="11.42578125"/>
    <col min="10919" max="10919" customWidth="1" width="11.42578125"/>
    <col min="10920" max="10920" customWidth="1" width="11.42578125"/>
    <col min="10921" max="10921" customWidth="1" width="11.42578125"/>
    <col min="10922" max="10922" customWidth="1" width="11.42578125"/>
    <col min="10923" max="10923" customWidth="1" width="11.42578125"/>
    <col min="10924" max="10924" customWidth="1" width="11.42578125"/>
    <col min="10925" max="10925" customWidth="1" width="11.42578125"/>
    <col min="10926" max="10926" customWidth="1" width="11.42578125"/>
    <col min="10927" max="10927" customWidth="1" width="11.42578125"/>
    <col min="10928" max="10928" customWidth="1" width="11.42578125"/>
    <col min="10929" max="10929" customWidth="1" width="11.42578125"/>
    <col min="10930" max="10930" customWidth="1" width="11.42578125"/>
    <col min="10931" max="10931" customWidth="1" width="11.42578125"/>
    <col min="10932" max="10932" customWidth="1" width="11.42578125"/>
    <col min="10933" max="10933" customWidth="1" width="11.42578125"/>
    <col min="10934" max="10934" customWidth="1" width="11.42578125"/>
    <col min="10935" max="10935" customWidth="1" width="11.42578125"/>
    <col min="10936" max="10936" customWidth="1" width="11.42578125"/>
    <col min="10937" max="10937" customWidth="1" width="11.42578125"/>
    <col min="10938" max="10938" customWidth="1" width="11.42578125"/>
    <col min="10939" max="10939" customWidth="1" width="11.42578125"/>
    <col min="10940" max="10940" customWidth="1" width="11.42578125"/>
    <col min="10941" max="10941" customWidth="1" width="11.42578125"/>
    <col min="10942" max="10942" customWidth="1" width="11.42578125"/>
    <col min="10943" max="10943" customWidth="1" width="11.42578125"/>
    <col min="10944" max="10944" customWidth="1" width="11.42578125"/>
    <col min="10945" max="10945" customWidth="1" width="11.42578125"/>
    <col min="10946" max="10946" customWidth="1" width="11.42578125"/>
    <col min="10947" max="10947" customWidth="1" width="11.42578125"/>
    <col min="10948" max="10948" customWidth="1" width="11.42578125"/>
    <col min="10949" max="10949" customWidth="1" width="11.42578125"/>
    <col min="10950" max="10950" customWidth="1" width="11.42578125"/>
    <col min="10951" max="10951" customWidth="1" width="11.42578125"/>
    <col min="10952" max="10952" customWidth="1" width="11.42578125"/>
    <col min="10953" max="10953" customWidth="1" width="11.42578125"/>
    <col min="10954" max="10954" customWidth="1" width="11.42578125"/>
    <col min="10955" max="10955" customWidth="1" width="11.42578125"/>
    <col min="10956" max="10956" customWidth="1" width="11.42578125"/>
    <col min="10957" max="10957" customWidth="1" width="11.42578125"/>
    <col min="10958" max="10958" customWidth="1" width="11.42578125"/>
    <col min="10959" max="10959" customWidth="1" width="11.42578125"/>
    <col min="10960" max="10960" customWidth="1" width="11.42578125"/>
    <col min="10961" max="10961" customWidth="1" width="11.42578125"/>
    <col min="10962" max="10962" customWidth="1" width="11.42578125"/>
    <col min="10963" max="10963" customWidth="1" width="11.42578125"/>
    <col min="10964" max="10964" customWidth="1" width="11.42578125"/>
    <col min="10965" max="10965" customWidth="1" width="11.42578125"/>
    <col min="10966" max="10966" customWidth="1" width="11.42578125"/>
    <col min="10967" max="10967" customWidth="1" width="11.42578125"/>
    <col min="10968" max="10968" customWidth="1" width="11.42578125"/>
    <col min="10969" max="10969" customWidth="1" width="11.42578125"/>
    <col min="10970" max="10970" customWidth="1" width="11.42578125"/>
    <col min="10971" max="10971" customWidth="1" width="11.42578125"/>
    <col min="10972" max="10972" customWidth="1" width="11.42578125"/>
    <col min="10973" max="10973" customWidth="1" width="11.42578125"/>
    <col min="10974" max="10974" customWidth="1" width="11.42578125"/>
    <col min="10975" max="10975" customWidth="1" width="11.42578125"/>
    <col min="10976" max="10976" customWidth="1" width="11.42578125"/>
    <col min="10977" max="10977" customWidth="1" width="11.42578125"/>
    <col min="10978" max="10978" customWidth="1" width="11.42578125"/>
    <col min="10979" max="10979" customWidth="1" width="11.42578125"/>
    <col min="10980" max="10980" customWidth="1" width="11.42578125"/>
    <col min="10981" max="10981" customWidth="1" width="11.42578125"/>
    <col min="10982" max="10982" customWidth="1" width="11.42578125"/>
    <col min="10983" max="10983" customWidth="1" width="11.42578125"/>
    <col min="10984" max="10984" customWidth="1" width="11.42578125"/>
    <col min="10985" max="10985" customWidth="1" width="11.42578125"/>
    <col min="10986" max="10986" customWidth="1" width="11.42578125"/>
    <col min="10987" max="10987" customWidth="1" width="11.42578125"/>
    <col min="10988" max="10988" customWidth="1" width="11.42578125"/>
    <col min="10989" max="10989" customWidth="1" width="11.42578125"/>
    <col min="10990" max="10990" customWidth="1" width="11.42578125"/>
    <col min="10991" max="10991" customWidth="1" width="11.42578125"/>
    <col min="10992" max="10992" customWidth="1" width="11.42578125"/>
    <col min="10993" max="10993" customWidth="1" width="11.42578125"/>
    <col min="10994" max="10994" customWidth="1" width="11.42578125"/>
    <col min="10995" max="10995" customWidth="1" width="11.42578125"/>
    <col min="10996" max="10996" customWidth="1" width="11.42578125"/>
    <col min="10997" max="10997" customWidth="1" width="11.42578125"/>
    <col min="10998" max="10998" customWidth="1" width="11.42578125"/>
    <col min="10999" max="10999" customWidth="1" width="11.42578125"/>
    <col min="11000" max="11000" customWidth="1" width="11.42578125"/>
    <col min="11001" max="11001" customWidth="1" width="11.42578125"/>
    <col min="11002" max="11002" customWidth="1" width="11.42578125"/>
    <col min="11003" max="11003" customWidth="1" width="11.42578125"/>
    <col min="11004" max="11004" customWidth="1" width="11.42578125"/>
    <col min="11005" max="11005" customWidth="1" width="11.42578125"/>
    <col min="11006" max="11006" customWidth="1" width="11.42578125"/>
    <col min="11007" max="11007" customWidth="1" width="11.42578125"/>
    <col min="11008" max="11008" customWidth="1" width="11.42578125"/>
    <col min="11009" max="11009" customWidth="1" width="11.42578125"/>
    <col min="11010" max="11010" customWidth="1" width="11.42578125"/>
    <col min="11011" max="11011" customWidth="1" width="11.42578125"/>
    <col min="11012" max="11012" customWidth="1" width="11.42578125"/>
    <col min="11013" max="11013" customWidth="1" width="11.42578125"/>
    <col min="11014" max="11014" customWidth="1" width="11.42578125"/>
    <col min="11015" max="11015" customWidth="1" width="11.42578125"/>
    <col min="11016" max="11016" customWidth="1" width="11.42578125"/>
    <col min="11017" max="11017" customWidth="1" width="11.42578125"/>
    <col min="11018" max="11018" customWidth="1" width="11.42578125"/>
    <col min="11019" max="11019" customWidth="1" width="11.42578125"/>
    <col min="11020" max="11020" customWidth="1" width="11.42578125"/>
    <col min="11021" max="11021" customWidth="1" width="11.42578125"/>
    <col min="11022" max="11022" customWidth="1" width="11.42578125"/>
    <col min="11023" max="11023" customWidth="1" width="11.42578125"/>
    <col min="11024" max="11024" customWidth="1" width="11.42578125"/>
    <col min="11025" max="11025" customWidth="1" width="11.42578125"/>
    <col min="11026" max="11026" customWidth="1" width="11.42578125"/>
    <col min="11027" max="11027" customWidth="1" width="11.42578125"/>
    <col min="11028" max="11028" customWidth="1" width="11.42578125"/>
    <col min="11029" max="11029" customWidth="1" width="11.42578125"/>
    <col min="11030" max="11030" customWidth="1" width="11.42578125"/>
    <col min="11031" max="11031" customWidth="1" width="11.42578125"/>
    <col min="11032" max="11032" customWidth="1" width="11.42578125"/>
    <col min="11033" max="11033" customWidth="1" width="11.42578125"/>
    <col min="11034" max="11034" customWidth="1" width="11.42578125"/>
    <col min="11035" max="11035" customWidth="1" width="11.42578125"/>
    <col min="11036" max="11036" customWidth="1" width="11.42578125"/>
    <col min="11037" max="11037" customWidth="1" width="11.42578125"/>
    <col min="11038" max="11038" customWidth="1" width="11.42578125"/>
    <col min="11039" max="11039" customWidth="1" width="11.42578125"/>
    <col min="11040" max="11040" customWidth="1" width="11.42578125"/>
    <col min="11041" max="11041" customWidth="1" width="11.42578125"/>
    <col min="11042" max="11042" customWidth="1" width="11.42578125"/>
    <col min="11043" max="11043" customWidth="1" width="11.42578125"/>
    <col min="11044" max="11044" customWidth="1" width="11.42578125"/>
    <col min="11045" max="11045" customWidth="1" width="11.42578125"/>
    <col min="11046" max="11046" customWidth="1" width="11.42578125"/>
    <col min="11047" max="11047" customWidth="1" width="11.42578125"/>
    <col min="11048" max="11048" customWidth="1" width="11.42578125"/>
    <col min="11049" max="11049" customWidth="1" width="11.42578125"/>
    <col min="11050" max="11050" customWidth="1" width="11.42578125"/>
    <col min="11051" max="11051" customWidth="1" width="11.42578125"/>
    <col min="11052" max="11052" customWidth="1" width="11.42578125"/>
    <col min="11053" max="11053" customWidth="1" width="11.42578125"/>
    <col min="11054" max="11054" customWidth="1" width="11.42578125"/>
    <col min="11055" max="11055" customWidth="1" width="11.42578125"/>
    <col min="11056" max="11056" customWidth="1" width="11.42578125"/>
    <col min="11057" max="11057" customWidth="1" width="11.42578125"/>
    <col min="11058" max="11058" customWidth="1" width="11.42578125"/>
    <col min="11059" max="11059" customWidth="1" width="11.42578125"/>
    <col min="11060" max="11060" customWidth="1" width="11.42578125"/>
    <col min="11061" max="11061" customWidth="1" width="11.42578125"/>
    <col min="11062" max="11062" customWidth="1" width="11.42578125"/>
    <col min="11063" max="11063" customWidth="1" width="11.42578125"/>
    <col min="11064" max="11064" customWidth="1" width="11.42578125"/>
    <col min="11065" max="11065" customWidth="1" width="11.42578125"/>
    <col min="11066" max="11066" customWidth="1" width="11.42578125"/>
    <col min="11067" max="11067" customWidth="1" width="11.42578125"/>
    <col min="11068" max="11068" customWidth="1" width="11.42578125"/>
    <col min="11069" max="11069" customWidth="1" width="11.42578125"/>
    <col min="11070" max="11070" customWidth="1" width="11.42578125"/>
    <col min="11071" max="11071" customWidth="1" width="11.42578125"/>
    <col min="11072" max="11072" customWidth="1" width="11.42578125"/>
    <col min="11073" max="11073" customWidth="1" width="11.42578125"/>
    <col min="11074" max="11074" customWidth="1" width="11.42578125"/>
    <col min="11075" max="11075" customWidth="1" width="11.42578125"/>
    <col min="11076" max="11076" customWidth="1" width="11.42578125"/>
    <col min="11077" max="11077" customWidth="1" width="11.42578125"/>
    <col min="11078" max="11078" customWidth="1" width="11.42578125"/>
    <col min="11079" max="11079" customWidth="1" width="11.42578125"/>
    <col min="11080" max="11080" customWidth="1" width="11.42578125"/>
    <col min="11081" max="11081" customWidth="1" width="11.42578125"/>
    <col min="11082" max="11082" customWidth="1" width="11.42578125"/>
    <col min="11083" max="11083" customWidth="1" width="11.42578125"/>
    <col min="11084" max="11084" customWidth="1" width="11.42578125"/>
    <col min="11085" max="11085" customWidth="1" width="11.42578125"/>
    <col min="11086" max="11086" customWidth="1" width="11.42578125"/>
    <col min="11087" max="11087" customWidth="1" width="11.42578125"/>
    <col min="11088" max="11088" customWidth="1" width="11.42578125"/>
    <col min="11089" max="11089" customWidth="1" width="11.42578125"/>
    <col min="11090" max="11090" customWidth="1" width="11.42578125"/>
    <col min="11091" max="11091" customWidth="1" width="11.42578125"/>
    <col min="11092" max="11092" customWidth="1" width="11.42578125"/>
    <col min="11093" max="11093" customWidth="1" width="11.42578125"/>
    <col min="11094" max="11094" customWidth="1" width="11.42578125"/>
    <col min="11095" max="11095" customWidth="1" width="11.42578125"/>
    <col min="11096" max="11096" customWidth="1" width="11.42578125"/>
    <col min="11097" max="11097" customWidth="1" width="11.42578125"/>
    <col min="11098" max="11098" customWidth="1" width="11.42578125"/>
    <col min="11099" max="11099" customWidth="1" width="11.42578125"/>
    <col min="11100" max="11100" customWidth="1" width="11.42578125"/>
    <col min="11101" max="11101" customWidth="1" width="11.42578125"/>
    <col min="11102" max="11102" customWidth="1" width="11.42578125"/>
    <col min="11103" max="11103" customWidth="1" width="11.42578125"/>
    <col min="11104" max="11104" customWidth="1" width="11.42578125"/>
    <col min="11105" max="11105" customWidth="1" width="11.42578125"/>
    <col min="11106" max="11106" customWidth="1" width="11.42578125"/>
    <col min="11107" max="11107" customWidth="1" width="11.42578125"/>
    <col min="11108" max="11108" customWidth="1" width="11.42578125"/>
    <col min="11109" max="11109" customWidth="1" width="11.42578125"/>
    <col min="11110" max="11110" customWidth="1" width="11.42578125"/>
    <col min="11111" max="11111" customWidth="1" width="11.42578125"/>
    <col min="11112" max="11112" customWidth="1" width="11.42578125"/>
    <col min="11113" max="11113" customWidth="1" width="11.42578125"/>
    <col min="11114" max="11114" customWidth="1" width="11.42578125"/>
    <col min="11115" max="11115" customWidth="1" width="11.42578125"/>
    <col min="11116" max="11116" customWidth="1" width="11.42578125"/>
    <col min="11117" max="11117" customWidth="1" width="11.42578125"/>
    <col min="11118" max="11118" customWidth="1" width="11.42578125"/>
    <col min="11119" max="11119" customWidth="1" width="11.42578125"/>
    <col min="11120" max="11120" customWidth="1" width="11.42578125"/>
    <col min="11121" max="11121" customWidth="1" width="11.42578125"/>
    <col min="11122" max="11122" customWidth="1" width="11.42578125"/>
    <col min="11123" max="11123" customWidth="1" width="11.42578125"/>
    <col min="11124" max="11124" customWidth="1" width="11.42578125"/>
    <col min="11125" max="11125" customWidth="1" width="11.42578125"/>
    <col min="11126" max="11126" customWidth="1" width="11.42578125"/>
    <col min="11127" max="11127" customWidth="1" width="11.42578125"/>
    <col min="11128" max="11128" customWidth="1" width="11.42578125"/>
    <col min="11129" max="11129" customWidth="1" width="11.42578125"/>
    <col min="11130" max="11130" customWidth="1" width="11.42578125"/>
    <col min="11131" max="11131" customWidth="1" width="11.42578125"/>
    <col min="11132" max="11132" customWidth="1" width="11.42578125"/>
    <col min="11133" max="11133" customWidth="1" width="11.42578125"/>
    <col min="11134" max="11134" customWidth="1" width="11.42578125"/>
    <col min="11135" max="11135" customWidth="1" width="11.42578125"/>
    <col min="11136" max="11136" customWidth="1" width="11.42578125"/>
    <col min="11137" max="11137" customWidth="1" width="11.42578125"/>
    <col min="11138" max="11138" customWidth="1" width="11.42578125"/>
    <col min="11139" max="11139" customWidth="1" width="11.42578125"/>
    <col min="11140" max="11140" customWidth="1" width="11.42578125"/>
    <col min="11141" max="11141" customWidth="1" width="11.42578125"/>
    <col min="11142" max="11142" customWidth="1" width="11.42578125"/>
    <col min="11143" max="11143" customWidth="1" width="11.42578125"/>
    <col min="11144" max="11144" customWidth="1" width="11.42578125"/>
    <col min="11145" max="11145" customWidth="1" width="11.42578125"/>
    <col min="11146" max="11146" customWidth="1" width="11.42578125"/>
    <col min="11147" max="11147" customWidth="1" width="11.42578125"/>
    <col min="11148" max="11148" customWidth="1" width="11.42578125"/>
    <col min="11149" max="11149" customWidth="1" width="11.42578125"/>
    <col min="11150" max="11150" customWidth="1" width="11.42578125"/>
    <col min="11151" max="11151" customWidth="1" width="11.42578125"/>
    <col min="11152" max="11152" customWidth="1" width="11.42578125"/>
    <col min="11153" max="11153" customWidth="1" width="11.42578125"/>
    <col min="11154" max="11154" customWidth="1" width="11.42578125"/>
    <col min="11155" max="11155" customWidth="1" width="11.42578125"/>
    <col min="11156" max="11156" customWidth="1" width="11.42578125"/>
    <col min="11157" max="11157" customWidth="1" width="11.42578125"/>
    <col min="11158" max="11158" customWidth="1" width="11.42578125"/>
    <col min="11159" max="11159" customWidth="1" width="11.42578125"/>
    <col min="11160" max="11160" customWidth="1" width="11.42578125"/>
    <col min="11161" max="11161" customWidth="1" width="11.42578125"/>
    <col min="11162" max="11162" customWidth="1" width="11.42578125"/>
    <col min="11163" max="11163" customWidth="1" width="11.42578125"/>
    <col min="11164" max="11164" customWidth="1" width="11.42578125"/>
    <col min="11165" max="11165" customWidth="1" width="11.42578125"/>
    <col min="11166" max="11166" customWidth="1" width="11.42578125"/>
    <col min="11167" max="11167" customWidth="1" width="11.42578125"/>
    <col min="11168" max="11168" customWidth="1" width="11.42578125"/>
    <col min="11169" max="11169" customWidth="1" width="11.42578125"/>
    <col min="11170" max="11170" customWidth="1" width="11.42578125"/>
    <col min="11171" max="11171" customWidth="1" width="11.42578125"/>
    <col min="11172" max="11172" customWidth="1" width="11.42578125"/>
    <col min="11173" max="11173" customWidth="1" width="11.42578125"/>
    <col min="11174" max="11174" customWidth="1" width="11.42578125"/>
    <col min="11175" max="11175" customWidth="1" width="11.42578125"/>
    <col min="11176" max="11176" customWidth="1" width="11.42578125"/>
    <col min="11177" max="11177" customWidth="1" width="11.42578125"/>
    <col min="11178" max="11178" customWidth="1" width="11.42578125"/>
    <col min="11179" max="11179" customWidth="1" width="11.42578125"/>
    <col min="11180" max="11180" customWidth="1" width="11.42578125"/>
    <col min="11181" max="11181" customWidth="1" width="11.42578125"/>
    <col min="11182" max="11182" customWidth="1" width="11.42578125"/>
    <col min="11183" max="11183" customWidth="1" width="11.42578125"/>
    <col min="11184" max="11184" customWidth="1" width="11.42578125"/>
    <col min="11185" max="11185" customWidth="1" width="11.42578125"/>
    <col min="11186" max="11186" customWidth="1" width="11.42578125"/>
    <col min="11187" max="11187" customWidth="1" width="11.42578125"/>
    <col min="11188" max="11188" customWidth="1" width="11.42578125"/>
    <col min="11189" max="11189" customWidth="1" width="11.42578125"/>
    <col min="11190" max="11190" customWidth="1" width="11.42578125"/>
    <col min="11191" max="11191" customWidth="1" width="11.42578125"/>
    <col min="11192" max="11192" customWidth="1" width="11.42578125"/>
    <col min="11193" max="11193" customWidth="1" width="11.42578125"/>
    <col min="11194" max="11194" customWidth="1" width="11.42578125"/>
    <col min="11195" max="11195" customWidth="1" width="11.42578125"/>
    <col min="11196" max="11196" customWidth="1" width="11.42578125"/>
    <col min="11197" max="11197" customWidth="1" width="11.42578125"/>
    <col min="11198" max="11198" customWidth="1" width="11.42578125"/>
    <col min="11199" max="11199" customWidth="1" width="11.42578125"/>
    <col min="11200" max="11200" customWidth="1" width="11.42578125"/>
    <col min="11201" max="11201" customWidth="1" width="11.42578125"/>
    <col min="11202" max="11202" customWidth="1" width="11.42578125"/>
    <col min="11203" max="11203" customWidth="1" width="11.42578125"/>
    <col min="11204" max="11204" customWidth="1" width="11.42578125"/>
    <col min="11205" max="11205" customWidth="1" width="11.42578125"/>
    <col min="11206" max="11206" customWidth="1" width="11.42578125"/>
    <col min="11207" max="11207" customWidth="1" width="11.42578125"/>
    <col min="11208" max="11208" customWidth="1" width="11.42578125"/>
    <col min="11209" max="11209" customWidth="1" width="11.42578125"/>
    <col min="11210" max="11210" customWidth="1" width="11.42578125"/>
    <col min="11211" max="11211" customWidth="1" width="11.42578125"/>
    <col min="11212" max="11212" customWidth="1" width="11.42578125"/>
    <col min="11213" max="11213" customWidth="1" width="11.42578125"/>
    <col min="11214" max="11214" customWidth="1" width="11.42578125"/>
    <col min="11215" max="11215" customWidth="1" width="11.42578125"/>
    <col min="11216" max="11216" customWidth="1" width="11.42578125"/>
    <col min="11217" max="11217" customWidth="1" width="11.42578125"/>
    <col min="11218" max="11218" customWidth="1" width="11.42578125"/>
    <col min="11219" max="11219" customWidth="1" width="11.42578125"/>
    <col min="11220" max="11220" customWidth="1" width="11.42578125"/>
    <col min="11221" max="11221" customWidth="1" width="11.42578125"/>
    <col min="11222" max="11222" customWidth="1" width="11.42578125"/>
    <col min="11223" max="11223" customWidth="1" width="11.42578125"/>
    <col min="11224" max="11224" customWidth="1" width="11.42578125"/>
    <col min="11225" max="11225" customWidth="1" width="11.42578125"/>
    <col min="11226" max="11226" customWidth="1" width="11.42578125"/>
    <col min="11227" max="11227" customWidth="1" width="11.42578125"/>
    <col min="11228" max="11228" customWidth="1" width="11.42578125"/>
    <col min="11229" max="11229" customWidth="1" width="11.42578125"/>
    <col min="11230" max="11230" customWidth="1" width="11.42578125"/>
    <col min="11231" max="11231" customWidth="1" width="11.42578125"/>
    <col min="11232" max="11232" customWidth="1" width="11.42578125"/>
    <col min="11233" max="11233" customWidth="1" width="11.42578125"/>
    <col min="11234" max="11234" customWidth="1" width="11.42578125"/>
    <col min="11235" max="11235" customWidth="1" width="11.42578125"/>
    <col min="11236" max="11236" customWidth="1" width="11.42578125"/>
    <col min="11237" max="11237" customWidth="1" width="11.42578125"/>
    <col min="11238" max="11238" customWidth="1" width="11.42578125"/>
    <col min="11239" max="11239" customWidth="1" width="11.42578125"/>
    <col min="11240" max="11240" customWidth="1" width="11.42578125"/>
    <col min="11241" max="11241" customWidth="1" width="11.42578125"/>
    <col min="11242" max="11242" customWidth="1" width="11.42578125"/>
    <col min="11243" max="11243" customWidth="1" width="11.42578125"/>
    <col min="11244" max="11244" customWidth="1" width="11.42578125"/>
    <col min="11245" max="11245" customWidth="1" width="11.42578125"/>
    <col min="11246" max="11246" customWidth="1" width="11.42578125"/>
    <col min="11247" max="11247" customWidth="1" width="11.42578125"/>
    <col min="11248" max="11248" customWidth="1" width="11.42578125"/>
    <col min="11249" max="11249" customWidth="1" width="11.42578125"/>
    <col min="11250" max="11250" customWidth="1" width="11.42578125"/>
    <col min="11251" max="11251" customWidth="1" width="11.42578125"/>
    <col min="11252" max="11252" customWidth="1" width="11.42578125"/>
    <col min="11253" max="11253" customWidth="1" width="11.42578125"/>
    <col min="11254" max="11254" customWidth="1" width="11.42578125"/>
    <col min="11255" max="11255" customWidth="1" width="11.42578125"/>
    <col min="11256" max="11256" customWidth="1" width="11.42578125"/>
    <col min="11257" max="11257" customWidth="1" width="11.42578125"/>
    <col min="11258" max="11258" customWidth="1" width="11.42578125"/>
    <col min="11259" max="11259" customWidth="1" width="11.42578125"/>
    <col min="11260" max="11260" customWidth="1" width="11.42578125"/>
    <col min="11261" max="11261" customWidth="1" width="11.42578125"/>
    <col min="11262" max="11262" customWidth="1" width="11.42578125"/>
    <col min="11263" max="11263" customWidth="1" width="11.42578125"/>
    <col min="11264" max="11264" customWidth="1" width="11.42578125"/>
    <col min="11265" max="11265" customWidth="1" width="11.42578125"/>
    <col min="11266" max="11266" customWidth="1" width="11.42578125"/>
    <col min="11267" max="11267" customWidth="1" width="11.42578125"/>
    <col min="11268" max="11268" customWidth="1" width="11.42578125"/>
    <col min="11269" max="11269" customWidth="1" width="11.42578125"/>
    <col min="11270" max="11270" customWidth="1" width="11.42578125"/>
    <col min="11271" max="11271" customWidth="1" width="11.42578125"/>
    <col min="11272" max="11272" customWidth="1" width="11.42578125"/>
    <col min="11273" max="11273" customWidth="1" width="11.42578125"/>
    <col min="11274" max="11274" customWidth="1" width="11.42578125"/>
    <col min="11275" max="11275" customWidth="1" width="11.42578125"/>
    <col min="11276" max="11276" customWidth="1" width="11.42578125"/>
    <col min="11277" max="11277" customWidth="1" width="11.42578125"/>
    <col min="11278" max="11278" customWidth="1" width="11.42578125"/>
    <col min="11279" max="11279" customWidth="1" width="11.42578125"/>
    <col min="11280" max="11280" customWidth="1" width="11.42578125"/>
    <col min="11281" max="11281" customWidth="1" width="11.42578125"/>
    <col min="11282" max="11282" customWidth="1" width="11.42578125"/>
    <col min="11283" max="11283" customWidth="1" width="11.42578125"/>
    <col min="11284" max="11284" customWidth="1" width="11.42578125"/>
    <col min="11285" max="11285" customWidth="1" width="11.42578125"/>
    <col min="11286" max="11286" customWidth="1" width="11.42578125"/>
    <col min="11287" max="11287" customWidth="1" width="11.42578125"/>
    <col min="11288" max="11288" customWidth="1" width="11.42578125"/>
    <col min="11289" max="11289" customWidth="1" width="11.42578125"/>
    <col min="11290" max="11290" customWidth="1" width="11.42578125"/>
    <col min="11291" max="11291" customWidth="1" width="11.42578125"/>
    <col min="11292" max="11292" customWidth="1" width="11.42578125"/>
    <col min="11293" max="11293" customWidth="1" width="11.42578125"/>
    <col min="11294" max="11294" customWidth="1" width="11.42578125"/>
    <col min="11295" max="11295" customWidth="1" width="11.42578125"/>
    <col min="11296" max="11296" customWidth="1" width="11.42578125"/>
    <col min="11297" max="11297" customWidth="1" width="11.42578125"/>
    <col min="11298" max="11298" customWidth="1" width="11.42578125"/>
    <col min="11299" max="11299" customWidth="1" width="11.42578125"/>
    <col min="11300" max="11300" customWidth="1" width="11.42578125"/>
    <col min="11301" max="11301" customWidth="1" width="11.42578125"/>
    <col min="11302" max="11302" customWidth="1" width="11.42578125"/>
    <col min="11303" max="11303" customWidth="1" width="11.42578125"/>
    <col min="11304" max="11304" customWidth="1" width="11.42578125"/>
    <col min="11305" max="11305" customWidth="1" width="11.42578125"/>
    <col min="11306" max="11306" customWidth="1" width="11.42578125"/>
    <col min="11307" max="11307" customWidth="1" width="11.42578125"/>
    <col min="11308" max="11308" customWidth="1" width="11.42578125"/>
    <col min="11309" max="11309" customWidth="1" width="11.42578125"/>
    <col min="11310" max="11310" customWidth="1" width="11.42578125"/>
    <col min="11311" max="11311" customWidth="1" width="11.42578125"/>
    <col min="11312" max="11312" customWidth="1" width="11.42578125"/>
    <col min="11313" max="11313" customWidth="1" width="11.42578125"/>
    <col min="11314" max="11314" customWidth="1" width="11.42578125"/>
    <col min="11315" max="11315" customWidth="1" width="11.42578125"/>
    <col min="11316" max="11316" customWidth="1" width="11.42578125"/>
    <col min="11317" max="11317" customWidth="1" width="11.42578125"/>
    <col min="11318" max="11318" customWidth="1" width="11.42578125"/>
    <col min="11319" max="11319" customWidth="1" width="11.42578125"/>
    <col min="11320" max="11320" customWidth="1" width="11.42578125"/>
    <col min="11321" max="11321" customWidth="1" width="11.42578125"/>
    <col min="11322" max="11322" customWidth="1" width="11.42578125"/>
    <col min="11323" max="11323" customWidth="1" width="11.42578125"/>
    <col min="11324" max="11324" customWidth="1" width="11.42578125"/>
    <col min="11325" max="11325" customWidth="1" width="11.42578125"/>
    <col min="11326" max="11326" customWidth="1" width="11.42578125"/>
    <col min="11327" max="11327" customWidth="1" width="11.42578125"/>
    <col min="11328" max="11328" customWidth="1" width="11.42578125"/>
    <col min="11329" max="11329" customWidth="1" width="11.42578125"/>
    <col min="11330" max="11330" customWidth="1" width="11.42578125"/>
    <col min="11331" max="11331" customWidth="1" width="11.42578125"/>
    <col min="11332" max="11332" customWidth="1" width="11.42578125"/>
    <col min="11333" max="11333" customWidth="1" width="11.42578125"/>
    <col min="11334" max="11334" customWidth="1" width="11.42578125"/>
    <col min="11335" max="11335" customWidth="1" width="11.42578125"/>
    <col min="11336" max="11336" customWidth="1" width="11.42578125"/>
    <col min="11337" max="11337" customWidth="1" width="11.42578125"/>
    <col min="11338" max="11338" customWidth="1" width="11.42578125"/>
    <col min="11339" max="11339" customWidth="1" width="11.42578125"/>
    <col min="11340" max="11340" customWidth="1" width="11.42578125"/>
    <col min="11341" max="11341" customWidth="1" width="11.42578125"/>
    <col min="11342" max="11342" customWidth="1" width="11.42578125"/>
    <col min="11343" max="11343" customWidth="1" width="11.42578125"/>
    <col min="11344" max="11344" customWidth="1" width="11.42578125"/>
    <col min="11345" max="11345" customWidth="1" width="11.42578125"/>
    <col min="11346" max="11346" customWidth="1" width="11.42578125"/>
    <col min="11347" max="11347" customWidth="1" width="11.42578125"/>
    <col min="11348" max="11348" customWidth="1" width="11.42578125"/>
    <col min="11349" max="11349" customWidth="1" width="11.42578125"/>
    <col min="11350" max="11350" customWidth="1" width="11.42578125"/>
    <col min="11351" max="11351" customWidth="1" width="11.42578125"/>
    <col min="11352" max="11352" customWidth="1" width="11.42578125"/>
    <col min="11353" max="11353" customWidth="1" width="11.42578125"/>
    <col min="11354" max="11354" customWidth="1" width="11.42578125"/>
    <col min="11355" max="11355" customWidth="1" width="11.42578125"/>
    <col min="11356" max="11356" customWidth="1" width="11.42578125"/>
    <col min="11357" max="11357" customWidth="1" width="11.42578125"/>
    <col min="11358" max="11358" customWidth="1" width="11.42578125"/>
    <col min="11359" max="11359" customWidth="1" width="11.42578125"/>
    <col min="11360" max="11360" customWidth="1" width="11.42578125"/>
    <col min="11361" max="11361" customWidth="1" width="11.42578125"/>
    <col min="11362" max="11362" customWidth="1" width="11.42578125"/>
    <col min="11363" max="11363" customWidth="1" width="11.42578125"/>
    <col min="11364" max="11364" customWidth="1" width="11.42578125"/>
    <col min="11365" max="11365" customWidth="1" width="11.42578125"/>
    <col min="11366" max="11366" customWidth="1" width="11.42578125"/>
    <col min="11367" max="11367" customWidth="1" width="11.42578125"/>
    <col min="11368" max="11368" customWidth="1" width="11.42578125"/>
    <col min="11369" max="11369" customWidth="1" width="11.42578125"/>
    <col min="11370" max="11370" customWidth="1" width="11.42578125"/>
    <col min="11371" max="11371" customWidth="1" width="11.42578125"/>
    <col min="11372" max="11372" customWidth="1" width="11.42578125"/>
    <col min="11373" max="11373" customWidth="1" width="11.42578125"/>
    <col min="11374" max="11374" customWidth="1" width="11.42578125"/>
    <col min="11375" max="11375" customWidth="1" width="11.42578125"/>
    <col min="11376" max="11376" customWidth="1" width="11.42578125"/>
    <col min="11377" max="11377" customWidth="1" width="11.42578125"/>
    <col min="11378" max="11378" customWidth="1" width="11.42578125"/>
    <col min="11379" max="11379" customWidth="1" width="11.42578125"/>
    <col min="11380" max="11380" customWidth="1" width="11.42578125"/>
    <col min="11381" max="11381" customWidth="1" width="11.42578125"/>
    <col min="11382" max="11382" customWidth="1" width="11.42578125"/>
    <col min="11383" max="11383" customWidth="1" width="11.42578125"/>
    <col min="11384" max="11384" customWidth="1" width="11.42578125"/>
    <col min="11385" max="11385" customWidth="1" width="11.42578125"/>
    <col min="11386" max="11386" customWidth="1" width="11.42578125"/>
    <col min="11387" max="11387" customWidth="1" width="11.42578125"/>
    <col min="11388" max="11388" customWidth="1" width="11.42578125"/>
    <col min="11389" max="11389" customWidth="1" width="11.42578125"/>
    <col min="11390" max="11390" customWidth="1" width="11.42578125"/>
    <col min="11391" max="11391" customWidth="1" width="11.42578125"/>
    <col min="11392" max="11392" customWidth="1" width="11.42578125"/>
    <col min="11393" max="11393" customWidth="1" width="11.42578125"/>
    <col min="11394" max="11394" customWidth="1" width="11.42578125"/>
    <col min="11395" max="11395" customWidth="1" width="11.42578125"/>
    <col min="11396" max="11396" customWidth="1" width="11.42578125"/>
    <col min="11397" max="11397" customWidth="1" width="11.42578125"/>
    <col min="11398" max="11398" customWidth="1" width="11.42578125"/>
    <col min="11399" max="11399" customWidth="1" width="11.42578125"/>
    <col min="11400" max="11400" customWidth="1" width="11.42578125"/>
    <col min="11401" max="11401" customWidth="1" width="11.42578125"/>
    <col min="11402" max="11402" customWidth="1" width="11.42578125"/>
    <col min="11403" max="11403" customWidth="1" width="11.42578125"/>
    <col min="11404" max="11404" customWidth="1" width="11.42578125"/>
    <col min="11405" max="11405" customWidth="1" width="11.42578125"/>
    <col min="11406" max="11406" customWidth="1" width="11.42578125"/>
    <col min="11407" max="11407" customWidth="1" width="11.42578125"/>
    <col min="11408" max="11408" customWidth="1" width="11.42578125"/>
    <col min="11409" max="11409" customWidth="1" width="11.42578125"/>
    <col min="11410" max="11410" customWidth="1" width="11.42578125"/>
    <col min="11411" max="11411" customWidth="1" width="11.42578125"/>
    <col min="11412" max="11412" customWidth="1" width="11.42578125"/>
    <col min="11413" max="11413" customWidth="1" width="11.42578125"/>
    <col min="11414" max="11414" customWidth="1" width="11.42578125"/>
    <col min="11415" max="11415" customWidth="1" width="11.42578125"/>
    <col min="11416" max="11416" customWidth="1" width="11.42578125"/>
    <col min="11417" max="11417" customWidth="1" width="11.42578125"/>
    <col min="11418" max="11418" customWidth="1" width="11.42578125"/>
    <col min="11419" max="11419" customWidth="1" width="11.42578125"/>
    <col min="11420" max="11420" customWidth="1" width="11.42578125"/>
    <col min="11421" max="11421" customWidth="1" width="11.42578125"/>
    <col min="11422" max="11422" customWidth="1" width="11.42578125"/>
    <col min="11423" max="11423" customWidth="1" width="11.42578125"/>
    <col min="11424" max="11424" customWidth="1" width="11.42578125"/>
    <col min="11425" max="11425" customWidth="1" width="11.42578125"/>
    <col min="11426" max="11426" customWidth="1" width="11.42578125"/>
    <col min="11427" max="11427" customWidth="1" width="11.42578125"/>
    <col min="11428" max="11428" customWidth="1" width="11.42578125"/>
    <col min="11429" max="11429" customWidth="1" width="11.42578125"/>
    <col min="11430" max="11430" customWidth="1" width="11.42578125"/>
    <col min="11431" max="11431" customWidth="1" width="11.42578125"/>
    <col min="11432" max="11432" customWidth="1" width="11.42578125"/>
    <col min="11433" max="11433" customWidth="1" width="11.42578125"/>
    <col min="11434" max="11434" customWidth="1" width="11.42578125"/>
    <col min="11435" max="11435" customWidth="1" width="11.42578125"/>
    <col min="11436" max="11436" customWidth="1" width="11.42578125"/>
    <col min="11437" max="11437" customWidth="1" width="11.42578125"/>
    <col min="11438" max="11438" customWidth="1" width="11.42578125"/>
    <col min="11439" max="11439" customWidth="1" width="11.42578125"/>
    <col min="11440" max="11440" customWidth="1" width="11.42578125"/>
    <col min="11441" max="11441" customWidth="1" width="11.42578125"/>
    <col min="11442" max="11442" customWidth="1" width="11.42578125"/>
    <col min="11443" max="11443" customWidth="1" width="11.42578125"/>
    <col min="11444" max="11444" customWidth="1" width="11.42578125"/>
    <col min="11445" max="11445" customWidth="1" width="11.42578125"/>
    <col min="11446" max="11446" customWidth="1" width="11.42578125"/>
    <col min="11447" max="11447" customWidth="1" width="11.42578125"/>
    <col min="11448" max="11448" customWidth="1" width="11.42578125"/>
    <col min="11449" max="11449" customWidth="1" width="11.42578125"/>
    <col min="11450" max="11450" customWidth="1" width="11.42578125"/>
    <col min="11451" max="11451" customWidth="1" width="11.42578125"/>
    <col min="11452" max="11452" customWidth="1" width="11.42578125"/>
    <col min="11453" max="11453" customWidth="1" width="11.42578125"/>
    <col min="11454" max="11454" customWidth="1" width="11.42578125"/>
    <col min="11455" max="11455" customWidth="1" width="11.42578125"/>
    <col min="11456" max="11456" customWidth="1" width="11.42578125"/>
    <col min="11457" max="11457" customWidth="1" width="11.42578125"/>
    <col min="11458" max="11458" customWidth="1" width="11.42578125"/>
    <col min="11459" max="11459" customWidth="1" width="11.42578125"/>
    <col min="11460" max="11460" customWidth="1" width="11.42578125"/>
    <col min="11461" max="11461" customWidth="1" width="11.42578125"/>
    <col min="11462" max="11462" customWidth="1" width="11.42578125"/>
    <col min="11463" max="11463" customWidth="1" width="11.42578125"/>
    <col min="11464" max="11464" customWidth="1" width="11.42578125"/>
    <col min="11465" max="11465" customWidth="1" width="11.42578125"/>
    <col min="11466" max="11466" customWidth="1" width="11.42578125"/>
    <col min="11467" max="11467" customWidth="1" width="11.42578125"/>
    <col min="11468" max="11468" customWidth="1" width="11.42578125"/>
    <col min="11469" max="11469" customWidth="1" width="11.42578125"/>
    <col min="11470" max="11470" customWidth="1" width="11.42578125"/>
    <col min="11471" max="11471" customWidth="1" width="11.42578125"/>
    <col min="11472" max="11472" customWidth="1" width="11.42578125"/>
    <col min="11473" max="11473" customWidth="1" width="11.42578125"/>
    <col min="11474" max="11474" customWidth="1" width="11.42578125"/>
    <col min="11475" max="11475" customWidth="1" width="11.42578125"/>
    <col min="11476" max="11476" customWidth="1" width="11.42578125"/>
    <col min="11477" max="11477" customWidth="1" width="11.42578125"/>
    <col min="11478" max="11478" customWidth="1" width="11.42578125"/>
    <col min="11479" max="11479" customWidth="1" width="11.42578125"/>
    <col min="11480" max="11480" customWidth="1" width="11.42578125"/>
    <col min="11481" max="11481" customWidth="1" width="11.42578125"/>
    <col min="11482" max="11482" customWidth="1" width="11.42578125"/>
    <col min="11483" max="11483" customWidth="1" width="11.42578125"/>
    <col min="11484" max="11484" customWidth="1" width="11.42578125"/>
    <col min="11485" max="11485" customWidth="1" width="11.42578125"/>
    <col min="11486" max="11486" customWidth="1" width="11.42578125"/>
    <col min="11487" max="11487" customWidth="1" width="11.42578125"/>
    <col min="11488" max="11488" customWidth="1" width="11.42578125"/>
    <col min="11489" max="11489" customWidth="1" width="11.42578125"/>
    <col min="11490" max="11490" customWidth="1" width="11.42578125"/>
    <col min="11491" max="11491" customWidth="1" width="11.42578125"/>
    <col min="11492" max="11492" customWidth="1" width="11.42578125"/>
    <col min="11493" max="11493" customWidth="1" width="11.42578125"/>
    <col min="11494" max="11494" customWidth="1" width="11.42578125"/>
    <col min="11495" max="11495" customWidth="1" width="11.42578125"/>
    <col min="11496" max="11496" customWidth="1" width="11.42578125"/>
    <col min="11497" max="11497" customWidth="1" width="11.42578125"/>
    <col min="11498" max="11498" customWidth="1" width="11.42578125"/>
    <col min="11499" max="11499" customWidth="1" width="11.42578125"/>
    <col min="11500" max="11500" customWidth="1" width="11.42578125"/>
    <col min="11501" max="11501" customWidth="1" width="11.42578125"/>
    <col min="11502" max="11502" customWidth="1" width="11.42578125"/>
    <col min="11503" max="11503" customWidth="1" width="11.42578125"/>
    <col min="11504" max="11504" customWidth="1" width="11.42578125"/>
    <col min="11505" max="11505" customWidth="1" width="11.42578125"/>
    <col min="11506" max="11506" customWidth="1" width="11.42578125"/>
    <col min="11507" max="11507" customWidth="1" width="11.42578125"/>
    <col min="11508" max="11508" customWidth="1" width="11.42578125"/>
    <col min="11509" max="11509" customWidth="1" width="11.42578125"/>
    <col min="11510" max="11510" customWidth="1" width="11.42578125"/>
    <col min="11511" max="11511" customWidth="1" width="11.42578125"/>
    <col min="11512" max="11512" customWidth="1" width="11.42578125"/>
    <col min="11513" max="11513" customWidth="1" width="11.42578125"/>
    <col min="11514" max="11514" customWidth="1" width="11.42578125"/>
    <col min="11515" max="11515" customWidth="1" width="11.42578125"/>
    <col min="11516" max="11516" customWidth="1" width="11.42578125"/>
    <col min="11517" max="11517" customWidth="1" width="11.42578125"/>
    <col min="11518" max="11518" customWidth="1" width="11.42578125"/>
    <col min="11519" max="11519" customWidth="1" width="11.42578125"/>
    <col min="11520" max="11520" customWidth="1" width="11.42578125"/>
    <col min="11521" max="11521" customWidth="1" width="11.42578125"/>
    <col min="11522" max="11522" customWidth="1" width="11.42578125"/>
    <col min="11523" max="11523" customWidth="1" width="11.42578125"/>
    <col min="11524" max="11524" customWidth="1" width="11.42578125"/>
    <col min="11525" max="11525" customWidth="1" width="11.42578125"/>
    <col min="11526" max="11526" customWidth="1" width="11.42578125"/>
    <col min="11527" max="11527" customWidth="1" width="11.42578125"/>
    <col min="11528" max="11528" customWidth="1" width="11.42578125"/>
    <col min="11529" max="11529" customWidth="1" width="11.42578125"/>
    <col min="11530" max="11530" customWidth="1" width="11.42578125"/>
    <col min="11531" max="11531" customWidth="1" width="11.42578125"/>
    <col min="11532" max="11532" customWidth="1" width="11.42578125"/>
    <col min="11533" max="11533" customWidth="1" width="11.42578125"/>
    <col min="11534" max="11534" customWidth="1" width="11.42578125"/>
    <col min="11535" max="11535" customWidth="1" width="11.42578125"/>
    <col min="11536" max="11536" customWidth="1" width="11.42578125"/>
    <col min="11537" max="11537" customWidth="1" width="11.42578125"/>
    <col min="11538" max="11538" customWidth="1" width="11.42578125"/>
    <col min="11539" max="11539" customWidth="1" width="11.42578125"/>
    <col min="11540" max="11540" customWidth="1" width="11.42578125"/>
    <col min="11541" max="11541" customWidth="1" width="11.42578125"/>
    <col min="11542" max="11542" customWidth="1" width="11.42578125"/>
    <col min="11543" max="11543" customWidth="1" width="11.42578125"/>
    <col min="11544" max="11544" customWidth="1" width="11.42578125"/>
    <col min="11545" max="11545" customWidth="1" width="11.42578125"/>
    <col min="11546" max="11546" customWidth="1" width="11.42578125"/>
    <col min="11547" max="11547" customWidth="1" width="11.42578125"/>
    <col min="11548" max="11548" customWidth="1" width="11.42578125"/>
    <col min="11549" max="11549" customWidth="1" width="11.42578125"/>
    <col min="11550" max="11550" customWidth="1" width="11.42578125"/>
    <col min="11551" max="11551" customWidth="1" width="11.42578125"/>
    <col min="11552" max="11552" customWidth="1" width="11.42578125"/>
    <col min="11553" max="11553" customWidth="1" width="11.42578125"/>
    <col min="11554" max="11554" customWidth="1" width="11.42578125"/>
    <col min="11555" max="11555" customWidth="1" width="11.42578125"/>
    <col min="11556" max="11556" customWidth="1" width="11.42578125"/>
    <col min="11557" max="11557" customWidth="1" width="11.42578125"/>
    <col min="11558" max="11558" customWidth="1" width="11.42578125"/>
    <col min="11559" max="11559" customWidth="1" width="11.42578125"/>
    <col min="11560" max="11560" customWidth="1" width="11.42578125"/>
    <col min="11561" max="11561" customWidth="1" width="11.42578125"/>
    <col min="11562" max="11562" customWidth="1" width="11.42578125"/>
    <col min="11563" max="11563" customWidth="1" width="11.42578125"/>
    <col min="11564" max="11564" customWidth="1" width="11.42578125"/>
    <col min="11565" max="11565" customWidth="1" width="11.42578125"/>
    <col min="11566" max="11566" customWidth="1" width="11.42578125"/>
    <col min="11567" max="11567" customWidth="1" width="11.42578125"/>
    <col min="11568" max="11568" customWidth="1" width="11.42578125"/>
    <col min="11569" max="11569" customWidth="1" width="11.42578125"/>
    <col min="11570" max="11570" customWidth="1" width="11.42578125"/>
    <col min="11571" max="11571" customWidth="1" width="11.42578125"/>
    <col min="11572" max="11572" customWidth="1" width="11.42578125"/>
    <col min="11573" max="11573" customWidth="1" width="11.42578125"/>
    <col min="11574" max="11574" customWidth="1" width="11.42578125"/>
    <col min="11575" max="11575" customWidth="1" width="11.42578125"/>
    <col min="11576" max="11576" customWidth="1" width="11.42578125"/>
    <col min="11577" max="11577" customWidth="1" width="11.42578125"/>
    <col min="11578" max="11578" customWidth="1" width="11.42578125"/>
    <col min="11579" max="11579" customWidth="1" width="11.42578125"/>
    <col min="11580" max="11580" customWidth="1" width="11.42578125"/>
    <col min="11581" max="11581" customWidth="1" width="11.42578125"/>
    <col min="11582" max="11582" customWidth="1" width="11.42578125"/>
    <col min="11583" max="11583" customWidth="1" width="11.42578125"/>
    <col min="11584" max="11584" customWidth="1" width="11.42578125"/>
    <col min="11585" max="11585" customWidth="1" width="11.42578125"/>
    <col min="11586" max="11586" customWidth="1" width="11.42578125"/>
    <col min="11587" max="11587" customWidth="1" width="11.42578125"/>
    <col min="11588" max="11588" customWidth="1" width="11.42578125"/>
    <col min="11589" max="11589" customWidth="1" width="11.42578125"/>
    <col min="11590" max="11590" customWidth="1" width="11.42578125"/>
    <col min="11591" max="11591" customWidth="1" width="11.42578125"/>
    <col min="11592" max="11592" customWidth="1" width="11.42578125"/>
    <col min="11593" max="11593" customWidth="1" width="11.42578125"/>
    <col min="11594" max="11594" customWidth="1" width="11.42578125"/>
    <col min="11595" max="11595" customWidth="1" width="11.42578125"/>
    <col min="11596" max="11596" customWidth="1" width="11.42578125"/>
    <col min="11597" max="11597" customWidth="1" width="11.42578125"/>
    <col min="11598" max="11598" customWidth="1" width="11.42578125"/>
    <col min="11599" max="11599" customWidth="1" width="11.42578125"/>
    <col min="11600" max="11600" customWidth="1" width="11.42578125"/>
    <col min="11601" max="11601" customWidth="1" width="11.42578125"/>
    <col min="11602" max="11602" customWidth="1" width="11.42578125"/>
    <col min="11603" max="11603" customWidth="1" width="11.42578125"/>
    <col min="11604" max="11604" customWidth="1" width="11.42578125"/>
    <col min="11605" max="11605" customWidth="1" width="11.42578125"/>
    <col min="11606" max="11606" customWidth="1" width="11.42578125"/>
    <col min="11607" max="11607" customWidth="1" width="11.42578125"/>
    <col min="11608" max="11608" customWidth="1" width="11.42578125"/>
    <col min="11609" max="11609" customWidth="1" width="11.42578125"/>
    <col min="11610" max="11610" customWidth="1" width="11.42578125"/>
    <col min="11611" max="11611" customWidth="1" width="11.42578125"/>
    <col min="11612" max="11612" customWidth="1" width="11.42578125"/>
    <col min="11613" max="11613" customWidth="1" width="11.42578125"/>
    <col min="11614" max="11614" customWidth="1" width="11.42578125"/>
    <col min="11615" max="11615" customWidth="1" width="11.42578125"/>
    <col min="11616" max="11616" customWidth="1" width="11.42578125"/>
    <col min="11617" max="11617" customWidth="1" width="11.42578125"/>
    <col min="11618" max="11618" customWidth="1" width="11.42578125"/>
    <col min="11619" max="11619" customWidth="1" width="11.42578125"/>
    <col min="11620" max="11620" customWidth="1" width="11.42578125"/>
    <col min="11621" max="11621" customWidth="1" width="11.42578125"/>
    <col min="11622" max="11622" customWidth="1" width="11.42578125"/>
    <col min="11623" max="11623" customWidth="1" width="11.42578125"/>
    <col min="11624" max="11624" customWidth="1" width="11.42578125"/>
    <col min="11625" max="11625" customWidth="1" width="11.42578125"/>
    <col min="11626" max="11626" customWidth="1" width="11.42578125"/>
    <col min="11627" max="11627" customWidth="1" width="11.42578125"/>
    <col min="11628" max="11628" customWidth="1" width="11.42578125"/>
    <col min="11629" max="11629" customWidth="1" width="11.42578125"/>
    <col min="11630" max="11630" customWidth="1" width="11.42578125"/>
    <col min="11631" max="11631" customWidth="1" width="11.42578125"/>
    <col min="11632" max="11632" customWidth="1" width="11.42578125"/>
    <col min="11633" max="11633" customWidth="1" width="11.42578125"/>
    <col min="11634" max="11634" customWidth="1" width="11.42578125"/>
    <col min="11635" max="11635" customWidth="1" width="11.42578125"/>
    <col min="11636" max="11636" customWidth="1" width="11.42578125"/>
    <col min="11637" max="11637" customWidth="1" width="11.42578125"/>
    <col min="11638" max="11638" customWidth="1" width="11.42578125"/>
    <col min="11639" max="11639" customWidth="1" width="11.42578125"/>
    <col min="11640" max="11640" customWidth="1" width="11.42578125"/>
    <col min="11641" max="11641" customWidth="1" width="11.42578125"/>
    <col min="11642" max="11642" customWidth="1" width="11.42578125"/>
    <col min="11643" max="11643" customWidth="1" width="11.42578125"/>
    <col min="11644" max="11644" customWidth="1" width="11.42578125"/>
    <col min="11645" max="11645" customWidth="1" width="11.42578125"/>
    <col min="11646" max="11646" customWidth="1" width="11.42578125"/>
    <col min="11647" max="11647" customWidth="1" width="11.42578125"/>
    <col min="11648" max="11648" customWidth="1" width="11.42578125"/>
    <col min="11649" max="11649" customWidth="1" width="11.42578125"/>
    <col min="11650" max="11650" customWidth="1" width="11.42578125"/>
    <col min="11651" max="11651" customWidth="1" width="11.42578125"/>
    <col min="11652" max="11652" customWidth="1" width="11.42578125"/>
    <col min="11653" max="11653" customWidth="1" width="11.42578125"/>
    <col min="11654" max="11654" customWidth="1" width="11.42578125"/>
    <col min="11655" max="11655" customWidth="1" width="11.42578125"/>
    <col min="11656" max="11656" customWidth="1" width="11.42578125"/>
    <col min="11657" max="11657" customWidth="1" width="11.42578125"/>
    <col min="11658" max="11658" customWidth="1" width="11.42578125"/>
    <col min="11659" max="11659" customWidth="1" width="11.42578125"/>
    <col min="11660" max="11660" customWidth="1" width="11.42578125"/>
    <col min="11661" max="11661" customWidth="1" width="11.42578125"/>
    <col min="11662" max="11662" customWidth="1" width="11.42578125"/>
    <col min="11663" max="11663" customWidth="1" width="11.42578125"/>
    <col min="11664" max="11664" customWidth="1" width="11.42578125"/>
    <col min="11665" max="11665" customWidth="1" width="11.42578125"/>
    <col min="11666" max="11666" customWidth="1" width="11.42578125"/>
    <col min="11667" max="11667" customWidth="1" width="11.42578125"/>
    <col min="11668" max="11668" customWidth="1" width="11.42578125"/>
    <col min="11669" max="11669" customWidth="1" width="11.42578125"/>
    <col min="11670" max="11670" customWidth="1" width="11.42578125"/>
    <col min="11671" max="11671" customWidth="1" width="11.42578125"/>
    <col min="11672" max="11672" customWidth="1" width="11.42578125"/>
    <col min="11673" max="11673" customWidth="1" width="11.42578125"/>
    <col min="11674" max="11674" customWidth="1" width="11.42578125"/>
    <col min="11675" max="11675" customWidth="1" width="11.42578125"/>
    <col min="11676" max="11676" customWidth="1" width="11.42578125"/>
    <col min="11677" max="11677" customWidth="1" width="11.42578125"/>
    <col min="11678" max="11678" customWidth="1" width="11.42578125"/>
    <col min="11679" max="11679" customWidth="1" width="11.42578125"/>
    <col min="11680" max="11680" customWidth="1" width="11.42578125"/>
    <col min="11681" max="11681" customWidth="1" width="11.42578125"/>
    <col min="11682" max="11682" customWidth="1" width="11.42578125"/>
    <col min="11683" max="11683" customWidth="1" width="11.42578125"/>
    <col min="11684" max="11684" customWidth="1" width="11.42578125"/>
    <col min="11685" max="11685" customWidth="1" width="11.42578125"/>
    <col min="11686" max="11686" customWidth="1" width="11.42578125"/>
    <col min="11687" max="11687" customWidth="1" width="11.42578125"/>
    <col min="11688" max="11688" customWidth="1" width="11.42578125"/>
    <col min="11689" max="11689" customWidth="1" width="11.42578125"/>
    <col min="11690" max="11690" customWidth="1" width="11.42578125"/>
    <col min="11691" max="11691" customWidth="1" width="11.42578125"/>
    <col min="11692" max="11692" customWidth="1" width="11.42578125"/>
    <col min="11693" max="11693" customWidth="1" width="11.42578125"/>
    <col min="11694" max="11694" customWidth="1" width="11.42578125"/>
    <col min="11695" max="11695" customWidth="1" width="11.42578125"/>
    <col min="11696" max="11696" customWidth="1" width="11.42578125"/>
    <col min="11697" max="11697" customWidth="1" width="11.42578125"/>
    <col min="11698" max="11698" customWidth="1" width="11.42578125"/>
    <col min="11699" max="11699" customWidth="1" width="11.42578125"/>
    <col min="11700" max="11700" customWidth="1" width="11.42578125"/>
    <col min="11701" max="11701" customWidth="1" width="11.42578125"/>
    <col min="11702" max="11702" customWidth="1" width="11.42578125"/>
    <col min="11703" max="11703" customWidth="1" width="11.42578125"/>
    <col min="11704" max="11704" customWidth="1" width="11.42578125"/>
    <col min="11705" max="11705" customWidth="1" width="11.42578125"/>
    <col min="11706" max="11706" customWidth="1" width="11.42578125"/>
    <col min="11707" max="11707" customWidth="1" width="11.42578125"/>
    <col min="11708" max="11708" customWidth="1" width="11.42578125"/>
    <col min="11709" max="11709" customWidth="1" width="11.42578125"/>
    <col min="11710" max="11710" customWidth="1" width="11.42578125"/>
    <col min="11711" max="11711" customWidth="1" width="11.42578125"/>
    <col min="11712" max="11712" customWidth="1" width="11.42578125"/>
    <col min="11713" max="11713" customWidth="1" width="11.42578125"/>
    <col min="11714" max="11714" customWidth="1" width="11.42578125"/>
    <col min="11715" max="11715" customWidth="1" width="11.42578125"/>
    <col min="11716" max="11716" customWidth="1" width="11.42578125"/>
    <col min="11717" max="11717" customWidth="1" width="11.42578125"/>
    <col min="11718" max="11718" customWidth="1" width="11.42578125"/>
    <col min="11719" max="11719" customWidth="1" width="11.42578125"/>
    <col min="11720" max="11720" customWidth="1" width="11.42578125"/>
    <col min="11721" max="11721" customWidth="1" width="11.42578125"/>
    <col min="11722" max="11722" customWidth="1" width="11.42578125"/>
    <col min="11723" max="11723" customWidth="1" width="11.42578125"/>
    <col min="11724" max="11724" customWidth="1" width="11.42578125"/>
    <col min="11725" max="11725" customWidth="1" width="11.42578125"/>
    <col min="11726" max="11726" customWidth="1" width="11.42578125"/>
    <col min="11727" max="11727" customWidth="1" width="11.42578125"/>
    <col min="11728" max="11728" customWidth="1" width="11.42578125"/>
    <col min="11729" max="11729" customWidth="1" width="11.42578125"/>
    <col min="11730" max="11730" customWidth="1" width="11.42578125"/>
    <col min="11731" max="11731" customWidth="1" width="11.42578125"/>
    <col min="11732" max="11732" customWidth="1" width="11.42578125"/>
    <col min="11733" max="11733" customWidth="1" width="11.42578125"/>
    <col min="11734" max="11734" customWidth="1" width="11.42578125"/>
    <col min="11735" max="11735" customWidth="1" width="11.42578125"/>
    <col min="11736" max="11736" customWidth="1" width="11.42578125"/>
    <col min="11737" max="11737" customWidth="1" width="11.42578125"/>
    <col min="11738" max="11738" customWidth="1" width="11.42578125"/>
    <col min="11739" max="11739" customWidth="1" width="11.42578125"/>
    <col min="11740" max="11740" customWidth="1" width="11.42578125"/>
    <col min="11741" max="11741" customWidth="1" width="11.42578125"/>
    <col min="11742" max="11742" customWidth="1" width="11.42578125"/>
    <col min="11743" max="11743" customWidth="1" width="11.42578125"/>
    <col min="11744" max="11744" customWidth="1" width="11.42578125"/>
    <col min="11745" max="11745" customWidth="1" width="11.42578125"/>
    <col min="11746" max="11746" customWidth="1" width="11.42578125"/>
    <col min="11747" max="11747" customWidth="1" width="11.42578125"/>
    <col min="11748" max="11748" customWidth="1" width="11.42578125"/>
    <col min="11749" max="11749" customWidth="1" width="11.42578125"/>
    <col min="11750" max="11750" customWidth="1" width="11.42578125"/>
    <col min="11751" max="11751" customWidth="1" width="11.42578125"/>
    <col min="11752" max="11752" customWidth="1" width="11.42578125"/>
    <col min="11753" max="11753" customWidth="1" width="11.42578125"/>
    <col min="11754" max="11754" customWidth="1" width="11.42578125"/>
    <col min="11755" max="11755" customWidth="1" width="11.42578125"/>
    <col min="11756" max="11756" customWidth="1" width="11.42578125"/>
    <col min="11757" max="11757" customWidth="1" width="11.42578125"/>
    <col min="11758" max="11758" customWidth="1" width="11.42578125"/>
    <col min="11759" max="11759" customWidth="1" width="11.42578125"/>
    <col min="11760" max="11760" customWidth="1" width="11.42578125"/>
    <col min="11761" max="11761" customWidth="1" width="11.42578125"/>
    <col min="11762" max="11762" customWidth="1" width="11.42578125"/>
    <col min="11763" max="11763" customWidth="1" width="11.42578125"/>
    <col min="11764" max="11764" customWidth="1" width="11.42578125"/>
    <col min="11765" max="11765" customWidth="1" width="11.42578125"/>
    <col min="11766" max="11766" customWidth="1" width="11.42578125"/>
    <col min="11767" max="11767" customWidth="1" width="11.42578125"/>
    <col min="11768" max="11768" customWidth="1" width="11.42578125"/>
    <col min="11769" max="11769" customWidth="1" width="11.42578125"/>
    <col min="11770" max="11770" customWidth="1" width="11.42578125"/>
    <col min="11771" max="11771" customWidth="1" width="11.42578125"/>
    <col min="11772" max="11772" customWidth="1" width="11.42578125"/>
    <col min="11773" max="11773" customWidth="1" width="11.42578125"/>
    <col min="11774" max="11774" customWidth="1" width="11.42578125"/>
    <col min="11775" max="11775" customWidth="1" width="11.42578125"/>
    <col min="11776" max="11776" customWidth="1" width="11.42578125"/>
    <col min="11777" max="11777" customWidth="1" width="11.42578125"/>
    <col min="11778" max="11778" customWidth="1" width="11.42578125"/>
    <col min="11779" max="11779" customWidth="1" width="11.42578125"/>
    <col min="11780" max="11780" customWidth="1" width="11.42578125"/>
    <col min="11781" max="11781" customWidth="1" width="11.42578125"/>
    <col min="11782" max="11782" customWidth="1" width="11.42578125"/>
    <col min="11783" max="11783" customWidth="1" width="11.42578125"/>
    <col min="11784" max="11784" customWidth="1" width="11.42578125"/>
    <col min="11785" max="11785" customWidth="1" width="11.42578125"/>
    <col min="11786" max="11786" customWidth="1" width="11.42578125"/>
    <col min="11787" max="11787" customWidth="1" width="11.42578125"/>
    <col min="11788" max="11788" customWidth="1" width="11.42578125"/>
    <col min="11789" max="11789" customWidth="1" width="11.42578125"/>
    <col min="11790" max="11790" customWidth="1" width="11.42578125"/>
    <col min="11791" max="11791" customWidth="1" width="11.42578125"/>
    <col min="11792" max="11792" customWidth="1" width="11.42578125"/>
    <col min="11793" max="11793" customWidth="1" width="11.42578125"/>
    <col min="11794" max="11794" customWidth="1" width="11.42578125"/>
    <col min="11795" max="11795" customWidth="1" width="11.42578125"/>
    <col min="11796" max="11796" customWidth="1" width="11.42578125"/>
    <col min="11797" max="11797" customWidth="1" width="11.42578125"/>
    <col min="11798" max="11798" customWidth="1" width="11.42578125"/>
    <col min="11799" max="11799" customWidth="1" width="11.42578125"/>
    <col min="11800" max="11800" customWidth="1" width="11.42578125"/>
    <col min="11801" max="11801" customWidth="1" width="11.42578125"/>
    <col min="11802" max="11802" customWidth="1" width="11.42578125"/>
    <col min="11803" max="11803" customWidth="1" width="11.42578125"/>
    <col min="11804" max="11804" customWidth="1" width="11.42578125"/>
    <col min="11805" max="11805" customWidth="1" width="11.42578125"/>
    <col min="11806" max="11806" customWidth="1" width="11.42578125"/>
    <col min="11807" max="11807" customWidth="1" width="11.42578125"/>
    <col min="11808" max="11808" customWidth="1" width="11.42578125"/>
    <col min="11809" max="11809" customWidth="1" width="11.42578125"/>
    <col min="11810" max="11810" customWidth="1" width="11.42578125"/>
    <col min="11811" max="11811" customWidth="1" width="11.42578125"/>
    <col min="11812" max="11812" customWidth="1" width="11.42578125"/>
    <col min="11813" max="11813" customWidth="1" width="11.42578125"/>
    <col min="11814" max="11814" customWidth="1" width="11.42578125"/>
    <col min="11815" max="11815" customWidth="1" width="11.42578125"/>
    <col min="11816" max="11816" customWidth="1" width="11.42578125"/>
    <col min="11817" max="11817" customWidth="1" width="11.42578125"/>
    <col min="11818" max="11818" customWidth="1" width="11.42578125"/>
    <col min="11819" max="11819" customWidth="1" width="11.42578125"/>
    <col min="11820" max="11820" customWidth="1" width="11.42578125"/>
    <col min="11821" max="11821" customWidth="1" width="11.42578125"/>
    <col min="11822" max="11822" customWidth="1" width="11.42578125"/>
    <col min="11823" max="11823" customWidth="1" width="11.42578125"/>
    <col min="11824" max="11824" customWidth="1" width="11.42578125"/>
    <col min="11825" max="11825" customWidth="1" width="11.42578125"/>
    <col min="11826" max="11826" customWidth="1" width="11.42578125"/>
    <col min="11827" max="11827" customWidth="1" width="11.42578125"/>
    <col min="11828" max="11828" customWidth="1" width="11.42578125"/>
    <col min="11829" max="11829" customWidth="1" width="11.42578125"/>
    <col min="11830" max="11830" customWidth="1" width="11.42578125"/>
    <col min="11831" max="11831" customWidth="1" width="11.42578125"/>
    <col min="11832" max="11832" customWidth="1" width="11.42578125"/>
    <col min="11833" max="11833" customWidth="1" width="11.42578125"/>
    <col min="11834" max="11834" customWidth="1" width="11.42578125"/>
    <col min="11835" max="11835" customWidth="1" width="11.42578125"/>
    <col min="11836" max="11836" customWidth="1" width="11.42578125"/>
    <col min="11837" max="11837" customWidth="1" width="11.42578125"/>
    <col min="11838" max="11838" customWidth="1" width="11.42578125"/>
    <col min="11839" max="11839" customWidth="1" width="11.42578125"/>
    <col min="11840" max="11840" customWidth="1" width="11.42578125"/>
    <col min="11841" max="11841" customWidth="1" width="11.42578125"/>
    <col min="11842" max="11842" customWidth="1" width="11.42578125"/>
    <col min="11843" max="11843" customWidth="1" width="11.42578125"/>
    <col min="11844" max="11844" customWidth="1" width="11.42578125"/>
    <col min="11845" max="11845" customWidth="1" width="11.42578125"/>
    <col min="11846" max="11846" customWidth="1" width="11.42578125"/>
    <col min="11847" max="11847" customWidth="1" width="11.42578125"/>
    <col min="11848" max="11848" customWidth="1" width="11.42578125"/>
    <col min="11849" max="11849" customWidth="1" width="11.42578125"/>
    <col min="11850" max="11850" customWidth="1" width="11.42578125"/>
    <col min="11851" max="11851" customWidth="1" width="11.42578125"/>
    <col min="11852" max="11852" customWidth="1" width="11.42578125"/>
    <col min="11853" max="11853" customWidth="1" width="11.42578125"/>
    <col min="11854" max="11854" customWidth="1" width="11.42578125"/>
    <col min="11855" max="11855" customWidth="1" width="11.42578125"/>
    <col min="11856" max="11856" customWidth="1" width="11.42578125"/>
    <col min="11857" max="11857" customWidth="1" width="11.42578125"/>
    <col min="11858" max="11858" customWidth="1" width="11.42578125"/>
    <col min="11859" max="11859" customWidth="1" width="11.42578125"/>
    <col min="11860" max="11860" customWidth="1" width="11.42578125"/>
    <col min="11861" max="11861" customWidth="1" width="11.42578125"/>
    <col min="11862" max="11862" customWidth="1" width="11.42578125"/>
    <col min="11863" max="11863" customWidth="1" width="11.42578125"/>
    <col min="11864" max="11864" customWidth="1" width="11.42578125"/>
    <col min="11865" max="11865" customWidth="1" width="11.42578125"/>
    <col min="11866" max="11866" customWidth="1" width="11.42578125"/>
    <col min="11867" max="11867" customWidth="1" width="11.42578125"/>
    <col min="11868" max="11868" customWidth="1" width="11.42578125"/>
    <col min="11869" max="11869" customWidth="1" width="11.42578125"/>
    <col min="11870" max="11870" customWidth="1" width="11.42578125"/>
    <col min="11871" max="11871" customWidth="1" width="11.42578125"/>
    <col min="11872" max="11872" customWidth="1" width="11.42578125"/>
    <col min="11873" max="11873" customWidth="1" width="11.42578125"/>
    <col min="11874" max="11874" customWidth="1" width="11.42578125"/>
    <col min="11875" max="11875" customWidth="1" width="11.42578125"/>
    <col min="11876" max="11876" customWidth="1" width="11.42578125"/>
    <col min="11877" max="11877" customWidth="1" width="11.42578125"/>
    <col min="11878" max="11878" customWidth="1" width="11.42578125"/>
    <col min="11879" max="11879" customWidth="1" width="11.42578125"/>
    <col min="11880" max="11880" customWidth="1" width="11.42578125"/>
    <col min="11881" max="11881" customWidth="1" width="11.42578125"/>
    <col min="11882" max="11882" customWidth="1" width="11.42578125"/>
    <col min="11883" max="11883" customWidth="1" width="11.42578125"/>
    <col min="11884" max="11884" customWidth="1" width="11.42578125"/>
    <col min="11885" max="11885" customWidth="1" width="11.42578125"/>
    <col min="11886" max="11886" customWidth="1" width="11.42578125"/>
    <col min="11887" max="11887" customWidth="1" width="11.42578125"/>
    <col min="11888" max="11888" customWidth="1" width="11.42578125"/>
    <col min="11889" max="11889" customWidth="1" width="11.42578125"/>
    <col min="11890" max="11890" customWidth="1" width="11.42578125"/>
    <col min="11891" max="11891" customWidth="1" width="11.42578125"/>
    <col min="11892" max="11892" customWidth="1" width="11.42578125"/>
    <col min="11893" max="11893" customWidth="1" width="11.42578125"/>
    <col min="11894" max="11894" customWidth="1" width="11.42578125"/>
    <col min="11895" max="11895" customWidth="1" width="11.42578125"/>
    <col min="11896" max="11896" customWidth="1" width="11.42578125"/>
    <col min="11897" max="11897" customWidth="1" width="11.42578125"/>
    <col min="11898" max="11898" customWidth="1" width="11.42578125"/>
    <col min="11899" max="11899" customWidth="1" width="11.42578125"/>
    <col min="11900" max="11900" customWidth="1" width="11.42578125"/>
    <col min="11901" max="11901" customWidth="1" width="11.42578125"/>
    <col min="11902" max="11902" customWidth="1" width="11.42578125"/>
    <col min="11903" max="11903" customWidth="1" width="11.42578125"/>
    <col min="11904" max="11904" customWidth="1" width="11.42578125"/>
    <col min="11905" max="11905" customWidth="1" width="11.42578125"/>
    <col min="11906" max="11906" customWidth="1" width="11.42578125"/>
    <col min="11907" max="11907" customWidth="1" width="11.42578125"/>
    <col min="11908" max="11908" customWidth="1" width="11.42578125"/>
    <col min="11909" max="11909" customWidth="1" width="11.42578125"/>
    <col min="11910" max="11910" customWidth="1" width="11.42578125"/>
    <col min="11911" max="11911" customWidth="1" width="11.42578125"/>
    <col min="11912" max="11912" customWidth="1" width="11.42578125"/>
    <col min="11913" max="11913" customWidth="1" width="11.42578125"/>
    <col min="11914" max="11914" customWidth="1" width="11.42578125"/>
    <col min="11915" max="11915" customWidth="1" width="11.42578125"/>
    <col min="11916" max="11916" customWidth="1" width="11.42578125"/>
    <col min="11917" max="11917" customWidth="1" width="11.42578125"/>
    <col min="11918" max="11918" customWidth="1" width="11.42578125"/>
    <col min="11919" max="11919" customWidth="1" width="11.42578125"/>
    <col min="11920" max="11920" customWidth="1" width="11.42578125"/>
    <col min="11921" max="11921" customWidth="1" width="11.42578125"/>
    <col min="11922" max="11922" customWidth="1" width="11.42578125"/>
    <col min="11923" max="11923" customWidth="1" width="11.42578125"/>
    <col min="11924" max="11924" customWidth="1" width="11.42578125"/>
    <col min="11925" max="11925" customWidth="1" width="11.42578125"/>
    <col min="11926" max="11926" customWidth="1" width="11.42578125"/>
    <col min="11927" max="11927" customWidth="1" width="11.42578125"/>
    <col min="11928" max="11928" customWidth="1" width="11.42578125"/>
    <col min="11929" max="11929" customWidth="1" width="11.42578125"/>
    <col min="11930" max="11930" customWidth="1" width="11.42578125"/>
    <col min="11931" max="11931" customWidth="1" width="11.42578125"/>
    <col min="11932" max="11932" customWidth="1" width="11.42578125"/>
    <col min="11933" max="11933" customWidth="1" width="11.42578125"/>
    <col min="11934" max="11934" customWidth="1" width="11.42578125"/>
    <col min="11935" max="11935" customWidth="1" width="11.42578125"/>
    <col min="11936" max="11936" customWidth="1" width="11.42578125"/>
    <col min="11937" max="11937" customWidth="1" width="11.42578125"/>
    <col min="11938" max="11938" customWidth="1" width="11.42578125"/>
    <col min="11939" max="11939" customWidth="1" width="11.42578125"/>
    <col min="11940" max="11940" customWidth="1" width="11.42578125"/>
    <col min="11941" max="11941" customWidth="1" width="11.42578125"/>
    <col min="11942" max="11942" customWidth="1" width="11.42578125"/>
    <col min="11943" max="11943" customWidth="1" width="11.42578125"/>
    <col min="11944" max="11944" customWidth="1" width="11.42578125"/>
    <col min="11945" max="11945" customWidth="1" width="11.42578125"/>
    <col min="11946" max="11946" customWidth="1" width="11.42578125"/>
    <col min="11947" max="11947" customWidth="1" width="11.42578125"/>
    <col min="11948" max="11948" customWidth="1" width="11.42578125"/>
    <col min="11949" max="11949" customWidth="1" width="11.42578125"/>
    <col min="11950" max="11950" customWidth="1" width="11.42578125"/>
    <col min="11951" max="11951" customWidth="1" width="11.42578125"/>
    <col min="11952" max="11952" customWidth="1" width="11.42578125"/>
    <col min="11953" max="11953" customWidth="1" width="11.42578125"/>
    <col min="11954" max="11954" customWidth="1" width="11.42578125"/>
    <col min="11955" max="11955" customWidth="1" width="11.42578125"/>
    <col min="11956" max="11956" customWidth="1" width="11.42578125"/>
    <col min="11957" max="11957" customWidth="1" width="11.42578125"/>
    <col min="11958" max="11958" customWidth="1" width="11.42578125"/>
    <col min="11959" max="11959" customWidth="1" width="11.42578125"/>
    <col min="11960" max="11960" customWidth="1" width="11.42578125"/>
    <col min="11961" max="11961" customWidth="1" width="11.42578125"/>
    <col min="11962" max="11962" customWidth="1" width="11.42578125"/>
    <col min="11963" max="11963" customWidth="1" width="11.42578125"/>
    <col min="11964" max="11964" customWidth="1" width="11.42578125"/>
    <col min="11965" max="11965" customWidth="1" width="11.42578125"/>
    <col min="11966" max="11966" customWidth="1" width="11.42578125"/>
    <col min="11967" max="11967" customWidth="1" width="11.42578125"/>
    <col min="11968" max="11968" customWidth="1" width="11.42578125"/>
    <col min="11969" max="11969" customWidth="1" width="11.42578125"/>
    <col min="11970" max="11970" customWidth="1" width="11.42578125"/>
    <col min="11971" max="11971" customWidth="1" width="11.42578125"/>
    <col min="11972" max="11972" customWidth="1" width="11.42578125"/>
    <col min="11973" max="11973" customWidth="1" width="11.42578125"/>
    <col min="11974" max="11974" customWidth="1" width="11.42578125"/>
    <col min="11975" max="11975" customWidth="1" width="11.42578125"/>
    <col min="11976" max="11976" customWidth="1" width="11.42578125"/>
    <col min="11977" max="11977" customWidth="1" width="11.42578125"/>
    <col min="11978" max="11978" customWidth="1" width="11.42578125"/>
    <col min="11979" max="11979" customWidth="1" width="11.42578125"/>
    <col min="11980" max="11980" customWidth="1" width="11.42578125"/>
    <col min="11981" max="11981" customWidth="1" width="11.42578125"/>
    <col min="11982" max="11982" customWidth="1" width="11.42578125"/>
    <col min="11983" max="11983" customWidth="1" width="11.42578125"/>
    <col min="11984" max="11984" customWidth="1" width="11.42578125"/>
    <col min="11985" max="11985" customWidth="1" width="11.42578125"/>
    <col min="11986" max="11986" customWidth="1" width="11.42578125"/>
    <col min="11987" max="11987" customWidth="1" width="11.42578125"/>
    <col min="11988" max="11988" customWidth="1" width="11.42578125"/>
    <col min="11989" max="11989" customWidth="1" width="11.42578125"/>
    <col min="11990" max="11990" customWidth="1" width="11.42578125"/>
    <col min="11991" max="11991" customWidth="1" width="11.42578125"/>
    <col min="11992" max="11992" customWidth="1" width="11.42578125"/>
    <col min="11993" max="11993" customWidth="1" width="11.42578125"/>
    <col min="11994" max="11994" customWidth="1" width="11.42578125"/>
    <col min="11995" max="11995" customWidth="1" width="11.42578125"/>
    <col min="11996" max="11996" customWidth="1" width="11.42578125"/>
    <col min="11997" max="11997" customWidth="1" width="11.42578125"/>
    <col min="11998" max="11998" customWidth="1" width="11.42578125"/>
    <col min="11999" max="11999" customWidth="1" width="11.42578125"/>
    <col min="12000" max="12000" customWidth="1" width="11.42578125"/>
    <col min="12001" max="12001" customWidth="1" width="11.42578125"/>
    <col min="12002" max="12002" customWidth="1" width="11.42578125"/>
    <col min="12003" max="12003" customWidth="1" width="11.42578125"/>
    <col min="12004" max="12004" customWidth="1" width="11.42578125"/>
    <col min="12005" max="12005" customWidth="1" width="11.42578125"/>
    <col min="12006" max="12006" customWidth="1" width="11.42578125"/>
    <col min="12007" max="12007" customWidth="1" width="11.42578125"/>
    <col min="12008" max="12008" customWidth="1" width="11.42578125"/>
    <col min="12009" max="12009" customWidth="1" width="11.42578125"/>
    <col min="12010" max="12010" customWidth="1" width="11.42578125"/>
    <col min="12011" max="12011" customWidth="1" width="11.42578125"/>
    <col min="12012" max="12012" customWidth="1" width="11.42578125"/>
    <col min="12013" max="12013" customWidth="1" width="11.42578125"/>
    <col min="12014" max="12014" customWidth="1" width="11.42578125"/>
    <col min="12015" max="12015" customWidth="1" width="11.42578125"/>
    <col min="12016" max="12016" customWidth="1" width="11.42578125"/>
    <col min="12017" max="12017" customWidth="1" width="11.42578125"/>
    <col min="12018" max="12018" customWidth="1" width="11.42578125"/>
    <col min="12019" max="12019" customWidth="1" width="11.42578125"/>
    <col min="12020" max="12020" customWidth="1" width="11.42578125"/>
    <col min="12021" max="12021" customWidth="1" width="11.42578125"/>
    <col min="12022" max="12022" customWidth="1" width="11.42578125"/>
    <col min="12023" max="12023" customWidth="1" width="11.42578125"/>
    <col min="12024" max="12024" customWidth="1" width="11.42578125"/>
    <col min="12025" max="12025" customWidth="1" width="11.42578125"/>
    <col min="12026" max="12026" customWidth="1" width="11.42578125"/>
    <col min="12027" max="12027" customWidth="1" width="11.42578125"/>
    <col min="12028" max="12028" customWidth="1" width="11.42578125"/>
    <col min="12029" max="12029" customWidth="1" width="11.42578125"/>
    <col min="12030" max="12030" customWidth="1" width="11.42578125"/>
    <col min="12031" max="12031" customWidth="1" width="11.42578125"/>
    <col min="12032" max="12032" customWidth="1" width="11.42578125"/>
    <col min="12033" max="12033" customWidth="1" width="11.42578125"/>
    <col min="12034" max="12034" customWidth="1" width="11.42578125"/>
    <col min="12035" max="12035" customWidth="1" width="11.42578125"/>
    <col min="12036" max="12036" customWidth="1" width="11.42578125"/>
    <col min="12037" max="12037" customWidth="1" width="11.42578125"/>
    <col min="12038" max="12038" customWidth="1" width="11.42578125"/>
    <col min="12039" max="12039" customWidth="1" width="11.42578125"/>
    <col min="12040" max="12040" customWidth="1" width="11.42578125"/>
    <col min="12041" max="12041" customWidth="1" width="11.42578125"/>
    <col min="12042" max="12042" customWidth="1" width="11.42578125"/>
    <col min="12043" max="12043" customWidth="1" width="11.42578125"/>
    <col min="12044" max="12044" customWidth="1" width="11.42578125"/>
    <col min="12045" max="12045" customWidth="1" width="11.42578125"/>
    <col min="12046" max="12046" customWidth="1" width="11.42578125"/>
    <col min="12047" max="12047" customWidth="1" width="11.42578125"/>
    <col min="12048" max="12048" customWidth="1" width="11.42578125"/>
    <col min="12049" max="12049" customWidth="1" width="11.42578125"/>
    <col min="12050" max="12050" customWidth="1" width="11.42578125"/>
    <col min="12051" max="12051" customWidth="1" width="11.42578125"/>
    <col min="12052" max="12052" customWidth="1" width="11.42578125"/>
    <col min="12053" max="12053" customWidth="1" width="11.42578125"/>
    <col min="12054" max="12054" customWidth="1" width="11.42578125"/>
    <col min="12055" max="12055" customWidth="1" width="11.42578125"/>
    <col min="12056" max="12056" customWidth="1" width="11.42578125"/>
    <col min="12057" max="12057" customWidth="1" width="11.42578125"/>
    <col min="12058" max="12058" customWidth="1" width="11.42578125"/>
    <col min="12059" max="12059" customWidth="1" width="11.42578125"/>
    <col min="12060" max="12060" customWidth="1" width="11.42578125"/>
    <col min="12061" max="12061" customWidth="1" width="11.42578125"/>
    <col min="12062" max="12062" customWidth="1" width="11.42578125"/>
    <col min="12063" max="12063" customWidth="1" width="11.42578125"/>
    <col min="12064" max="12064" customWidth="1" width="11.42578125"/>
    <col min="12065" max="12065" customWidth="1" width="11.42578125"/>
    <col min="12066" max="12066" customWidth="1" width="11.42578125"/>
    <col min="12067" max="12067" customWidth="1" width="11.42578125"/>
    <col min="12068" max="12068" customWidth="1" width="11.42578125"/>
    <col min="12069" max="12069" customWidth="1" width="11.42578125"/>
    <col min="12070" max="12070" customWidth="1" width="11.42578125"/>
    <col min="12071" max="12071" customWidth="1" width="11.42578125"/>
    <col min="12072" max="12072" customWidth="1" width="11.42578125"/>
    <col min="12073" max="12073" customWidth="1" width="11.42578125"/>
    <col min="12074" max="12074" customWidth="1" width="11.42578125"/>
    <col min="12075" max="12075" customWidth="1" width="11.42578125"/>
    <col min="12076" max="12076" customWidth="1" width="11.42578125"/>
    <col min="12077" max="12077" customWidth="1" width="11.42578125"/>
    <col min="12078" max="12078" customWidth="1" width="11.42578125"/>
    <col min="12079" max="12079" customWidth="1" width="11.42578125"/>
    <col min="12080" max="12080" customWidth="1" width="11.42578125"/>
    <col min="12081" max="12081" customWidth="1" width="11.42578125"/>
    <col min="12082" max="12082" customWidth="1" width="11.42578125"/>
    <col min="12083" max="12083" customWidth="1" width="11.42578125"/>
    <col min="12084" max="12084" customWidth="1" width="11.42578125"/>
    <col min="12085" max="12085" customWidth="1" width="11.42578125"/>
    <col min="12086" max="12086" customWidth="1" width="11.42578125"/>
    <col min="12087" max="12087" customWidth="1" width="11.42578125"/>
    <col min="12088" max="12088" customWidth="1" width="11.42578125"/>
    <col min="12089" max="12089" customWidth="1" width="11.42578125"/>
    <col min="12090" max="12090" customWidth="1" width="11.42578125"/>
    <col min="12091" max="12091" customWidth="1" width="11.42578125"/>
    <col min="12092" max="12092" customWidth="1" width="11.42578125"/>
    <col min="12093" max="12093" customWidth="1" width="11.42578125"/>
    <col min="12094" max="12094" customWidth="1" width="11.42578125"/>
    <col min="12095" max="12095" customWidth="1" width="11.42578125"/>
    <col min="12096" max="12096" customWidth="1" width="11.42578125"/>
    <col min="12097" max="12097" customWidth="1" width="11.42578125"/>
    <col min="12098" max="12098" customWidth="1" width="11.42578125"/>
    <col min="12099" max="12099" customWidth="1" width="11.42578125"/>
    <col min="12100" max="12100" customWidth="1" width="11.42578125"/>
    <col min="12101" max="12101" customWidth="1" width="11.42578125"/>
    <col min="12102" max="12102" customWidth="1" width="11.42578125"/>
    <col min="12103" max="12103" customWidth="1" width="11.42578125"/>
    <col min="12104" max="12104" customWidth="1" width="11.42578125"/>
    <col min="12105" max="12105" customWidth="1" width="11.42578125"/>
    <col min="12106" max="12106" customWidth="1" width="11.42578125"/>
    <col min="12107" max="12107" customWidth="1" width="11.42578125"/>
    <col min="12108" max="12108" customWidth="1" width="11.42578125"/>
    <col min="12109" max="12109" customWidth="1" width="11.42578125"/>
    <col min="12110" max="12110" customWidth="1" width="11.42578125"/>
    <col min="12111" max="12111" customWidth="1" width="11.42578125"/>
    <col min="12112" max="12112" customWidth="1" width="11.42578125"/>
    <col min="12113" max="12113" customWidth="1" width="11.42578125"/>
    <col min="12114" max="12114" customWidth="1" width="11.42578125"/>
    <col min="12115" max="12115" customWidth="1" width="11.42578125"/>
    <col min="12116" max="12116" customWidth="1" width="11.42578125"/>
    <col min="12117" max="12117" customWidth="1" width="11.42578125"/>
    <col min="12118" max="12118" customWidth="1" width="11.42578125"/>
    <col min="12119" max="12119" customWidth="1" width="11.42578125"/>
    <col min="12120" max="12120" customWidth="1" width="11.42578125"/>
    <col min="12121" max="12121" customWidth="1" width="11.42578125"/>
    <col min="12122" max="12122" customWidth="1" width="11.42578125"/>
    <col min="12123" max="12123" customWidth="1" width="11.42578125"/>
    <col min="12124" max="12124" customWidth="1" width="11.42578125"/>
    <col min="12125" max="12125" customWidth="1" width="11.42578125"/>
    <col min="12126" max="12126" customWidth="1" width="11.42578125"/>
    <col min="12127" max="12127" customWidth="1" width="11.42578125"/>
    <col min="12128" max="12128" customWidth="1" width="11.42578125"/>
    <col min="12129" max="12129" customWidth="1" width="11.42578125"/>
    <col min="12130" max="12130" customWidth="1" width="11.42578125"/>
    <col min="12131" max="12131" customWidth="1" width="11.42578125"/>
    <col min="12132" max="12132" customWidth="1" width="11.42578125"/>
    <col min="12133" max="12133" customWidth="1" width="11.42578125"/>
    <col min="12134" max="12134" customWidth="1" width="11.42578125"/>
    <col min="12135" max="12135" customWidth="1" width="11.42578125"/>
    <col min="12136" max="12136" customWidth="1" width="11.42578125"/>
    <col min="12137" max="12137" customWidth="1" width="11.42578125"/>
    <col min="12138" max="12138" customWidth="1" width="11.42578125"/>
    <col min="12139" max="12139" customWidth="1" width="11.42578125"/>
    <col min="12140" max="12140" customWidth="1" width="11.42578125"/>
    <col min="12141" max="12141" customWidth="1" width="11.42578125"/>
    <col min="12142" max="12142" customWidth="1" width="11.42578125"/>
    <col min="12143" max="12143" customWidth="1" width="11.42578125"/>
    <col min="12144" max="12144" customWidth="1" width="11.42578125"/>
    <col min="12145" max="12145" customWidth="1" width="11.42578125"/>
    <col min="12146" max="12146" customWidth="1" width="11.42578125"/>
    <col min="12147" max="12147" customWidth="1" width="11.42578125"/>
    <col min="12148" max="12148" customWidth="1" width="11.42578125"/>
    <col min="12149" max="12149" customWidth="1" width="11.42578125"/>
    <col min="12150" max="12150" customWidth="1" width="11.42578125"/>
    <col min="12151" max="12151" customWidth="1" width="11.42578125"/>
    <col min="12152" max="12152" customWidth="1" width="11.42578125"/>
    <col min="12153" max="12153" customWidth="1" width="11.42578125"/>
    <col min="12154" max="12154" customWidth="1" width="11.42578125"/>
    <col min="12155" max="12155" customWidth="1" width="11.42578125"/>
    <col min="12156" max="12156" customWidth="1" width="11.42578125"/>
    <col min="12157" max="12157" customWidth="1" width="11.42578125"/>
    <col min="12158" max="12158" customWidth="1" width="11.42578125"/>
    <col min="12159" max="12159" customWidth="1" width="11.42578125"/>
    <col min="12160" max="12160" customWidth="1" width="11.42578125"/>
    <col min="12161" max="12161" customWidth="1" width="11.42578125"/>
    <col min="12162" max="12162" customWidth="1" width="11.42578125"/>
    <col min="12163" max="12163" customWidth="1" width="11.42578125"/>
    <col min="12164" max="12164" customWidth="1" width="11.42578125"/>
    <col min="12165" max="12165" customWidth="1" width="11.42578125"/>
    <col min="12166" max="12166" customWidth="1" width="11.42578125"/>
    <col min="12167" max="12167" customWidth="1" width="11.42578125"/>
    <col min="12168" max="12168" customWidth="1" width="11.42578125"/>
    <col min="12169" max="12169" customWidth="1" width="11.42578125"/>
    <col min="12170" max="12170" customWidth="1" width="11.42578125"/>
    <col min="12171" max="12171" customWidth="1" width="11.42578125"/>
    <col min="12172" max="12172" customWidth="1" width="11.42578125"/>
    <col min="12173" max="12173" customWidth="1" width="11.42578125"/>
    <col min="12174" max="12174" customWidth="1" width="11.42578125"/>
    <col min="12175" max="12175" customWidth="1" width="11.42578125"/>
    <col min="12176" max="12176" customWidth="1" width="11.42578125"/>
    <col min="12177" max="12177" customWidth="1" width="11.42578125"/>
    <col min="12178" max="12178" customWidth="1" width="11.42578125"/>
    <col min="12179" max="12179" customWidth="1" width="11.42578125"/>
    <col min="12180" max="12180" customWidth="1" width="11.42578125"/>
    <col min="12181" max="12181" customWidth="1" width="11.42578125"/>
    <col min="12182" max="12182" customWidth="1" width="11.42578125"/>
    <col min="12183" max="12183" customWidth="1" width="11.42578125"/>
    <col min="12184" max="12184" customWidth="1" width="11.42578125"/>
    <col min="12185" max="12185" customWidth="1" width="11.42578125"/>
    <col min="12186" max="12186" customWidth="1" width="11.42578125"/>
    <col min="12187" max="12187" customWidth="1" width="11.42578125"/>
    <col min="12188" max="12188" customWidth="1" width="11.42578125"/>
    <col min="12189" max="12189" customWidth="1" width="11.42578125"/>
    <col min="12190" max="12190" customWidth="1" width="11.42578125"/>
    <col min="12191" max="12191" customWidth="1" width="11.42578125"/>
    <col min="12192" max="12192" customWidth="1" width="11.42578125"/>
    <col min="12193" max="12193" customWidth="1" width="11.42578125"/>
    <col min="12194" max="12194" customWidth="1" width="11.42578125"/>
    <col min="12195" max="12195" customWidth="1" width="11.42578125"/>
    <col min="12196" max="12196" customWidth="1" width="11.42578125"/>
    <col min="12197" max="12197" customWidth="1" width="11.42578125"/>
    <col min="12198" max="12198" customWidth="1" width="11.42578125"/>
    <col min="12199" max="12199" customWidth="1" width="11.42578125"/>
    <col min="12200" max="12200" customWidth="1" width="11.42578125"/>
    <col min="12201" max="12201" customWidth="1" width="11.42578125"/>
    <col min="12202" max="12202" customWidth="1" width="11.42578125"/>
    <col min="12203" max="12203" customWidth="1" width="11.42578125"/>
    <col min="12204" max="12204" customWidth="1" width="11.42578125"/>
    <col min="12205" max="12205" customWidth="1" width="11.42578125"/>
    <col min="12206" max="12206" customWidth="1" width="11.42578125"/>
    <col min="12207" max="12207" customWidth="1" width="11.42578125"/>
    <col min="12208" max="12208" customWidth="1" width="11.42578125"/>
    <col min="12209" max="12209" customWidth="1" width="11.42578125"/>
    <col min="12210" max="12210" customWidth="1" width="11.42578125"/>
    <col min="12211" max="12211" customWidth="1" width="11.42578125"/>
    <col min="12212" max="12212" customWidth="1" width="11.42578125"/>
    <col min="12213" max="12213" customWidth="1" width="11.42578125"/>
    <col min="12214" max="12214" customWidth="1" width="11.42578125"/>
    <col min="12215" max="12215" customWidth="1" width="11.42578125"/>
    <col min="12216" max="12216" customWidth="1" width="11.42578125"/>
    <col min="12217" max="12217" customWidth="1" width="11.42578125"/>
    <col min="12218" max="12218" customWidth="1" width="11.42578125"/>
    <col min="12219" max="12219" customWidth="1" width="11.42578125"/>
    <col min="12220" max="12220" customWidth="1" width="11.42578125"/>
    <col min="12221" max="12221" customWidth="1" width="11.42578125"/>
    <col min="12222" max="12222" customWidth="1" width="11.42578125"/>
    <col min="12223" max="12223" customWidth="1" width="11.42578125"/>
    <col min="12224" max="12224" customWidth="1" width="11.42578125"/>
    <col min="12225" max="12225" customWidth="1" width="11.42578125"/>
    <col min="12226" max="12226" customWidth="1" width="11.42578125"/>
    <col min="12227" max="12227" customWidth="1" width="11.42578125"/>
    <col min="12228" max="12228" customWidth="1" width="11.42578125"/>
    <col min="12229" max="12229" customWidth="1" width="11.42578125"/>
    <col min="12230" max="12230" customWidth="1" width="11.42578125"/>
    <col min="12231" max="12231" customWidth="1" width="11.42578125"/>
    <col min="12232" max="12232" customWidth="1" width="11.42578125"/>
    <col min="12233" max="12233" customWidth="1" width="11.42578125"/>
    <col min="12234" max="12234" customWidth="1" width="11.42578125"/>
    <col min="12235" max="12235" customWidth="1" width="11.42578125"/>
    <col min="12236" max="12236" customWidth="1" width="11.42578125"/>
    <col min="12237" max="12237" customWidth="1" width="11.42578125"/>
    <col min="12238" max="12238" customWidth="1" width="11.42578125"/>
    <col min="12239" max="12239" customWidth="1" width="11.42578125"/>
    <col min="12240" max="12240" customWidth="1" width="11.42578125"/>
    <col min="12241" max="12241" customWidth="1" width="11.42578125"/>
    <col min="12242" max="12242" customWidth="1" width="11.42578125"/>
    <col min="12243" max="12243" customWidth="1" width="11.42578125"/>
    <col min="12244" max="12244" customWidth="1" width="11.42578125"/>
    <col min="12245" max="12245" customWidth="1" width="11.42578125"/>
    <col min="12246" max="12246" customWidth="1" width="11.42578125"/>
    <col min="12247" max="12247" customWidth="1" width="11.42578125"/>
    <col min="12248" max="12248" customWidth="1" width="11.42578125"/>
    <col min="12249" max="12249" customWidth="1" width="11.42578125"/>
    <col min="12250" max="12250" customWidth="1" width="11.42578125"/>
    <col min="12251" max="12251" customWidth="1" width="11.42578125"/>
    <col min="12252" max="12252" customWidth="1" width="11.42578125"/>
    <col min="12253" max="12253" customWidth="1" width="11.42578125"/>
    <col min="12254" max="12254" customWidth="1" width="11.42578125"/>
    <col min="12255" max="12255" customWidth="1" width="11.42578125"/>
    <col min="12256" max="12256" customWidth="1" width="11.42578125"/>
    <col min="12257" max="12257" customWidth="1" width="11.42578125"/>
    <col min="12258" max="12258" customWidth="1" width="11.42578125"/>
    <col min="12259" max="12259" customWidth="1" width="11.42578125"/>
    <col min="12260" max="12260" customWidth="1" width="11.42578125"/>
    <col min="12261" max="12261" customWidth="1" width="11.42578125"/>
    <col min="12262" max="12262" customWidth="1" width="11.42578125"/>
    <col min="12263" max="12263" customWidth="1" width="11.42578125"/>
    <col min="12264" max="12264" customWidth="1" width="11.42578125"/>
    <col min="12265" max="12265" customWidth="1" width="11.42578125"/>
    <col min="12266" max="12266" customWidth="1" width="11.42578125"/>
    <col min="12267" max="12267" customWidth="1" width="11.42578125"/>
    <col min="12268" max="12268" customWidth="1" width="11.42578125"/>
    <col min="12269" max="12269" customWidth="1" width="11.42578125"/>
    <col min="12270" max="12270" customWidth="1" width="11.42578125"/>
    <col min="12271" max="12271" customWidth="1" width="11.42578125"/>
    <col min="12272" max="12272" customWidth="1" width="11.42578125"/>
    <col min="12273" max="12273" customWidth="1" width="11.42578125"/>
    <col min="12274" max="12274" customWidth="1" width="11.42578125"/>
    <col min="12275" max="12275" customWidth="1" width="11.42578125"/>
    <col min="12276" max="12276" customWidth="1" width="11.42578125"/>
    <col min="12277" max="12277" customWidth="1" width="11.42578125"/>
    <col min="12278" max="12278" customWidth="1" width="11.42578125"/>
    <col min="12279" max="12279" customWidth="1" width="11.42578125"/>
    <col min="12280" max="12280" customWidth="1" width="11.42578125"/>
    <col min="12281" max="12281" customWidth="1" width="11.42578125"/>
    <col min="12282" max="12282" customWidth="1" width="11.42578125"/>
    <col min="12283" max="12283" customWidth="1" width="11.42578125"/>
    <col min="12284" max="12284" customWidth="1" width="11.42578125"/>
    <col min="12285" max="12285" customWidth="1" width="11.42578125"/>
    <col min="12286" max="12286" customWidth="1" width="11.42578125"/>
    <col min="12287" max="12287" customWidth="1" width="11.42578125"/>
    <col min="12288" max="12288" customWidth="1" width="11.42578125"/>
    <col min="12289" max="12289" customWidth="1" width="11.42578125"/>
    <col min="12290" max="12290" customWidth="1" width="11.42578125"/>
    <col min="12291" max="12291" customWidth="1" width="11.42578125"/>
    <col min="12292" max="12292" customWidth="1" width="11.42578125"/>
    <col min="12293" max="12293" customWidth="1" width="11.42578125"/>
    <col min="12294" max="12294" customWidth="1" width="11.42578125"/>
    <col min="12295" max="12295" customWidth="1" width="11.42578125"/>
    <col min="12296" max="12296" customWidth="1" width="11.42578125"/>
    <col min="12297" max="12297" customWidth="1" width="11.42578125"/>
    <col min="12298" max="12298" customWidth="1" width="11.42578125"/>
    <col min="12299" max="12299" customWidth="1" width="11.42578125"/>
    <col min="12300" max="12300" customWidth="1" width="11.42578125"/>
    <col min="12301" max="12301" customWidth="1" width="11.42578125"/>
    <col min="12302" max="12302" customWidth="1" width="11.42578125"/>
    <col min="12303" max="12303" customWidth="1" width="11.42578125"/>
    <col min="12304" max="12304" customWidth="1" width="11.42578125"/>
    <col min="12305" max="12305" customWidth="1" width="11.42578125"/>
    <col min="12306" max="12306" customWidth="1" width="11.42578125"/>
    <col min="12307" max="12307" customWidth="1" width="11.42578125"/>
    <col min="12308" max="12308" customWidth="1" width="11.42578125"/>
    <col min="12309" max="12309" customWidth="1" width="11.42578125"/>
    <col min="12310" max="12310" customWidth="1" width="11.42578125"/>
    <col min="12311" max="12311" customWidth="1" width="11.42578125"/>
    <col min="12312" max="12312" customWidth="1" width="11.42578125"/>
    <col min="12313" max="12313" customWidth="1" width="11.42578125"/>
    <col min="12314" max="12314" customWidth="1" width="11.42578125"/>
    <col min="12315" max="12315" customWidth="1" width="11.42578125"/>
    <col min="12316" max="12316" customWidth="1" width="11.42578125"/>
    <col min="12317" max="12317" customWidth="1" width="11.42578125"/>
    <col min="12318" max="12318" customWidth="1" width="11.42578125"/>
    <col min="12319" max="12319" customWidth="1" width="11.42578125"/>
    <col min="12320" max="12320" customWidth="1" width="11.42578125"/>
    <col min="12321" max="12321" customWidth="1" width="11.42578125"/>
    <col min="12322" max="12322" customWidth="1" width="11.42578125"/>
    <col min="12323" max="12323" customWidth="1" width="11.42578125"/>
    <col min="12324" max="12324" customWidth="1" width="11.42578125"/>
    <col min="12325" max="12325" customWidth="1" width="11.42578125"/>
    <col min="12326" max="12326" customWidth="1" width="11.42578125"/>
    <col min="12327" max="12327" customWidth="1" width="11.42578125"/>
    <col min="12328" max="12328" customWidth="1" width="11.42578125"/>
    <col min="12329" max="12329" customWidth="1" width="11.42578125"/>
    <col min="12330" max="12330" customWidth="1" width="11.42578125"/>
    <col min="12331" max="12331" customWidth="1" width="11.42578125"/>
    <col min="12332" max="12332" customWidth="1" width="11.42578125"/>
    <col min="12333" max="12333" customWidth="1" width="11.42578125"/>
    <col min="12334" max="12334" customWidth="1" width="11.42578125"/>
    <col min="12335" max="12335" customWidth="1" width="11.42578125"/>
    <col min="12336" max="12336" customWidth="1" width="11.42578125"/>
    <col min="12337" max="12337" customWidth="1" width="11.42578125"/>
    <col min="12338" max="12338" customWidth="1" width="11.42578125"/>
    <col min="12339" max="12339" customWidth="1" width="11.42578125"/>
    <col min="12340" max="12340" customWidth="1" width="11.42578125"/>
    <col min="12341" max="12341" customWidth="1" width="11.42578125"/>
    <col min="12342" max="12342" customWidth="1" width="11.42578125"/>
    <col min="12343" max="12343" customWidth="1" width="11.42578125"/>
    <col min="12344" max="12344" customWidth="1" width="11.42578125"/>
    <col min="12345" max="12345" customWidth="1" width="11.42578125"/>
    <col min="12346" max="12346" customWidth="1" width="11.42578125"/>
    <col min="12347" max="12347" customWidth="1" width="11.42578125"/>
    <col min="12348" max="12348" customWidth="1" width="11.42578125"/>
    <col min="12349" max="12349" customWidth="1" width="11.42578125"/>
    <col min="12350" max="12350" customWidth="1" width="11.42578125"/>
    <col min="12351" max="12351" customWidth="1" width="11.42578125"/>
    <col min="12352" max="12352" customWidth="1" width="11.42578125"/>
    <col min="12353" max="12353" customWidth="1" width="11.42578125"/>
    <col min="12354" max="12354" customWidth="1" width="11.42578125"/>
    <col min="12355" max="12355" customWidth="1" width="11.42578125"/>
    <col min="12356" max="12356" customWidth="1" width="11.42578125"/>
    <col min="12357" max="12357" customWidth="1" width="11.42578125"/>
    <col min="12358" max="12358" customWidth="1" width="11.42578125"/>
    <col min="12359" max="12359" customWidth="1" width="11.42578125"/>
    <col min="12360" max="12360" customWidth="1" width="11.42578125"/>
    <col min="12361" max="12361" customWidth="1" width="11.42578125"/>
    <col min="12362" max="12362" customWidth="1" width="11.42578125"/>
    <col min="12363" max="12363" customWidth="1" width="11.42578125"/>
    <col min="12364" max="12364" customWidth="1" width="11.42578125"/>
    <col min="12365" max="12365" customWidth="1" width="11.42578125"/>
    <col min="12366" max="12366" customWidth="1" width="11.42578125"/>
    <col min="12367" max="12367" customWidth="1" width="11.42578125"/>
    <col min="12368" max="12368" customWidth="1" width="11.42578125"/>
    <col min="12369" max="12369" customWidth="1" width="11.42578125"/>
    <col min="12370" max="12370" customWidth="1" width="11.42578125"/>
    <col min="12371" max="12371" customWidth="1" width="11.42578125"/>
    <col min="12372" max="12372" customWidth="1" width="11.42578125"/>
    <col min="12373" max="12373" customWidth="1" width="11.42578125"/>
    <col min="12374" max="12374" customWidth="1" width="11.42578125"/>
    <col min="12375" max="12375" customWidth="1" width="11.42578125"/>
    <col min="12376" max="12376" customWidth="1" width="11.42578125"/>
    <col min="12377" max="12377" customWidth="1" width="11.42578125"/>
    <col min="12378" max="12378" customWidth="1" width="11.42578125"/>
    <col min="12379" max="12379" customWidth="1" width="11.42578125"/>
    <col min="12380" max="12380" customWidth="1" width="11.42578125"/>
    <col min="12381" max="12381" customWidth="1" width="11.42578125"/>
    <col min="12382" max="12382" customWidth="1" width="11.42578125"/>
    <col min="12383" max="12383" customWidth="1" width="11.42578125"/>
    <col min="12384" max="12384" customWidth="1" width="11.42578125"/>
    <col min="12385" max="12385" customWidth="1" width="11.42578125"/>
    <col min="12386" max="12386" customWidth="1" width="11.42578125"/>
    <col min="12387" max="12387" customWidth="1" width="11.42578125"/>
    <col min="12388" max="12388" customWidth="1" width="11.42578125"/>
    <col min="12389" max="12389" customWidth="1" width="11.42578125"/>
    <col min="12390" max="12390" customWidth="1" width="11.42578125"/>
    <col min="12391" max="12391" customWidth="1" width="11.42578125"/>
    <col min="12392" max="12392" customWidth="1" width="11.42578125"/>
    <col min="12393" max="12393" customWidth="1" width="11.42578125"/>
    <col min="12394" max="12394" customWidth="1" width="11.42578125"/>
    <col min="12395" max="12395" customWidth="1" width="11.42578125"/>
    <col min="12396" max="12396" customWidth="1" width="11.42578125"/>
    <col min="12397" max="12397" customWidth="1" width="11.42578125"/>
    <col min="12398" max="12398" customWidth="1" width="11.42578125"/>
    <col min="12399" max="12399" customWidth="1" width="11.42578125"/>
    <col min="12400" max="12400" customWidth="1" width="11.42578125"/>
    <col min="12401" max="12401" customWidth="1" width="11.42578125"/>
    <col min="12402" max="12402" customWidth="1" width="11.42578125"/>
    <col min="12403" max="12403" customWidth="1" width="11.42578125"/>
    <col min="12404" max="12404" customWidth="1" width="11.42578125"/>
    <col min="12405" max="12405" customWidth="1" width="11.42578125"/>
    <col min="12406" max="12406" customWidth="1" width="11.42578125"/>
    <col min="12407" max="12407" customWidth="1" width="11.42578125"/>
    <col min="12408" max="12408" customWidth="1" width="11.42578125"/>
    <col min="12409" max="12409" customWidth="1" width="11.42578125"/>
    <col min="12410" max="12410" customWidth="1" width="11.42578125"/>
    <col min="12411" max="12411" customWidth="1" width="11.42578125"/>
    <col min="12412" max="12412" customWidth="1" width="11.42578125"/>
    <col min="12413" max="12413" customWidth="1" width="11.42578125"/>
    <col min="12414" max="12414" customWidth="1" width="11.42578125"/>
    <col min="12415" max="12415" customWidth="1" width="11.42578125"/>
    <col min="12416" max="12416" customWidth="1" width="11.42578125"/>
    <col min="12417" max="12417" customWidth="1" width="11.42578125"/>
    <col min="12418" max="12418" customWidth="1" width="11.42578125"/>
    <col min="12419" max="12419" customWidth="1" width="11.42578125"/>
    <col min="12420" max="12420" customWidth="1" width="11.42578125"/>
    <col min="12421" max="12421" customWidth="1" width="11.42578125"/>
    <col min="12422" max="12422" customWidth="1" width="11.42578125"/>
    <col min="12423" max="12423" customWidth="1" width="11.42578125"/>
    <col min="12424" max="12424" customWidth="1" width="11.42578125"/>
    <col min="12425" max="12425" customWidth="1" width="11.42578125"/>
    <col min="12426" max="12426" customWidth="1" width="11.42578125"/>
    <col min="12427" max="12427" customWidth="1" width="11.42578125"/>
    <col min="12428" max="12428" customWidth="1" width="11.42578125"/>
    <col min="12429" max="12429" customWidth="1" width="11.42578125"/>
    <col min="12430" max="12430" customWidth="1" width="11.42578125"/>
    <col min="12431" max="12431" customWidth="1" width="11.42578125"/>
    <col min="12432" max="12432" customWidth="1" width="11.42578125"/>
    <col min="12433" max="12433" customWidth="1" width="11.42578125"/>
    <col min="12434" max="12434" customWidth="1" width="11.42578125"/>
    <col min="12435" max="12435" customWidth="1" width="11.42578125"/>
    <col min="12436" max="12436" customWidth="1" width="11.42578125"/>
    <col min="12437" max="12437" customWidth="1" width="11.42578125"/>
    <col min="12438" max="12438" customWidth="1" width="11.42578125"/>
    <col min="12439" max="12439" customWidth="1" width="11.42578125"/>
    <col min="12440" max="12440" customWidth="1" width="11.42578125"/>
    <col min="12441" max="12441" customWidth="1" width="11.42578125"/>
    <col min="12442" max="12442" customWidth="1" width="11.42578125"/>
    <col min="12443" max="12443" customWidth="1" width="11.42578125"/>
    <col min="12444" max="12444" customWidth="1" width="11.42578125"/>
    <col min="12445" max="12445" customWidth="1" width="11.42578125"/>
    <col min="12446" max="12446" customWidth="1" width="11.42578125"/>
    <col min="12447" max="12447" customWidth="1" width="11.42578125"/>
    <col min="12448" max="12448" customWidth="1" width="11.42578125"/>
    <col min="12449" max="12449" customWidth="1" width="11.42578125"/>
    <col min="12450" max="12450" customWidth="1" width="11.42578125"/>
    <col min="12451" max="12451" customWidth="1" width="11.42578125"/>
    <col min="12452" max="12452" customWidth="1" width="11.42578125"/>
    <col min="12453" max="12453" customWidth="1" width="11.42578125"/>
    <col min="12454" max="12454" customWidth="1" width="11.42578125"/>
    <col min="12455" max="12455" customWidth="1" width="11.42578125"/>
    <col min="12456" max="12456" customWidth="1" width="11.42578125"/>
    <col min="12457" max="12457" customWidth="1" width="11.42578125"/>
    <col min="12458" max="12458" customWidth="1" width="11.42578125"/>
    <col min="12459" max="12459" customWidth="1" width="11.42578125"/>
    <col min="12460" max="12460" customWidth="1" width="11.42578125"/>
    <col min="12461" max="12461" customWidth="1" width="11.42578125"/>
    <col min="12462" max="12462" customWidth="1" width="11.42578125"/>
    <col min="12463" max="12463" customWidth="1" width="11.42578125"/>
    <col min="12464" max="12464" customWidth="1" width="11.42578125"/>
    <col min="12465" max="12465" customWidth="1" width="11.42578125"/>
    <col min="12466" max="12466" customWidth="1" width="11.42578125"/>
    <col min="12467" max="12467" customWidth="1" width="11.42578125"/>
    <col min="12468" max="12468" customWidth="1" width="11.42578125"/>
    <col min="12469" max="12469" customWidth="1" width="11.42578125"/>
    <col min="12470" max="12470" customWidth="1" width="11.42578125"/>
    <col min="12471" max="12471" customWidth="1" width="11.42578125"/>
    <col min="12472" max="12472" customWidth="1" width="11.42578125"/>
    <col min="12473" max="12473" customWidth="1" width="11.42578125"/>
    <col min="12474" max="12474" customWidth="1" width="11.42578125"/>
    <col min="12475" max="12475" customWidth="1" width="11.42578125"/>
    <col min="12476" max="12476" customWidth="1" width="11.42578125"/>
    <col min="12477" max="12477" customWidth="1" width="11.42578125"/>
    <col min="12478" max="12478" customWidth="1" width="11.42578125"/>
    <col min="12479" max="12479" customWidth="1" width="11.42578125"/>
    <col min="12480" max="12480" customWidth="1" width="11.42578125"/>
    <col min="12481" max="12481" customWidth="1" width="11.42578125"/>
    <col min="12482" max="12482" customWidth="1" width="11.42578125"/>
    <col min="12483" max="12483" customWidth="1" width="11.42578125"/>
    <col min="12484" max="12484" customWidth="1" width="11.42578125"/>
    <col min="12485" max="12485" customWidth="1" width="11.42578125"/>
    <col min="12486" max="12486" customWidth="1" width="11.42578125"/>
    <col min="12487" max="12487" customWidth="1" width="11.42578125"/>
    <col min="12488" max="12488" customWidth="1" width="11.42578125"/>
    <col min="12489" max="12489" customWidth="1" width="11.42578125"/>
    <col min="12490" max="12490" customWidth="1" width="11.42578125"/>
    <col min="12491" max="12491" customWidth="1" width="11.42578125"/>
    <col min="12492" max="12492" customWidth="1" width="11.42578125"/>
    <col min="12493" max="12493" customWidth="1" width="11.42578125"/>
    <col min="12494" max="12494" customWidth="1" width="11.42578125"/>
    <col min="12495" max="12495" customWidth="1" width="11.42578125"/>
    <col min="12496" max="12496" customWidth="1" width="11.42578125"/>
    <col min="12497" max="12497" customWidth="1" width="11.42578125"/>
    <col min="12498" max="12498" customWidth="1" width="11.42578125"/>
    <col min="12499" max="12499" customWidth="1" width="11.42578125"/>
    <col min="12500" max="12500" customWidth="1" width="11.42578125"/>
    <col min="12501" max="12501" customWidth="1" width="11.42578125"/>
    <col min="12502" max="12502" customWidth="1" width="11.42578125"/>
    <col min="12503" max="12503" customWidth="1" width="11.42578125"/>
    <col min="12504" max="12504" customWidth="1" width="11.42578125"/>
    <col min="12505" max="12505" customWidth="1" width="11.42578125"/>
    <col min="12506" max="12506" customWidth="1" width="11.42578125"/>
    <col min="12507" max="12507" customWidth="1" width="11.42578125"/>
    <col min="12508" max="12508" customWidth="1" width="11.42578125"/>
    <col min="12509" max="12509" customWidth="1" width="11.42578125"/>
    <col min="12510" max="12510" customWidth="1" width="11.42578125"/>
    <col min="12511" max="12511" customWidth="1" width="11.42578125"/>
    <col min="12512" max="12512" customWidth="1" width="11.42578125"/>
    <col min="12513" max="12513" customWidth="1" width="11.42578125"/>
    <col min="12514" max="12514" customWidth="1" width="11.42578125"/>
    <col min="12515" max="12515" customWidth="1" width="11.42578125"/>
    <col min="12516" max="12516" customWidth="1" width="11.42578125"/>
    <col min="12517" max="12517" customWidth="1" width="11.42578125"/>
    <col min="12518" max="12518" customWidth="1" width="11.42578125"/>
    <col min="12519" max="12519" customWidth="1" width="11.42578125"/>
    <col min="12520" max="12520" customWidth="1" width="11.42578125"/>
    <col min="12521" max="12521" customWidth="1" width="11.42578125"/>
    <col min="12522" max="12522" customWidth="1" width="11.42578125"/>
    <col min="12523" max="12523" customWidth="1" width="11.42578125"/>
    <col min="12524" max="12524" customWidth="1" width="11.42578125"/>
    <col min="12525" max="12525" customWidth="1" width="11.42578125"/>
    <col min="12526" max="12526" customWidth="1" width="11.42578125"/>
    <col min="12527" max="12527" customWidth="1" width="11.42578125"/>
    <col min="12528" max="12528" customWidth="1" width="11.42578125"/>
    <col min="12529" max="12529" customWidth="1" width="11.42578125"/>
    <col min="12530" max="12530" customWidth="1" width="11.42578125"/>
    <col min="12531" max="12531" customWidth="1" width="11.42578125"/>
    <col min="12532" max="12532" customWidth="1" width="11.42578125"/>
    <col min="12533" max="12533" customWidth="1" width="11.42578125"/>
    <col min="12534" max="12534" customWidth="1" width="11.42578125"/>
    <col min="12535" max="12535" customWidth="1" width="11.42578125"/>
    <col min="12536" max="12536" customWidth="1" width="11.42578125"/>
    <col min="12537" max="12537" customWidth="1" width="11.42578125"/>
    <col min="12538" max="12538" customWidth="1" width="11.42578125"/>
    <col min="12539" max="12539" customWidth="1" width="11.42578125"/>
    <col min="12540" max="12540" customWidth="1" width="11.42578125"/>
    <col min="12541" max="12541" customWidth="1" width="11.42578125"/>
    <col min="12542" max="12542" customWidth="1" width="11.42578125"/>
    <col min="12543" max="12543" customWidth="1" width="11.42578125"/>
    <col min="12544" max="12544" customWidth="1" width="11.42578125"/>
    <col min="12545" max="12545" customWidth="1" width="11.42578125"/>
    <col min="12546" max="12546" customWidth="1" width="11.42578125"/>
    <col min="12547" max="12547" customWidth="1" width="11.42578125"/>
    <col min="12548" max="12548" customWidth="1" width="11.42578125"/>
    <col min="12549" max="12549" customWidth="1" width="11.42578125"/>
    <col min="12550" max="12550" customWidth="1" width="11.42578125"/>
    <col min="12551" max="12551" customWidth="1" width="11.42578125"/>
    <col min="12552" max="12552" customWidth="1" width="11.42578125"/>
    <col min="12553" max="12553" customWidth="1" width="11.42578125"/>
    <col min="12554" max="12554" customWidth="1" width="11.42578125"/>
    <col min="12555" max="12555" customWidth="1" width="11.42578125"/>
    <col min="12556" max="12556" customWidth="1" width="11.42578125"/>
    <col min="12557" max="12557" customWidth="1" width="11.42578125"/>
    <col min="12558" max="12558" customWidth="1" width="11.42578125"/>
    <col min="12559" max="12559" customWidth="1" width="11.42578125"/>
    <col min="12560" max="12560" customWidth="1" width="11.42578125"/>
    <col min="12561" max="12561" customWidth="1" width="11.42578125"/>
    <col min="12562" max="12562" customWidth="1" width="11.42578125"/>
    <col min="12563" max="12563" customWidth="1" width="11.42578125"/>
    <col min="12564" max="12564" customWidth="1" width="11.42578125"/>
    <col min="12565" max="12565" customWidth="1" width="11.42578125"/>
    <col min="12566" max="12566" customWidth="1" width="11.42578125"/>
    <col min="12567" max="12567" customWidth="1" width="11.42578125"/>
    <col min="12568" max="12568" customWidth="1" width="11.42578125"/>
    <col min="12569" max="12569" customWidth="1" width="11.42578125"/>
    <col min="12570" max="12570" customWidth="1" width="11.42578125"/>
    <col min="12571" max="12571" customWidth="1" width="11.42578125"/>
    <col min="12572" max="12572" customWidth="1" width="11.42578125"/>
    <col min="12573" max="12573" customWidth="1" width="11.42578125"/>
    <col min="12574" max="12574" customWidth="1" width="11.42578125"/>
    <col min="12575" max="12575" customWidth="1" width="11.42578125"/>
    <col min="12576" max="12576" customWidth="1" width="11.42578125"/>
    <col min="12577" max="12577" customWidth="1" width="11.42578125"/>
    <col min="12578" max="12578" customWidth="1" width="11.42578125"/>
    <col min="12579" max="12579" customWidth="1" width="11.42578125"/>
    <col min="12580" max="12580" customWidth="1" width="11.42578125"/>
    <col min="12581" max="12581" customWidth="1" width="11.42578125"/>
    <col min="12582" max="12582" customWidth="1" width="11.42578125"/>
    <col min="12583" max="12583" customWidth="1" width="11.42578125"/>
    <col min="12584" max="12584" customWidth="1" width="11.42578125"/>
    <col min="12585" max="12585" customWidth="1" width="11.42578125"/>
    <col min="12586" max="12586" customWidth="1" width="11.42578125"/>
    <col min="12587" max="12587" customWidth="1" width="11.42578125"/>
    <col min="12588" max="12588" customWidth="1" width="11.42578125"/>
    <col min="12589" max="12589" customWidth="1" width="11.42578125"/>
    <col min="12590" max="12590" customWidth="1" width="11.42578125"/>
    <col min="12591" max="12591" customWidth="1" width="11.42578125"/>
    <col min="12592" max="12592" customWidth="1" width="11.42578125"/>
    <col min="12593" max="12593" customWidth="1" width="11.42578125"/>
    <col min="12594" max="12594" customWidth="1" width="11.42578125"/>
    <col min="12595" max="12595" customWidth="1" width="11.42578125"/>
    <col min="12596" max="12596" customWidth="1" width="11.42578125"/>
    <col min="12597" max="12597" customWidth="1" width="11.42578125"/>
    <col min="12598" max="12598" customWidth="1" width="11.42578125"/>
    <col min="12599" max="12599" customWidth="1" width="11.42578125"/>
    <col min="12600" max="12600" customWidth="1" width="11.42578125"/>
    <col min="12601" max="12601" customWidth="1" width="11.42578125"/>
    <col min="12602" max="12602" customWidth="1" width="11.42578125"/>
    <col min="12603" max="12603" customWidth="1" width="11.42578125"/>
    <col min="12604" max="12604" customWidth="1" width="11.42578125"/>
    <col min="12605" max="12605" customWidth="1" width="11.42578125"/>
    <col min="12606" max="12606" customWidth="1" width="11.42578125"/>
    <col min="12607" max="12607" customWidth="1" width="11.42578125"/>
    <col min="12608" max="12608" customWidth="1" width="11.42578125"/>
    <col min="12609" max="12609" customWidth="1" width="11.42578125"/>
    <col min="12610" max="12610" customWidth="1" width="11.42578125"/>
    <col min="12611" max="12611" customWidth="1" width="11.42578125"/>
    <col min="12612" max="12612" customWidth="1" width="11.42578125"/>
    <col min="12613" max="12613" customWidth="1" width="11.42578125"/>
    <col min="12614" max="12614" customWidth="1" width="11.42578125"/>
    <col min="12615" max="12615" customWidth="1" width="11.42578125"/>
    <col min="12616" max="12616" customWidth="1" width="11.42578125"/>
    <col min="12617" max="12617" customWidth="1" width="11.42578125"/>
    <col min="12618" max="12618" customWidth="1" width="11.42578125"/>
    <col min="12619" max="12619" customWidth="1" width="11.42578125"/>
    <col min="12620" max="12620" customWidth="1" width="11.42578125"/>
    <col min="12621" max="12621" customWidth="1" width="11.42578125"/>
    <col min="12622" max="12622" customWidth="1" width="11.42578125"/>
    <col min="12623" max="12623" customWidth="1" width="11.42578125"/>
    <col min="12624" max="12624" customWidth="1" width="11.42578125"/>
    <col min="12625" max="12625" customWidth="1" width="11.42578125"/>
    <col min="12626" max="12626" customWidth="1" width="11.42578125"/>
    <col min="12627" max="12627" customWidth="1" width="11.42578125"/>
    <col min="12628" max="12628" customWidth="1" width="11.42578125"/>
    <col min="12629" max="12629" customWidth="1" width="11.42578125"/>
    <col min="12630" max="12630" customWidth="1" width="11.42578125"/>
    <col min="12631" max="12631" customWidth="1" width="11.42578125"/>
    <col min="12632" max="12632" customWidth="1" width="11.42578125"/>
    <col min="12633" max="12633" customWidth="1" width="11.42578125"/>
    <col min="12634" max="12634" customWidth="1" width="11.42578125"/>
    <col min="12635" max="12635" customWidth="1" width="11.42578125"/>
    <col min="12636" max="12636" customWidth="1" width="11.42578125"/>
    <col min="12637" max="12637" customWidth="1" width="11.42578125"/>
    <col min="12638" max="12638" customWidth="1" width="11.42578125"/>
    <col min="12639" max="12639" customWidth="1" width="11.42578125"/>
    <col min="12640" max="12640" customWidth="1" width="11.42578125"/>
    <col min="12641" max="12641" customWidth="1" width="11.42578125"/>
    <col min="12642" max="12642" customWidth="1" width="11.42578125"/>
    <col min="12643" max="12643" customWidth="1" width="11.42578125"/>
    <col min="12644" max="12644" customWidth="1" width="11.42578125"/>
    <col min="12645" max="12645" customWidth="1" width="11.42578125"/>
    <col min="12646" max="12646" customWidth="1" width="11.42578125"/>
    <col min="12647" max="12647" customWidth="1" width="11.42578125"/>
    <col min="12648" max="12648" customWidth="1" width="11.42578125"/>
    <col min="12649" max="12649" customWidth="1" width="11.42578125"/>
    <col min="12650" max="12650" customWidth="1" width="11.42578125"/>
    <col min="12651" max="12651" customWidth="1" width="11.42578125"/>
    <col min="12652" max="12652" customWidth="1" width="11.42578125"/>
    <col min="12653" max="12653" customWidth="1" width="11.42578125"/>
    <col min="12654" max="12654" customWidth="1" width="11.42578125"/>
    <col min="12655" max="12655" customWidth="1" width="11.42578125"/>
    <col min="12656" max="12656" customWidth="1" width="11.42578125"/>
    <col min="12657" max="12657" customWidth="1" width="11.42578125"/>
    <col min="12658" max="12658" customWidth="1" width="11.42578125"/>
    <col min="12659" max="12659" customWidth="1" width="11.42578125"/>
    <col min="12660" max="12660" customWidth="1" width="11.42578125"/>
    <col min="12661" max="12661" customWidth="1" width="11.42578125"/>
    <col min="12662" max="12662" customWidth="1" width="11.42578125"/>
    <col min="12663" max="12663" customWidth="1" width="11.42578125"/>
    <col min="12664" max="12664" customWidth="1" width="11.42578125"/>
    <col min="12665" max="12665" customWidth="1" width="11.42578125"/>
    <col min="12666" max="12666" customWidth="1" width="11.42578125"/>
    <col min="12667" max="12667" customWidth="1" width="11.42578125"/>
    <col min="12668" max="12668" customWidth="1" width="11.42578125"/>
    <col min="12669" max="12669" customWidth="1" width="11.42578125"/>
    <col min="12670" max="12670" customWidth="1" width="11.42578125"/>
    <col min="12671" max="12671" customWidth="1" width="11.42578125"/>
    <col min="12672" max="12672" customWidth="1" width="11.42578125"/>
    <col min="12673" max="12673" customWidth="1" width="11.42578125"/>
    <col min="12674" max="12674" customWidth="1" width="11.42578125"/>
    <col min="12675" max="12675" customWidth="1" width="11.42578125"/>
    <col min="12676" max="12676" customWidth="1" width="11.42578125"/>
    <col min="12677" max="12677" customWidth="1" width="11.42578125"/>
    <col min="12678" max="12678" customWidth="1" width="11.42578125"/>
    <col min="12679" max="12679" customWidth="1" width="11.42578125"/>
    <col min="12680" max="12680" customWidth="1" width="11.42578125"/>
    <col min="12681" max="12681" customWidth="1" width="11.42578125"/>
    <col min="12682" max="12682" customWidth="1" width="11.42578125"/>
    <col min="12683" max="12683" customWidth="1" width="11.42578125"/>
    <col min="12684" max="12684" customWidth="1" width="11.42578125"/>
    <col min="12685" max="12685" customWidth="1" width="11.42578125"/>
    <col min="12686" max="12686" customWidth="1" width="11.42578125"/>
    <col min="12687" max="12687" customWidth="1" width="11.42578125"/>
    <col min="12688" max="12688" customWidth="1" width="11.42578125"/>
    <col min="12689" max="12689" customWidth="1" width="11.42578125"/>
    <col min="12690" max="12690" customWidth="1" width="11.42578125"/>
    <col min="12691" max="12691" customWidth="1" width="11.42578125"/>
    <col min="12692" max="12692" customWidth="1" width="11.42578125"/>
    <col min="12693" max="12693" customWidth="1" width="11.42578125"/>
    <col min="12694" max="12694" customWidth="1" width="11.42578125"/>
    <col min="12695" max="12695" customWidth="1" width="11.42578125"/>
    <col min="12696" max="12696" customWidth="1" width="11.42578125"/>
    <col min="12697" max="12697" customWidth="1" width="11.42578125"/>
    <col min="12698" max="12698" customWidth="1" width="11.42578125"/>
    <col min="12699" max="12699" customWidth="1" width="11.42578125"/>
    <col min="12700" max="12700" customWidth="1" width="11.42578125"/>
    <col min="12701" max="12701" customWidth="1" width="11.42578125"/>
    <col min="12702" max="12702" customWidth="1" width="11.42578125"/>
    <col min="12703" max="12703" customWidth="1" width="11.42578125"/>
    <col min="12704" max="12704" customWidth="1" width="11.42578125"/>
    <col min="12705" max="12705" customWidth="1" width="11.42578125"/>
    <col min="12706" max="12706" customWidth="1" width="11.42578125"/>
    <col min="12707" max="12707" customWidth="1" width="11.42578125"/>
    <col min="12708" max="12708" customWidth="1" width="11.42578125"/>
    <col min="12709" max="12709" customWidth="1" width="11.42578125"/>
    <col min="12710" max="12710" customWidth="1" width="11.42578125"/>
    <col min="12711" max="12711" customWidth="1" width="11.42578125"/>
    <col min="12712" max="12712" customWidth="1" width="11.42578125"/>
    <col min="12713" max="12713" customWidth="1" width="11.42578125"/>
    <col min="12714" max="12714" customWidth="1" width="11.42578125"/>
    <col min="12715" max="12715" customWidth="1" width="11.42578125"/>
    <col min="12716" max="12716" customWidth="1" width="11.42578125"/>
    <col min="12717" max="12717" customWidth="1" width="11.42578125"/>
    <col min="12718" max="12718" customWidth="1" width="11.42578125"/>
    <col min="12719" max="12719" customWidth="1" width="11.42578125"/>
    <col min="12720" max="12720" customWidth="1" width="11.42578125"/>
    <col min="12721" max="12721" customWidth="1" width="11.42578125"/>
    <col min="12722" max="12722" customWidth="1" width="11.42578125"/>
    <col min="12723" max="12723" customWidth="1" width="11.42578125"/>
    <col min="12724" max="12724" customWidth="1" width="11.42578125"/>
    <col min="12725" max="12725" customWidth="1" width="11.42578125"/>
    <col min="12726" max="12726" customWidth="1" width="11.42578125"/>
    <col min="12727" max="12727" customWidth="1" width="11.42578125"/>
    <col min="12728" max="12728" customWidth="1" width="11.42578125"/>
    <col min="12729" max="12729" customWidth="1" width="11.42578125"/>
    <col min="12730" max="12730" customWidth="1" width="11.42578125"/>
    <col min="12731" max="12731" customWidth="1" width="11.42578125"/>
    <col min="12732" max="12732" customWidth="1" width="11.42578125"/>
    <col min="12733" max="12733" customWidth="1" width="11.42578125"/>
    <col min="12734" max="12734" customWidth="1" width="11.42578125"/>
    <col min="12735" max="12735" customWidth="1" width="11.42578125"/>
    <col min="12736" max="12736" customWidth="1" width="11.42578125"/>
    <col min="12737" max="12737" customWidth="1" width="11.42578125"/>
    <col min="12738" max="12738" customWidth="1" width="11.42578125"/>
    <col min="12739" max="12739" customWidth="1" width="11.42578125"/>
    <col min="12740" max="12740" customWidth="1" width="11.42578125"/>
    <col min="12741" max="12741" customWidth="1" width="11.42578125"/>
    <col min="12742" max="12742" customWidth="1" width="11.42578125"/>
    <col min="12743" max="12743" customWidth="1" width="11.42578125"/>
    <col min="12744" max="12744" customWidth="1" width="11.42578125"/>
    <col min="12745" max="12745" customWidth="1" width="11.42578125"/>
    <col min="12746" max="12746" customWidth="1" width="11.42578125"/>
    <col min="12747" max="12747" customWidth="1" width="11.42578125"/>
    <col min="12748" max="12748" customWidth="1" width="11.42578125"/>
    <col min="12749" max="12749" customWidth="1" width="11.42578125"/>
    <col min="12750" max="12750" customWidth="1" width="11.42578125"/>
    <col min="12751" max="12751" customWidth="1" width="11.42578125"/>
    <col min="12752" max="12752" customWidth="1" width="11.42578125"/>
    <col min="12753" max="12753" customWidth="1" width="11.42578125"/>
    <col min="12754" max="12754" customWidth="1" width="11.42578125"/>
    <col min="12755" max="12755" customWidth="1" width="11.42578125"/>
    <col min="12756" max="12756" customWidth="1" width="11.42578125"/>
    <col min="12757" max="12757" customWidth="1" width="11.42578125"/>
    <col min="12758" max="12758" customWidth="1" width="11.42578125"/>
    <col min="12759" max="12759" customWidth="1" width="11.42578125"/>
    <col min="12760" max="12760" customWidth="1" width="11.42578125"/>
    <col min="12761" max="12761" customWidth="1" width="11.42578125"/>
    <col min="12762" max="12762" customWidth="1" width="11.42578125"/>
    <col min="12763" max="12763" customWidth="1" width="11.42578125"/>
    <col min="12764" max="12764" customWidth="1" width="11.42578125"/>
    <col min="12765" max="12765" customWidth="1" width="11.42578125"/>
    <col min="12766" max="12766" customWidth="1" width="11.42578125"/>
    <col min="12767" max="12767" customWidth="1" width="11.42578125"/>
    <col min="12768" max="12768" customWidth="1" width="11.42578125"/>
    <col min="12769" max="12769" customWidth="1" width="11.42578125"/>
    <col min="12770" max="12770" customWidth="1" width="11.42578125"/>
    <col min="12771" max="12771" customWidth="1" width="11.42578125"/>
    <col min="12772" max="12772" customWidth="1" width="11.42578125"/>
    <col min="12773" max="12773" customWidth="1" width="11.42578125"/>
    <col min="12774" max="12774" customWidth="1" width="11.42578125"/>
    <col min="12775" max="12775" customWidth="1" width="11.42578125"/>
    <col min="12776" max="12776" customWidth="1" width="11.42578125"/>
    <col min="12777" max="12777" customWidth="1" width="11.42578125"/>
    <col min="12778" max="12778" customWidth="1" width="11.42578125"/>
    <col min="12779" max="12779" customWidth="1" width="11.42578125"/>
    <col min="12780" max="12780" customWidth="1" width="11.42578125"/>
    <col min="12781" max="12781" customWidth="1" width="11.42578125"/>
    <col min="12782" max="12782" customWidth="1" width="11.42578125"/>
    <col min="12783" max="12783" customWidth="1" width="11.42578125"/>
    <col min="12784" max="12784" customWidth="1" width="11.42578125"/>
    <col min="12785" max="12785" customWidth="1" width="11.42578125"/>
    <col min="12786" max="12786" customWidth="1" width="11.42578125"/>
    <col min="12787" max="12787" customWidth="1" width="11.42578125"/>
    <col min="12788" max="12788" customWidth="1" width="11.42578125"/>
    <col min="12789" max="12789" customWidth="1" width="11.42578125"/>
    <col min="12790" max="12790" customWidth="1" width="11.42578125"/>
    <col min="12791" max="12791" customWidth="1" width="11.42578125"/>
    <col min="12792" max="12792" customWidth="1" width="11.42578125"/>
    <col min="12793" max="12793" customWidth="1" width="11.42578125"/>
    <col min="12794" max="12794" customWidth="1" width="11.42578125"/>
    <col min="12795" max="12795" customWidth="1" width="11.42578125"/>
    <col min="12796" max="12796" customWidth="1" width="11.42578125"/>
    <col min="12797" max="12797" customWidth="1" width="11.42578125"/>
    <col min="12798" max="12798" customWidth="1" width="11.42578125"/>
    <col min="12799" max="12799" customWidth="1" width="11.42578125"/>
    <col min="12800" max="12800" customWidth="1" width="11.42578125"/>
    <col min="12801" max="12801" customWidth="1" width="11.42578125"/>
    <col min="12802" max="12802" customWidth="1" width="11.42578125"/>
    <col min="12803" max="12803" customWidth="1" width="11.42578125"/>
    <col min="12804" max="12804" customWidth="1" width="11.42578125"/>
    <col min="12805" max="12805" customWidth="1" width="11.42578125"/>
    <col min="12806" max="12806" customWidth="1" width="11.42578125"/>
    <col min="12807" max="12807" customWidth="1" width="11.42578125"/>
    <col min="12808" max="12808" customWidth="1" width="11.42578125"/>
    <col min="12809" max="12809" customWidth="1" width="11.42578125"/>
    <col min="12810" max="12810" customWidth="1" width="11.42578125"/>
    <col min="12811" max="12811" customWidth="1" width="11.42578125"/>
    <col min="12812" max="12812" customWidth="1" width="11.42578125"/>
    <col min="12813" max="12813" customWidth="1" width="11.42578125"/>
    <col min="12814" max="12814" customWidth="1" width="11.42578125"/>
    <col min="12815" max="12815" customWidth="1" width="11.42578125"/>
    <col min="12816" max="12816" customWidth="1" width="11.42578125"/>
    <col min="12817" max="12817" customWidth="1" width="11.42578125"/>
    <col min="12818" max="12818" customWidth="1" width="11.42578125"/>
    <col min="12819" max="12819" customWidth="1" width="11.42578125"/>
    <col min="12820" max="12820" customWidth="1" width="11.42578125"/>
    <col min="12821" max="12821" customWidth="1" width="11.42578125"/>
    <col min="12822" max="12822" customWidth="1" width="11.42578125"/>
    <col min="12823" max="12823" customWidth="1" width="11.42578125"/>
    <col min="12824" max="12824" customWidth="1" width="11.42578125"/>
    <col min="12825" max="12825" customWidth="1" width="11.42578125"/>
    <col min="12826" max="12826" customWidth="1" width="11.42578125"/>
    <col min="12827" max="12827" customWidth="1" width="11.42578125"/>
    <col min="12828" max="12828" customWidth="1" width="11.42578125"/>
    <col min="12829" max="12829" customWidth="1" width="11.42578125"/>
    <col min="12830" max="12830" customWidth="1" width="11.42578125"/>
    <col min="12831" max="12831" customWidth="1" width="11.42578125"/>
    <col min="12832" max="12832" customWidth="1" width="11.42578125"/>
    <col min="12833" max="12833" customWidth="1" width="11.42578125"/>
    <col min="12834" max="12834" customWidth="1" width="11.42578125"/>
    <col min="12835" max="12835" customWidth="1" width="11.42578125"/>
    <col min="12836" max="12836" customWidth="1" width="11.42578125"/>
    <col min="12837" max="12837" customWidth="1" width="11.42578125"/>
    <col min="12838" max="12838" customWidth="1" width="11.42578125"/>
    <col min="12839" max="12839" customWidth="1" width="11.42578125"/>
    <col min="12840" max="12840" customWidth="1" width="11.42578125"/>
    <col min="12841" max="12841" customWidth="1" width="11.42578125"/>
    <col min="12842" max="12842" customWidth="1" width="11.42578125"/>
    <col min="12843" max="12843" customWidth="1" width="11.42578125"/>
    <col min="12844" max="12844" customWidth="1" width="11.42578125"/>
    <col min="12845" max="12845" customWidth="1" width="11.42578125"/>
    <col min="12846" max="12846" customWidth="1" width="11.42578125"/>
    <col min="12847" max="12847" customWidth="1" width="11.42578125"/>
    <col min="12848" max="12848" customWidth="1" width="11.42578125"/>
    <col min="12849" max="12849" customWidth="1" width="11.42578125"/>
    <col min="12850" max="12850" customWidth="1" width="11.42578125"/>
    <col min="12851" max="12851" customWidth="1" width="11.42578125"/>
    <col min="12852" max="12852" customWidth="1" width="11.42578125"/>
    <col min="12853" max="12853" customWidth="1" width="11.42578125"/>
    <col min="12854" max="12854" customWidth="1" width="11.42578125"/>
    <col min="12855" max="12855" customWidth="1" width="11.42578125"/>
    <col min="12856" max="12856" customWidth="1" width="11.42578125"/>
    <col min="12857" max="12857" customWidth="1" width="11.42578125"/>
    <col min="12858" max="12858" customWidth="1" width="11.42578125"/>
    <col min="12859" max="12859" customWidth="1" width="11.42578125"/>
    <col min="12860" max="12860" customWidth="1" width="11.42578125"/>
    <col min="12861" max="12861" customWidth="1" width="11.42578125"/>
    <col min="12862" max="12862" customWidth="1" width="11.42578125"/>
    <col min="12863" max="12863" customWidth="1" width="11.42578125"/>
    <col min="12864" max="12864" customWidth="1" width="11.42578125"/>
    <col min="12865" max="12865" customWidth="1" width="11.42578125"/>
    <col min="12866" max="12866" customWidth="1" width="11.42578125"/>
    <col min="12867" max="12867" customWidth="1" width="11.42578125"/>
    <col min="12868" max="12868" customWidth="1" width="11.42578125"/>
    <col min="12869" max="12869" customWidth="1" width="11.42578125"/>
    <col min="12870" max="12870" customWidth="1" width="11.42578125"/>
    <col min="12871" max="12871" customWidth="1" width="11.42578125"/>
    <col min="12872" max="12872" customWidth="1" width="11.42578125"/>
    <col min="12873" max="12873" customWidth="1" width="11.42578125"/>
    <col min="12874" max="12874" customWidth="1" width="11.42578125"/>
    <col min="12875" max="12875" customWidth="1" width="11.42578125"/>
    <col min="12876" max="12876" customWidth="1" width="11.42578125"/>
    <col min="12877" max="12877" customWidth="1" width="11.42578125"/>
    <col min="12878" max="12878" customWidth="1" width="11.42578125"/>
    <col min="12879" max="12879" customWidth="1" width="11.42578125"/>
    <col min="12880" max="12880" customWidth="1" width="11.42578125"/>
    <col min="12881" max="12881" customWidth="1" width="11.42578125"/>
    <col min="12882" max="12882" customWidth="1" width="11.42578125"/>
    <col min="12883" max="12883" customWidth="1" width="11.42578125"/>
    <col min="12884" max="12884" customWidth="1" width="11.42578125"/>
    <col min="12885" max="12885" customWidth="1" width="11.42578125"/>
    <col min="12886" max="12886" customWidth="1" width="11.42578125"/>
    <col min="12887" max="12887" customWidth="1" width="11.42578125"/>
    <col min="12888" max="12888" customWidth="1" width="11.42578125"/>
    <col min="12889" max="12889" customWidth="1" width="11.42578125"/>
    <col min="12890" max="12890" customWidth="1" width="11.42578125"/>
    <col min="12891" max="12891" customWidth="1" width="11.42578125"/>
    <col min="12892" max="12892" customWidth="1" width="11.42578125"/>
    <col min="12893" max="12893" customWidth="1" width="11.42578125"/>
    <col min="12894" max="12894" customWidth="1" width="11.42578125"/>
    <col min="12895" max="12895" customWidth="1" width="11.42578125"/>
    <col min="12896" max="12896" customWidth="1" width="11.42578125"/>
    <col min="12897" max="12897" customWidth="1" width="11.42578125"/>
    <col min="12898" max="12898" customWidth="1" width="11.42578125"/>
    <col min="12899" max="12899" customWidth="1" width="11.42578125"/>
    <col min="12900" max="12900" customWidth="1" width="11.42578125"/>
    <col min="12901" max="12901" customWidth="1" width="11.42578125"/>
    <col min="12902" max="12902" customWidth="1" width="11.42578125"/>
    <col min="12903" max="12903" customWidth="1" width="11.42578125"/>
    <col min="12904" max="12904" customWidth="1" width="11.42578125"/>
    <col min="12905" max="12905" customWidth="1" width="11.42578125"/>
    <col min="12906" max="12906" customWidth="1" width="11.42578125"/>
    <col min="12907" max="12907" customWidth="1" width="11.42578125"/>
    <col min="12908" max="12908" customWidth="1" width="11.42578125"/>
    <col min="12909" max="12909" customWidth="1" width="11.42578125"/>
    <col min="12910" max="12910" customWidth="1" width="11.42578125"/>
    <col min="12911" max="12911" customWidth="1" width="11.42578125"/>
    <col min="12912" max="12912" customWidth="1" width="11.42578125"/>
    <col min="12913" max="12913" customWidth="1" width="11.42578125"/>
    <col min="12914" max="12914" customWidth="1" width="11.42578125"/>
    <col min="12915" max="12915" customWidth="1" width="11.42578125"/>
    <col min="12916" max="12916" customWidth="1" width="11.42578125"/>
    <col min="12917" max="12917" customWidth="1" width="11.42578125"/>
    <col min="12918" max="12918" customWidth="1" width="11.42578125"/>
    <col min="12919" max="12919" customWidth="1" width="11.42578125"/>
    <col min="12920" max="12920" customWidth="1" width="11.42578125"/>
    <col min="12921" max="12921" customWidth="1" width="11.42578125"/>
    <col min="12922" max="12922" customWidth="1" width="11.42578125"/>
    <col min="12923" max="12923" customWidth="1" width="11.42578125"/>
    <col min="12924" max="12924" customWidth="1" width="11.42578125"/>
    <col min="12925" max="12925" customWidth="1" width="11.42578125"/>
    <col min="12926" max="12926" customWidth="1" width="11.42578125"/>
    <col min="12927" max="12927" customWidth="1" width="11.42578125"/>
    <col min="12928" max="12928" customWidth="1" width="11.42578125"/>
    <col min="12929" max="12929" customWidth="1" width="11.42578125"/>
    <col min="12930" max="12930" customWidth="1" width="11.42578125"/>
    <col min="12931" max="12931" customWidth="1" width="11.42578125"/>
    <col min="12932" max="12932" customWidth="1" width="11.42578125"/>
    <col min="12933" max="12933" customWidth="1" width="11.42578125"/>
    <col min="12934" max="12934" customWidth="1" width="11.42578125"/>
    <col min="12935" max="12935" customWidth="1" width="11.42578125"/>
    <col min="12936" max="12936" customWidth="1" width="11.42578125"/>
    <col min="12937" max="12937" customWidth="1" width="11.42578125"/>
    <col min="12938" max="12938" customWidth="1" width="11.42578125"/>
    <col min="12939" max="12939" customWidth="1" width="11.42578125"/>
    <col min="12940" max="12940" customWidth="1" width="11.42578125"/>
    <col min="12941" max="12941" customWidth="1" width="11.42578125"/>
    <col min="12942" max="12942" customWidth="1" width="11.42578125"/>
    <col min="12943" max="12943" customWidth="1" width="11.42578125"/>
    <col min="12944" max="12944" customWidth="1" width="11.42578125"/>
    <col min="12945" max="12945" customWidth="1" width="11.42578125"/>
    <col min="12946" max="12946" customWidth="1" width="11.42578125"/>
    <col min="12947" max="12947" customWidth="1" width="11.42578125"/>
    <col min="12948" max="12948" customWidth="1" width="11.42578125"/>
    <col min="12949" max="12949" customWidth="1" width="11.42578125"/>
    <col min="12950" max="12950" customWidth="1" width="11.42578125"/>
    <col min="12951" max="12951" customWidth="1" width="11.42578125"/>
    <col min="12952" max="12952" customWidth="1" width="11.42578125"/>
    <col min="12953" max="12953" customWidth="1" width="11.42578125"/>
    <col min="12954" max="12954" customWidth="1" width="11.42578125"/>
    <col min="12955" max="12955" customWidth="1" width="11.42578125"/>
    <col min="12956" max="12956" customWidth="1" width="11.42578125"/>
    <col min="12957" max="12957" customWidth="1" width="11.42578125"/>
    <col min="12958" max="12958" customWidth="1" width="11.42578125"/>
    <col min="12959" max="12959" customWidth="1" width="11.42578125"/>
    <col min="12960" max="12960" customWidth="1" width="11.42578125"/>
    <col min="12961" max="12961" customWidth="1" width="11.42578125"/>
    <col min="12962" max="12962" customWidth="1" width="11.42578125"/>
    <col min="12963" max="12963" customWidth="1" width="11.42578125"/>
    <col min="12964" max="12964" customWidth="1" width="11.42578125"/>
    <col min="12965" max="12965" customWidth="1" width="11.42578125"/>
    <col min="12966" max="12966" customWidth="1" width="11.42578125"/>
    <col min="12967" max="12967" customWidth="1" width="11.42578125"/>
    <col min="12968" max="12968" customWidth="1" width="11.42578125"/>
    <col min="12969" max="12969" customWidth="1" width="11.42578125"/>
    <col min="12970" max="12970" customWidth="1" width="11.42578125"/>
    <col min="12971" max="12971" customWidth="1" width="11.42578125"/>
    <col min="12972" max="12972" customWidth="1" width="11.42578125"/>
    <col min="12973" max="12973" customWidth="1" width="11.42578125"/>
    <col min="12974" max="12974" customWidth="1" width="11.42578125"/>
    <col min="12975" max="12975" customWidth="1" width="11.42578125"/>
    <col min="12976" max="12976" customWidth="1" width="11.42578125"/>
    <col min="12977" max="12977" customWidth="1" width="11.42578125"/>
    <col min="12978" max="12978" customWidth="1" width="11.42578125"/>
    <col min="12979" max="12979" customWidth="1" width="11.42578125"/>
    <col min="12980" max="12980" customWidth="1" width="11.42578125"/>
    <col min="12981" max="12981" customWidth="1" width="11.42578125"/>
    <col min="12982" max="12982" customWidth="1" width="11.42578125"/>
    <col min="12983" max="12983" customWidth="1" width="11.42578125"/>
    <col min="12984" max="12984" customWidth="1" width="11.42578125"/>
    <col min="12985" max="12985" customWidth="1" width="11.42578125"/>
    <col min="12986" max="12986" customWidth="1" width="11.42578125"/>
    <col min="12987" max="12987" customWidth="1" width="11.42578125"/>
    <col min="12988" max="12988" customWidth="1" width="11.42578125"/>
    <col min="12989" max="12989" customWidth="1" width="11.42578125"/>
    <col min="12990" max="12990" customWidth="1" width="11.42578125"/>
    <col min="12991" max="12991" customWidth="1" width="11.42578125"/>
    <col min="12992" max="12992" customWidth="1" width="11.42578125"/>
    <col min="12993" max="12993" customWidth="1" width="11.42578125"/>
    <col min="12994" max="12994" customWidth="1" width="11.42578125"/>
    <col min="12995" max="12995" customWidth="1" width="11.42578125"/>
    <col min="12996" max="12996" customWidth="1" width="11.42578125"/>
    <col min="12997" max="12997" customWidth="1" width="11.42578125"/>
    <col min="12998" max="12998" customWidth="1" width="11.42578125"/>
    <col min="12999" max="12999" customWidth="1" width="11.42578125"/>
    <col min="13000" max="13000" customWidth="1" width="11.42578125"/>
    <col min="13001" max="13001" customWidth="1" width="11.42578125"/>
    <col min="13002" max="13002" customWidth="1" width="11.42578125"/>
    <col min="13003" max="13003" customWidth="1" width="11.42578125"/>
    <col min="13004" max="13004" customWidth="1" width="11.42578125"/>
    <col min="13005" max="13005" customWidth="1" width="11.42578125"/>
    <col min="13006" max="13006" customWidth="1" width="11.42578125"/>
    <col min="13007" max="13007" customWidth="1" width="11.42578125"/>
    <col min="13008" max="13008" customWidth="1" width="11.42578125"/>
    <col min="13009" max="13009" customWidth="1" width="11.42578125"/>
    <col min="13010" max="13010" customWidth="1" width="11.42578125"/>
    <col min="13011" max="13011" customWidth="1" width="11.42578125"/>
    <col min="13012" max="13012" customWidth="1" width="11.42578125"/>
    <col min="13013" max="13013" customWidth="1" width="11.42578125"/>
    <col min="13014" max="13014" customWidth="1" width="11.42578125"/>
    <col min="13015" max="13015" customWidth="1" width="11.42578125"/>
    <col min="13016" max="13016" customWidth="1" width="11.42578125"/>
    <col min="13017" max="13017" customWidth="1" width="11.42578125"/>
    <col min="13018" max="13018" customWidth="1" width="11.42578125"/>
    <col min="13019" max="13019" customWidth="1" width="11.42578125"/>
    <col min="13020" max="13020" customWidth="1" width="11.42578125"/>
    <col min="13021" max="13021" customWidth="1" width="11.42578125"/>
    <col min="13022" max="13022" customWidth="1" width="11.42578125"/>
    <col min="13023" max="13023" customWidth="1" width="11.42578125"/>
    <col min="13024" max="13024" customWidth="1" width="11.42578125"/>
    <col min="13025" max="13025" customWidth="1" width="11.42578125"/>
    <col min="13026" max="13026" customWidth="1" width="11.42578125"/>
    <col min="13027" max="13027" customWidth="1" width="11.42578125"/>
    <col min="13028" max="13028" customWidth="1" width="11.42578125"/>
    <col min="13029" max="13029" customWidth="1" width="11.42578125"/>
    <col min="13030" max="13030" customWidth="1" width="11.42578125"/>
    <col min="13031" max="13031" customWidth="1" width="11.42578125"/>
    <col min="13032" max="13032" customWidth="1" width="11.42578125"/>
    <col min="13033" max="13033" customWidth="1" width="11.42578125"/>
    <col min="13034" max="13034" customWidth="1" width="11.42578125"/>
    <col min="13035" max="13035" customWidth="1" width="11.42578125"/>
    <col min="13036" max="13036" customWidth="1" width="11.42578125"/>
    <col min="13037" max="13037" customWidth="1" width="11.42578125"/>
    <col min="13038" max="13038" customWidth="1" width="11.42578125"/>
    <col min="13039" max="13039" customWidth="1" width="11.42578125"/>
    <col min="13040" max="13040" customWidth="1" width="11.42578125"/>
    <col min="13041" max="13041" customWidth="1" width="11.42578125"/>
    <col min="13042" max="13042" customWidth="1" width="11.42578125"/>
    <col min="13043" max="13043" customWidth="1" width="11.42578125"/>
    <col min="13044" max="13044" customWidth="1" width="11.42578125"/>
    <col min="13045" max="13045" customWidth="1" width="11.42578125"/>
    <col min="13046" max="13046" customWidth="1" width="11.42578125"/>
    <col min="13047" max="13047" customWidth="1" width="11.42578125"/>
    <col min="13048" max="13048" customWidth="1" width="11.42578125"/>
    <col min="13049" max="13049" customWidth="1" width="11.42578125"/>
    <col min="13050" max="13050" customWidth="1" width="11.42578125"/>
    <col min="13051" max="13051" customWidth="1" width="11.42578125"/>
    <col min="13052" max="13052" customWidth="1" width="11.42578125"/>
    <col min="13053" max="13053" customWidth="1" width="11.42578125"/>
    <col min="13054" max="13054" customWidth="1" width="11.42578125"/>
    <col min="13055" max="13055" customWidth="1" width="11.42578125"/>
    <col min="13056" max="13056" customWidth="1" width="11.42578125"/>
    <col min="13057" max="13057" customWidth="1" width="11.42578125"/>
    <col min="13058" max="13058" customWidth="1" width="11.42578125"/>
    <col min="13059" max="13059" customWidth="1" width="11.42578125"/>
    <col min="13060" max="13060" customWidth="1" width="11.42578125"/>
    <col min="13061" max="13061" customWidth="1" width="11.42578125"/>
    <col min="13062" max="13062" customWidth="1" width="11.42578125"/>
    <col min="13063" max="13063" customWidth="1" width="11.42578125"/>
    <col min="13064" max="13064" customWidth="1" width="11.42578125"/>
    <col min="13065" max="13065" customWidth="1" width="11.42578125"/>
    <col min="13066" max="13066" customWidth="1" width="11.42578125"/>
    <col min="13067" max="13067" customWidth="1" width="11.42578125"/>
    <col min="13068" max="13068" customWidth="1" width="11.42578125"/>
    <col min="13069" max="13069" customWidth="1" width="11.42578125"/>
    <col min="13070" max="13070" customWidth="1" width="11.42578125"/>
    <col min="13071" max="13071" customWidth="1" width="11.42578125"/>
    <col min="13072" max="13072" customWidth="1" width="11.42578125"/>
    <col min="13073" max="13073" customWidth="1" width="11.42578125"/>
    <col min="13074" max="13074" customWidth="1" width="11.42578125"/>
    <col min="13075" max="13075" customWidth="1" width="11.42578125"/>
    <col min="13076" max="13076" customWidth="1" width="11.42578125"/>
    <col min="13077" max="13077" customWidth="1" width="11.42578125"/>
    <col min="13078" max="13078" customWidth="1" width="11.42578125"/>
    <col min="13079" max="13079" customWidth="1" width="11.42578125"/>
    <col min="13080" max="13080" customWidth="1" width="11.42578125"/>
    <col min="13081" max="13081" customWidth="1" width="11.42578125"/>
    <col min="13082" max="13082" customWidth="1" width="11.42578125"/>
    <col min="13083" max="13083" customWidth="1" width="11.42578125"/>
    <col min="13084" max="13084" customWidth="1" width="11.42578125"/>
    <col min="13085" max="13085" customWidth="1" width="11.42578125"/>
    <col min="13086" max="13086" customWidth="1" width="11.42578125"/>
    <col min="13087" max="13087" customWidth="1" width="11.42578125"/>
    <col min="13088" max="13088" customWidth="1" width="11.42578125"/>
    <col min="13089" max="13089" customWidth="1" width="11.42578125"/>
    <col min="13090" max="13090" customWidth="1" width="11.42578125"/>
    <col min="13091" max="13091" customWidth="1" width="11.42578125"/>
    <col min="13092" max="13092" customWidth="1" width="11.42578125"/>
    <col min="13093" max="13093" customWidth="1" width="11.42578125"/>
    <col min="13094" max="13094" customWidth="1" width="11.42578125"/>
    <col min="13095" max="13095" customWidth="1" width="11.42578125"/>
    <col min="13096" max="13096" customWidth="1" width="11.42578125"/>
    <col min="13097" max="13097" customWidth="1" width="11.42578125"/>
    <col min="13098" max="13098" customWidth="1" width="11.42578125"/>
    <col min="13099" max="13099" customWidth="1" width="11.42578125"/>
    <col min="13100" max="13100" customWidth="1" width="11.42578125"/>
    <col min="13101" max="13101" customWidth="1" width="11.42578125"/>
    <col min="13102" max="13102" customWidth="1" width="11.42578125"/>
    <col min="13103" max="13103" customWidth="1" width="11.42578125"/>
    <col min="13104" max="13104" customWidth="1" width="11.42578125"/>
    <col min="13105" max="13105" customWidth="1" width="11.42578125"/>
    <col min="13106" max="13106" customWidth="1" width="11.42578125"/>
    <col min="13107" max="13107" customWidth="1" width="11.42578125"/>
    <col min="13108" max="13108" customWidth="1" width="11.42578125"/>
    <col min="13109" max="13109" customWidth="1" width="11.42578125"/>
    <col min="13110" max="13110" customWidth="1" width="11.42578125"/>
    <col min="13111" max="13111" customWidth="1" width="11.42578125"/>
    <col min="13112" max="13112" customWidth="1" width="11.42578125"/>
    <col min="13113" max="13113" customWidth="1" width="11.42578125"/>
    <col min="13114" max="13114" customWidth="1" width="11.42578125"/>
    <col min="13115" max="13115" customWidth="1" width="11.42578125"/>
    <col min="13116" max="13116" customWidth="1" width="11.42578125"/>
    <col min="13117" max="13117" customWidth="1" width="11.42578125"/>
    <col min="13118" max="13118" customWidth="1" width="11.42578125"/>
    <col min="13119" max="13119" customWidth="1" width="11.42578125"/>
    <col min="13120" max="13120" customWidth="1" width="11.42578125"/>
    <col min="13121" max="13121" customWidth="1" width="11.42578125"/>
    <col min="13122" max="13122" customWidth="1" width="11.42578125"/>
    <col min="13123" max="13123" customWidth="1" width="11.42578125"/>
    <col min="13124" max="13124" customWidth="1" width="11.42578125"/>
    <col min="13125" max="13125" customWidth="1" width="11.42578125"/>
    <col min="13126" max="13126" customWidth="1" width="11.42578125"/>
    <col min="13127" max="13127" customWidth="1" width="11.42578125"/>
    <col min="13128" max="13128" customWidth="1" width="11.42578125"/>
    <col min="13129" max="13129" customWidth="1" width="11.42578125"/>
    <col min="13130" max="13130" customWidth="1" width="11.42578125"/>
    <col min="13131" max="13131" customWidth="1" width="11.42578125"/>
    <col min="13132" max="13132" customWidth="1" width="11.42578125"/>
    <col min="13133" max="13133" customWidth="1" width="11.42578125"/>
    <col min="13134" max="13134" customWidth="1" width="11.42578125"/>
    <col min="13135" max="13135" customWidth="1" width="11.42578125"/>
    <col min="13136" max="13136" customWidth="1" width="11.42578125"/>
    <col min="13137" max="13137" customWidth="1" width="11.42578125"/>
    <col min="13138" max="13138" customWidth="1" width="11.42578125"/>
    <col min="13139" max="13139" customWidth="1" width="11.42578125"/>
    <col min="13140" max="13140" customWidth="1" width="11.42578125"/>
    <col min="13141" max="13141" customWidth="1" width="11.42578125"/>
    <col min="13142" max="13142" customWidth="1" width="11.42578125"/>
    <col min="13143" max="13143" customWidth="1" width="11.42578125"/>
    <col min="13144" max="13144" customWidth="1" width="11.42578125"/>
    <col min="13145" max="13145" customWidth="1" width="11.42578125"/>
    <col min="13146" max="13146" customWidth="1" width="11.42578125"/>
    <col min="13147" max="13147" customWidth="1" width="11.42578125"/>
    <col min="13148" max="13148" customWidth="1" width="11.42578125"/>
    <col min="13149" max="13149" customWidth="1" width="11.42578125"/>
    <col min="13150" max="13150" customWidth="1" width="11.42578125"/>
    <col min="13151" max="13151" customWidth="1" width="11.42578125"/>
    <col min="13152" max="13152" customWidth="1" width="11.42578125"/>
    <col min="13153" max="13153" customWidth="1" width="11.42578125"/>
    <col min="13154" max="13154" customWidth="1" width="11.42578125"/>
    <col min="13155" max="13155" customWidth="1" width="11.42578125"/>
    <col min="13156" max="13156" customWidth="1" width="11.42578125"/>
    <col min="13157" max="13157" customWidth="1" width="11.42578125"/>
    <col min="13158" max="13158" customWidth="1" width="11.42578125"/>
    <col min="13159" max="13159" customWidth="1" width="11.42578125"/>
    <col min="13160" max="13160" customWidth="1" width="11.42578125"/>
    <col min="13161" max="13161" customWidth="1" width="11.42578125"/>
    <col min="13162" max="13162" customWidth="1" width="11.42578125"/>
    <col min="13163" max="13163" customWidth="1" width="11.42578125"/>
    <col min="13164" max="13164" customWidth="1" width="11.42578125"/>
    <col min="13165" max="13165" customWidth="1" width="11.42578125"/>
    <col min="13166" max="13166" customWidth="1" width="11.42578125"/>
    <col min="13167" max="13167" customWidth="1" width="11.42578125"/>
    <col min="13168" max="13168" customWidth="1" width="11.42578125"/>
    <col min="13169" max="13169" customWidth="1" width="11.42578125"/>
    <col min="13170" max="13170" customWidth="1" width="11.42578125"/>
    <col min="13171" max="13171" customWidth="1" width="11.42578125"/>
    <col min="13172" max="13172" customWidth="1" width="11.42578125"/>
    <col min="13173" max="13173" customWidth="1" width="11.42578125"/>
    <col min="13174" max="13174" customWidth="1" width="11.42578125"/>
    <col min="13175" max="13175" customWidth="1" width="11.42578125"/>
    <col min="13176" max="13176" customWidth="1" width="11.42578125"/>
    <col min="13177" max="13177" customWidth="1" width="11.42578125"/>
    <col min="13178" max="13178" customWidth="1" width="11.42578125"/>
    <col min="13179" max="13179" customWidth="1" width="11.42578125"/>
    <col min="13180" max="13180" customWidth="1" width="11.42578125"/>
    <col min="13181" max="13181" customWidth="1" width="11.42578125"/>
    <col min="13182" max="13182" customWidth="1" width="11.42578125"/>
    <col min="13183" max="13183" customWidth="1" width="11.42578125"/>
    <col min="13184" max="13184" customWidth="1" width="11.42578125"/>
    <col min="13185" max="13185" customWidth="1" width="11.42578125"/>
    <col min="13186" max="13186" customWidth="1" width="11.42578125"/>
    <col min="13187" max="13187" customWidth="1" width="11.42578125"/>
    <col min="13188" max="13188" customWidth="1" width="11.42578125"/>
    <col min="13189" max="13189" customWidth="1" width="11.42578125"/>
    <col min="13190" max="13190" customWidth="1" width="11.42578125"/>
    <col min="13191" max="13191" customWidth="1" width="11.42578125"/>
    <col min="13192" max="13192" customWidth="1" width="11.42578125"/>
    <col min="13193" max="13193" customWidth="1" width="11.42578125"/>
    <col min="13194" max="13194" customWidth="1" width="11.42578125"/>
    <col min="13195" max="13195" customWidth="1" width="11.42578125"/>
    <col min="13196" max="13196" customWidth="1" width="11.42578125"/>
    <col min="13197" max="13197" customWidth="1" width="11.42578125"/>
    <col min="13198" max="13198" customWidth="1" width="11.42578125"/>
    <col min="13199" max="13199" customWidth="1" width="11.42578125"/>
    <col min="13200" max="13200" customWidth="1" width="11.42578125"/>
    <col min="13201" max="13201" customWidth="1" width="11.42578125"/>
    <col min="13202" max="13202" customWidth="1" width="11.42578125"/>
    <col min="13203" max="13203" customWidth="1" width="11.42578125"/>
    <col min="13204" max="13204" customWidth="1" width="11.42578125"/>
    <col min="13205" max="13205" customWidth="1" width="11.42578125"/>
    <col min="13206" max="13206" customWidth="1" width="11.42578125"/>
    <col min="13207" max="13207" customWidth="1" width="11.42578125"/>
    <col min="13208" max="13208" customWidth="1" width="11.42578125"/>
    <col min="13209" max="13209" customWidth="1" width="11.42578125"/>
    <col min="13210" max="13210" customWidth="1" width="11.42578125"/>
    <col min="13211" max="13211" customWidth="1" width="11.42578125"/>
    <col min="13212" max="13212" customWidth="1" width="11.42578125"/>
    <col min="13213" max="13213" customWidth="1" width="11.42578125"/>
    <col min="13214" max="13214" customWidth="1" width="11.42578125"/>
    <col min="13215" max="13215" customWidth="1" width="11.42578125"/>
    <col min="13216" max="13216" customWidth="1" width="11.42578125"/>
    <col min="13217" max="13217" customWidth="1" width="11.42578125"/>
    <col min="13218" max="13218" customWidth="1" width="11.42578125"/>
    <col min="13219" max="13219" customWidth="1" width="11.42578125"/>
    <col min="13220" max="13220" customWidth="1" width="11.42578125"/>
    <col min="13221" max="13221" customWidth="1" width="11.42578125"/>
    <col min="13222" max="13222" customWidth="1" width="11.42578125"/>
    <col min="13223" max="13223" customWidth="1" width="11.42578125"/>
    <col min="13224" max="13224" customWidth="1" width="11.42578125"/>
    <col min="13225" max="13225" customWidth="1" width="11.42578125"/>
    <col min="13226" max="13226" customWidth="1" width="11.42578125"/>
    <col min="13227" max="13227" customWidth="1" width="11.42578125"/>
    <col min="13228" max="13228" customWidth="1" width="11.42578125"/>
    <col min="13229" max="13229" customWidth="1" width="11.42578125"/>
    <col min="13230" max="13230" customWidth="1" width="11.42578125"/>
    <col min="13231" max="13231" customWidth="1" width="11.42578125"/>
    <col min="13232" max="13232" customWidth="1" width="11.42578125"/>
    <col min="13233" max="13233" customWidth="1" width="11.42578125"/>
    <col min="13234" max="13234" customWidth="1" width="11.42578125"/>
    <col min="13235" max="13235" customWidth="1" width="11.42578125"/>
    <col min="13236" max="13236" customWidth="1" width="11.42578125"/>
    <col min="13237" max="13237" customWidth="1" width="11.42578125"/>
    <col min="13238" max="13238" customWidth="1" width="11.42578125"/>
    <col min="13239" max="13239" customWidth="1" width="11.42578125"/>
    <col min="13240" max="13240" customWidth="1" width="11.42578125"/>
    <col min="13241" max="13241" customWidth="1" width="11.42578125"/>
    <col min="13242" max="13242" customWidth="1" width="11.42578125"/>
    <col min="13243" max="13243" customWidth="1" width="11.42578125"/>
    <col min="13244" max="13244" customWidth="1" width="11.42578125"/>
    <col min="13245" max="13245" customWidth="1" width="11.42578125"/>
    <col min="13246" max="13246" customWidth="1" width="11.42578125"/>
    <col min="13247" max="13247" customWidth="1" width="11.42578125"/>
    <col min="13248" max="13248" customWidth="1" width="11.42578125"/>
    <col min="13249" max="13249" customWidth="1" width="11.42578125"/>
    <col min="13250" max="13250" customWidth="1" width="11.42578125"/>
    <col min="13251" max="13251" customWidth="1" width="11.42578125"/>
    <col min="13252" max="13252" customWidth="1" width="11.42578125"/>
    <col min="13253" max="13253" customWidth="1" width="11.42578125"/>
    <col min="13254" max="13254" customWidth="1" width="11.42578125"/>
    <col min="13255" max="13255" customWidth="1" width="11.42578125"/>
    <col min="13256" max="13256" customWidth="1" width="11.42578125"/>
    <col min="13257" max="13257" customWidth="1" width="11.42578125"/>
    <col min="13258" max="13258" customWidth="1" width="11.42578125"/>
    <col min="13259" max="13259" customWidth="1" width="11.42578125"/>
    <col min="13260" max="13260" customWidth="1" width="11.42578125"/>
    <col min="13261" max="13261" customWidth="1" width="11.42578125"/>
    <col min="13262" max="13262" customWidth="1" width="11.42578125"/>
    <col min="13263" max="13263" customWidth="1" width="11.42578125"/>
    <col min="13264" max="13264" customWidth="1" width="11.42578125"/>
    <col min="13265" max="13265" customWidth="1" width="11.42578125"/>
    <col min="13266" max="13266" customWidth="1" width="11.42578125"/>
    <col min="13267" max="13267" customWidth="1" width="11.42578125"/>
    <col min="13268" max="13268" customWidth="1" width="11.42578125"/>
    <col min="13269" max="13269" customWidth="1" width="11.42578125"/>
    <col min="13270" max="13270" customWidth="1" width="11.42578125"/>
    <col min="13271" max="13271" customWidth="1" width="11.42578125"/>
    <col min="13272" max="13272" customWidth="1" width="11.42578125"/>
    <col min="13273" max="13273" customWidth="1" width="11.42578125"/>
    <col min="13274" max="13274" customWidth="1" width="11.42578125"/>
    <col min="13275" max="13275" customWidth="1" width="11.42578125"/>
    <col min="13276" max="13276" customWidth="1" width="11.42578125"/>
    <col min="13277" max="13277" customWidth="1" width="11.42578125"/>
    <col min="13278" max="13278" customWidth="1" width="11.42578125"/>
    <col min="13279" max="13279" customWidth="1" width="11.42578125"/>
    <col min="13280" max="13280" customWidth="1" width="11.42578125"/>
    <col min="13281" max="13281" customWidth="1" width="11.42578125"/>
    <col min="13282" max="13282" customWidth="1" width="11.42578125"/>
    <col min="13283" max="13283" customWidth="1" width="11.42578125"/>
    <col min="13284" max="13284" customWidth="1" width="11.42578125"/>
    <col min="13285" max="13285" customWidth="1" width="11.42578125"/>
    <col min="13286" max="13286" customWidth="1" width="11.42578125"/>
    <col min="13287" max="13287" customWidth="1" width="11.42578125"/>
    <col min="13288" max="13288" customWidth="1" width="11.42578125"/>
    <col min="13289" max="13289" customWidth="1" width="11.42578125"/>
    <col min="13290" max="13290" customWidth="1" width="11.42578125"/>
    <col min="13291" max="13291" customWidth="1" width="11.42578125"/>
    <col min="13292" max="13292" customWidth="1" width="11.42578125"/>
    <col min="13293" max="13293" customWidth="1" width="11.42578125"/>
    <col min="13294" max="13294" customWidth="1" width="11.42578125"/>
    <col min="13295" max="13295" customWidth="1" width="11.42578125"/>
    <col min="13296" max="13296" customWidth="1" width="11.42578125"/>
    <col min="13297" max="13297" customWidth="1" width="11.42578125"/>
    <col min="13298" max="13298" customWidth="1" width="11.42578125"/>
    <col min="13299" max="13299" customWidth="1" width="11.42578125"/>
    <col min="13300" max="13300" customWidth="1" width="11.42578125"/>
    <col min="13301" max="13301" customWidth="1" width="11.42578125"/>
    <col min="13302" max="13302" customWidth="1" width="11.42578125"/>
    <col min="13303" max="13303" customWidth="1" width="11.42578125"/>
    <col min="13304" max="13304" customWidth="1" width="11.42578125"/>
    <col min="13305" max="13305" customWidth="1" width="11.42578125"/>
    <col min="13306" max="13306" customWidth="1" width="11.42578125"/>
    <col min="13307" max="13307" customWidth="1" width="11.42578125"/>
    <col min="13308" max="13308" customWidth="1" width="11.42578125"/>
    <col min="13309" max="13309" customWidth="1" width="11.42578125"/>
    <col min="13310" max="13310" customWidth="1" width="11.42578125"/>
    <col min="13311" max="13311" customWidth="1" width="11.42578125"/>
    <col min="13312" max="13312" customWidth="1" width="11.42578125"/>
    <col min="13313" max="13313" customWidth="1" width="11.42578125"/>
    <col min="13314" max="13314" customWidth="1" width="11.42578125"/>
    <col min="13315" max="13315" customWidth="1" width="11.42578125"/>
    <col min="13316" max="13316" customWidth="1" width="11.42578125"/>
    <col min="13317" max="13317" customWidth="1" width="11.42578125"/>
    <col min="13318" max="13318" customWidth="1" width="11.42578125"/>
    <col min="13319" max="13319" customWidth="1" width="11.42578125"/>
    <col min="13320" max="13320" customWidth="1" width="11.42578125"/>
    <col min="13321" max="13321" customWidth="1" width="11.42578125"/>
    <col min="13322" max="13322" customWidth="1" width="11.42578125"/>
    <col min="13323" max="13323" customWidth="1" width="11.42578125"/>
    <col min="13324" max="13324" customWidth="1" width="11.42578125"/>
    <col min="13325" max="13325" customWidth="1" width="11.42578125"/>
    <col min="13326" max="13326" customWidth="1" width="11.42578125"/>
    <col min="13327" max="13327" customWidth="1" width="11.42578125"/>
    <col min="13328" max="13328" customWidth="1" width="11.42578125"/>
    <col min="13329" max="13329" customWidth="1" width="11.42578125"/>
    <col min="13330" max="13330" customWidth="1" width="11.42578125"/>
    <col min="13331" max="13331" customWidth="1" width="11.42578125"/>
    <col min="13332" max="13332" customWidth="1" width="11.42578125"/>
    <col min="13333" max="13333" customWidth="1" width="11.42578125"/>
    <col min="13334" max="13334" customWidth="1" width="11.42578125"/>
    <col min="13335" max="13335" customWidth="1" width="11.42578125"/>
    <col min="13336" max="13336" customWidth="1" width="11.42578125"/>
    <col min="13337" max="13337" customWidth="1" width="11.42578125"/>
    <col min="13338" max="13338" customWidth="1" width="11.42578125"/>
    <col min="13339" max="13339" customWidth="1" width="11.42578125"/>
    <col min="13340" max="13340" customWidth="1" width="11.42578125"/>
    <col min="13341" max="13341" customWidth="1" width="11.42578125"/>
    <col min="13342" max="13342" customWidth="1" width="11.42578125"/>
    <col min="13343" max="13343" customWidth="1" width="11.42578125"/>
    <col min="13344" max="13344" customWidth="1" width="11.42578125"/>
    <col min="13345" max="13345" customWidth="1" width="11.42578125"/>
    <col min="13346" max="13346" customWidth="1" width="11.42578125"/>
    <col min="13347" max="13347" customWidth="1" width="11.42578125"/>
    <col min="13348" max="13348" customWidth="1" width="11.42578125"/>
    <col min="13349" max="13349" customWidth="1" width="11.42578125"/>
    <col min="13350" max="13350" customWidth="1" width="11.42578125"/>
    <col min="13351" max="13351" customWidth="1" width="11.42578125"/>
    <col min="13352" max="13352" customWidth="1" width="11.42578125"/>
    <col min="13353" max="13353" customWidth="1" width="11.42578125"/>
    <col min="13354" max="13354" customWidth="1" width="11.42578125"/>
    <col min="13355" max="13355" customWidth="1" width="11.42578125"/>
    <col min="13356" max="13356" customWidth="1" width="11.42578125"/>
    <col min="13357" max="13357" customWidth="1" width="11.42578125"/>
    <col min="13358" max="13358" customWidth="1" width="11.42578125"/>
    <col min="13359" max="13359" customWidth="1" width="11.42578125"/>
    <col min="13360" max="13360" customWidth="1" width="11.42578125"/>
    <col min="13361" max="13361" customWidth="1" width="11.42578125"/>
    <col min="13362" max="13362" customWidth="1" width="11.42578125"/>
    <col min="13363" max="13363" customWidth="1" width="11.42578125"/>
    <col min="13364" max="13364" customWidth="1" width="11.42578125"/>
    <col min="13365" max="13365" customWidth="1" width="11.42578125"/>
    <col min="13366" max="13366" customWidth="1" width="11.42578125"/>
    <col min="13367" max="13367" customWidth="1" width="11.42578125"/>
    <col min="13368" max="13368" customWidth="1" width="11.42578125"/>
    <col min="13369" max="13369" customWidth="1" width="11.42578125"/>
    <col min="13370" max="13370" customWidth="1" width="11.42578125"/>
    <col min="13371" max="13371" customWidth="1" width="11.42578125"/>
    <col min="13372" max="13372" customWidth="1" width="11.42578125"/>
    <col min="13373" max="13373" customWidth="1" width="11.42578125"/>
    <col min="13374" max="13374" customWidth="1" width="11.42578125"/>
    <col min="13375" max="13375" customWidth="1" width="11.42578125"/>
    <col min="13376" max="13376" customWidth="1" width="11.42578125"/>
    <col min="13377" max="13377" customWidth="1" width="11.42578125"/>
    <col min="13378" max="13378" customWidth="1" width="11.42578125"/>
    <col min="13379" max="13379" customWidth="1" width="11.42578125"/>
    <col min="13380" max="13380" customWidth="1" width="11.42578125"/>
    <col min="13381" max="13381" customWidth="1" width="11.42578125"/>
    <col min="13382" max="13382" customWidth="1" width="11.42578125"/>
    <col min="13383" max="13383" customWidth="1" width="11.42578125"/>
    <col min="13384" max="13384" customWidth="1" width="11.42578125"/>
    <col min="13385" max="13385" customWidth="1" width="11.42578125"/>
    <col min="13386" max="13386" customWidth="1" width="11.42578125"/>
    <col min="13387" max="13387" customWidth="1" width="11.42578125"/>
    <col min="13388" max="13388" customWidth="1" width="11.42578125"/>
    <col min="13389" max="13389" customWidth="1" width="11.42578125"/>
    <col min="13390" max="13390" customWidth="1" width="11.42578125"/>
    <col min="13391" max="13391" customWidth="1" width="11.42578125"/>
    <col min="13392" max="13392" customWidth="1" width="11.42578125"/>
    <col min="13393" max="13393" customWidth="1" width="11.42578125"/>
    <col min="13394" max="13394" customWidth="1" width="11.42578125"/>
    <col min="13395" max="13395" customWidth="1" width="11.42578125"/>
    <col min="13396" max="13396" customWidth="1" width="11.42578125"/>
    <col min="13397" max="13397" customWidth="1" width="11.42578125"/>
    <col min="13398" max="13398" customWidth="1" width="11.42578125"/>
    <col min="13399" max="13399" customWidth="1" width="11.42578125"/>
    <col min="13400" max="13400" customWidth="1" width="11.42578125"/>
    <col min="13401" max="13401" customWidth="1" width="11.42578125"/>
    <col min="13402" max="13402" customWidth="1" width="11.42578125"/>
    <col min="13403" max="13403" customWidth="1" width="11.42578125"/>
    <col min="13404" max="13404" customWidth="1" width="11.42578125"/>
    <col min="13405" max="13405" customWidth="1" width="11.42578125"/>
    <col min="13406" max="13406" customWidth="1" width="11.42578125"/>
    <col min="13407" max="13407" customWidth="1" width="11.42578125"/>
    <col min="13408" max="13408" customWidth="1" width="11.42578125"/>
    <col min="13409" max="13409" customWidth="1" width="11.42578125"/>
    <col min="13410" max="13410" customWidth="1" width="11.42578125"/>
    <col min="13411" max="13411" customWidth="1" width="11.42578125"/>
    <col min="13412" max="13412" customWidth="1" width="11.42578125"/>
    <col min="13413" max="13413" customWidth="1" width="11.42578125"/>
    <col min="13414" max="13414" customWidth="1" width="11.42578125"/>
    <col min="13415" max="13415" customWidth="1" width="11.42578125"/>
    <col min="13416" max="13416" customWidth="1" width="11.42578125"/>
    <col min="13417" max="13417" customWidth="1" width="11.42578125"/>
    <col min="13418" max="13418" customWidth="1" width="11.42578125"/>
    <col min="13419" max="13419" customWidth="1" width="11.42578125"/>
    <col min="13420" max="13420" customWidth="1" width="11.42578125"/>
    <col min="13421" max="13421" customWidth="1" width="11.42578125"/>
    <col min="13422" max="13422" customWidth="1" width="11.42578125"/>
    <col min="13423" max="13423" customWidth="1" width="11.42578125"/>
    <col min="13424" max="13424" customWidth="1" width="11.42578125"/>
    <col min="13425" max="13425" customWidth="1" width="11.42578125"/>
    <col min="13426" max="13426" customWidth="1" width="11.42578125"/>
    <col min="13427" max="13427" customWidth="1" width="11.42578125"/>
    <col min="13428" max="13428" customWidth="1" width="11.42578125"/>
    <col min="13429" max="13429" customWidth="1" width="11.42578125"/>
    <col min="13430" max="13430" customWidth="1" width="11.42578125"/>
    <col min="13431" max="13431" customWidth="1" width="11.42578125"/>
    <col min="13432" max="13432" customWidth="1" width="11.42578125"/>
    <col min="13433" max="13433" customWidth="1" width="11.42578125"/>
    <col min="13434" max="13434" customWidth="1" width="11.42578125"/>
    <col min="13435" max="13435" customWidth="1" width="11.42578125"/>
    <col min="13436" max="13436" customWidth="1" width="11.42578125"/>
    <col min="13437" max="13437" customWidth="1" width="11.42578125"/>
    <col min="13438" max="13438" customWidth="1" width="11.42578125"/>
    <col min="13439" max="13439" customWidth="1" width="11.42578125"/>
    <col min="13440" max="13440" customWidth="1" width="11.42578125"/>
    <col min="13441" max="13441" customWidth="1" width="11.42578125"/>
    <col min="13442" max="13442" customWidth="1" width="11.42578125"/>
    <col min="13443" max="13443" customWidth="1" width="11.42578125"/>
    <col min="13444" max="13444" customWidth="1" width="11.42578125"/>
    <col min="13445" max="13445" customWidth="1" width="11.42578125"/>
    <col min="13446" max="13446" customWidth="1" width="11.42578125"/>
    <col min="13447" max="13447" customWidth="1" width="11.42578125"/>
    <col min="13448" max="13448" customWidth="1" width="11.42578125"/>
    <col min="13449" max="13449" customWidth="1" width="11.42578125"/>
    <col min="13450" max="13450" customWidth="1" width="11.42578125"/>
    <col min="13451" max="13451" customWidth="1" width="11.42578125"/>
    <col min="13452" max="13452" customWidth="1" width="11.42578125"/>
    <col min="13453" max="13453" customWidth="1" width="11.42578125"/>
    <col min="13454" max="13454" customWidth="1" width="11.42578125"/>
    <col min="13455" max="13455" customWidth="1" width="11.42578125"/>
    <col min="13456" max="13456" customWidth="1" width="11.42578125"/>
    <col min="13457" max="13457" customWidth="1" width="11.42578125"/>
    <col min="13458" max="13458" customWidth="1" width="11.42578125"/>
    <col min="13459" max="13459" customWidth="1" width="11.42578125"/>
    <col min="13460" max="13460" customWidth="1" width="11.42578125"/>
    <col min="13461" max="13461" customWidth="1" width="11.42578125"/>
    <col min="13462" max="13462" customWidth="1" width="11.42578125"/>
    <col min="13463" max="13463" customWidth="1" width="11.42578125"/>
    <col min="13464" max="13464" customWidth="1" width="11.42578125"/>
    <col min="13465" max="13465" customWidth="1" width="11.42578125"/>
    <col min="13466" max="13466" customWidth="1" width="11.42578125"/>
    <col min="13467" max="13467" customWidth="1" width="11.42578125"/>
    <col min="13468" max="13468" customWidth="1" width="11.42578125"/>
    <col min="13469" max="13469" customWidth="1" width="11.42578125"/>
    <col min="13470" max="13470" customWidth="1" width="11.42578125"/>
    <col min="13471" max="13471" customWidth="1" width="11.42578125"/>
    <col min="13472" max="13472" customWidth="1" width="11.42578125"/>
    <col min="13473" max="13473" customWidth="1" width="11.42578125"/>
    <col min="13474" max="13474" customWidth="1" width="11.42578125"/>
    <col min="13475" max="13475" customWidth="1" width="11.42578125"/>
    <col min="13476" max="13476" customWidth="1" width="11.42578125"/>
    <col min="13477" max="13477" customWidth="1" width="11.42578125"/>
    <col min="13478" max="13478" customWidth="1" width="11.42578125"/>
    <col min="13479" max="13479" customWidth="1" width="11.42578125"/>
    <col min="13480" max="13480" customWidth="1" width="11.42578125"/>
    <col min="13481" max="13481" customWidth="1" width="11.42578125"/>
    <col min="13482" max="13482" customWidth="1" width="11.42578125"/>
    <col min="13483" max="13483" customWidth="1" width="11.42578125"/>
    <col min="13484" max="13484" customWidth="1" width="11.42578125"/>
    <col min="13485" max="13485" customWidth="1" width="11.42578125"/>
    <col min="13486" max="13486" customWidth="1" width="11.42578125"/>
    <col min="13487" max="13487" customWidth="1" width="11.42578125"/>
    <col min="13488" max="13488" customWidth="1" width="11.42578125"/>
    <col min="13489" max="13489" customWidth="1" width="11.42578125"/>
    <col min="13490" max="13490" customWidth="1" width="11.42578125"/>
    <col min="13491" max="13491" customWidth="1" width="11.42578125"/>
    <col min="13492" max="13492" customWidth="1" width="11.42578125"/>
    <col min="13493" max="13493" customWidth="1" width="11.42578125"/>
    <col min="13494" max="13494" customWidth="1" width="11.42578125"/>
    <col min="13495" max="13495" customWidth="1" width="11.42578125"/>
    <col min="13496" max="13496" customWidth="1" width="11.42578125"/>
    <col min="13497" max="13497" customWidth="1" width="11.42578125"/>
    <col min="13498" max="13498" customWidth="1" width="11.42578125"/>
    <col min="13499" max="13499" customWidth="1" width="11.42578125"/>
    <col min="13500" max="13500" customWidth="1" width="11.42578125"/>
    <col min="13501" max="13501" customWidth="1" width="11.42578125"/>
    <col min="13502" max="13502" customWidth="1" width="11.42578125"/>
    <col min="13503" max="13503" customWidth="1" width="11.42578125"/>
    <col min="13504" max="13504" customWidth="1" width="11.42578125"/>
    <col min="13505" max="13505" customWidth="1" width="11.42578125"/>
    <col min="13506" max="13506" customWidth="1" width="11.42578125"/>
    <col min="13507" max="13507" customWidth="1" width="11.42578125"/>
    <col min="13508" max="13508" customWidth="1" width="11.42578125"/>
    <col min="13509" max="13509" customWidth="1" width="11.42578125"/>
    <col min="13510" max="13510" customWidth="1" width="11.42578125"/>
    <col min="13511" max="13511" customWidth="1" width="11.42578125"/>
    <col min="13512" max="13512" customWidth="1" width="11.42578125"/>
    <col min="13513" max="13513" customWidth="1" width="11.42578125"/>
    <col min="13514" max="13514" customWidth="1" width="11.42578125"/>
    <col min="13515" max="13515" customWidth="1" width="11.42578125"/>
    <col min="13516" max="13516" customWidth="1" width="11.42578125"/>
    <col min="13517" max="13517" customWidth="1" width="11.42578125"/>
    <col min="13518" max="13518" customWidth="1" width="11.42578125"/>
    <col min="13519" max="13519" customWidth="1" width="11.42578125"/>
    <col min="13520" max="13520" customWidth="1" width="11.42578125"/>
    <col min="13521" max="13521" customWidth="1" width="11.42578125"/>
    <col min="13522" max="13522" customWidth="1" width="11.42578125"/>
    <col min="13523" max="13523" customWidth="1" width="11.42578125"/>
    <col min="13524" max="13524" customWidth="1" width="11.42578125"/>
    <col min="13525" max="13525" customWidth="1" width="11.42578125"/>
    <col min="13526" max="13526" customWidth="1" width="11.42578125"/>
    <col min="13527" max="13527" customWidth="1" width="11.42578125"/>
    <col min="13528" max="13528" customWidth="1" width="11.42578125"/>
    <col min="13529" max="13529" customWidth="1" width="11.42578125"/>
    <col min="13530" max="13530" customWidth="1" width="11.42578125"/>
    <col min="13531" max="13531" customWidth="1" width="11.42578125"/>
    <col min="13532" max="13532" customWidth="1" width="11.42578125"/>
    <col min="13533" max="13533" customWidth="1" width="11.42578125"/>
    <col min="13534" max="13534" customWidth="1" width="11.42578125"/>
    <col min="13535" max="13535" customWidth="1" width="11.42578125"/>
    <col min="13536" max="13536" customWidth="1" width="11.42578125"/>
    <col min="13537" max="13537" customWidth="1" width="11.42578125"/>
    <col min="13538" max="13538" customWidth="1" width="11.42578125"/>
    <col min="13539" max="13539" customWidth="1" width="11.42578125"/>
    <col min="13540" max="13540" customWidth="1" width="11.42578125"/>
    <col min="13541" max="13541" customWidth="1" width="11.42578125"/>
    <col min="13542" max="13542" customWidth="1" width="11.42578125"/>
    <col min="13543" max="13543" customWidth="1" width="11.42578125"/>
    <col min="13544" max="13544" customWidth="1" width="11.42578125"/>
    <col min="13545" max="13545" customWidth="1" width="11.42578125"/>
    <col min="13546" max="13546" customWidth="1" width="11.42578125"/>
    <col min="13547" max="13547" customWidth="1" width="11.42578125"/>
    <col min="13548" max="13548" customWidth="1" width="11.42578125"/>
    <col min="13549" max="13549" customWidth="1" width="11.42578125"/>
    <col min="13550" max="13550" customWidth="1" width="11.42578125"/>
    <col min="13551" max="13551" customWidth="1" width="11.42578125"/>
    <col min="13552" max="13552" customWidth="1" width="11.42578125"/>
    <col min="13553" max="13553" customWidth="1" width="11.42578125"/>
    <col min="13554" max="13554" customWidth="1" width="11.42578125"/>
    <col min="13555" max="13555" customWidth="1" width="11.42578125"/>
    <col min="13556" max="13556" customWidth="1" width="11.42578125"/>
    <col min="13557" max="13557" customWidth="1" width="11.42578125"/>
    <col min="13558" max="13558" customWidth="1" width="11.42578125"/>
    <col min="13559" max="13559" customWidth="1" width="11.42578125"/>
    <col min="13560" max="13560" customWidth="1" width="11.42578125"/>
    <col min="13561" max="13561" customWidth="1" width="11.42578125"/>
    <col min="13562" max="13562" customWidth="1" width="11.42578125"/>
    <col min="13563" max="13563" customWidth="1" width="11.42578125"/>
    <col min="13564" max="13564" customWidth="1" width="11.42578125"/>
    <col min="13565" max="13565" customWidth="1" width="11.42578125"/>
    <col min="13566" max="13566" customWidth="1" width="11.42578125"/>
    <col min="13567" max="13567" customWidth="1" width="11.42578125"/>
    <col min="13568" max="13568" customWidth="1" width="11.42578125"/>
    <col min="13569" max="13569" customWidth="1" width="11.42578125"/>
    <col min="13570" max="13570" customWidth="1" width="11.42578125"/>
    <col min="13571" max="13571" customWidth="1" width="11.42578125"/>
    <col min="13572" max="13572" customWidth="1" width="11.42578125"/>
    <col min="13573" max="13573" customWidth="1" width="11.42578125"/>
    <col min="13574" max="13574" customWidth="1" width="11.42578125"/>
    <col min="13575" max="13575" customWidth="1" width="11.42578125"/>
    <col min="13576" max="13576" customWidth="1" width="11.42578125"/>
    <col min="13577" max="13577" customWidth="1" width="11.42578125"/>
    <col min="13578" max="13578" customWidth="1" width="11.42578125"/>
    <col min="13579" max="13579" customWidth="1" width="11.42578125"/>
    <col min="13580" max="13580" customWidth="1" width="11.42578125"/>
    <col min="13581" max="13581" customWidth="1" width="11.42578125"/>
    <col min="13582" max="13582" customWidth="1" width="11.42578125"/>
    <col min="13583" max="13583" customWidth="1" width="11.42578125"/>
    <col min="13584" max="13584" customWidth="1" width="11.42578125"/>
    <col min="13585" max="13585" customWidth="1" width="11.42578125"/>
    <col min="13586" max="13586" customWidth="1" width="11.42578125"/>
    <col min="13587" max="13587" customWidth="1" width="11.42578125"/>
    <col min="13588" max="13588" customWidth="1" width="11.42578125"/>
    <col min="13589" max="13589" customWidth="1" width="11.42578125"/>
    <col min="13590" max="13590" customWidth="1" width="11.42578125"/>
    <col min="13591" max="13591" customWidth="1" width="11.42578125"/>
    <col min="13592" max="13592" customWidth="1" width="11.42578125"/>
    <col min="13593" max="13593" customWidth="1" width="11.42578125"/>
    <col min="13594" max="13594" customWidth="1" width="11.42578125"/>
    <col min="13595" max="13595" customWidth="1" width="11.42578125"/>
    <col min="13596" max="13596" customWidth="1" width="11.42578125"/>
    <col min="13597" max="13597" customWidth="1" width="11.42578125"/>
    <col min="13598" max="13598" customWidth="1" width="11.42578125"/>
    <col min="13599" max="13599" customWidth="1" width="11.42578125"/>
    <col min="13600" max="13600" customWidth="1" width="11.42578125"/>
    <col min="13601" max="13601" customWidth="1" width="11.42578125"/>
    <col min="13602" max="13602" customWidth="1" width="11.42578125"/>
    <col min="13603" max="13603" customWidth="1" width="11.42578125"/>
    <col min="13604" max="13604" customWidth="1" width="11.42578125"/>
    <col min="13605" max="13605" customWidth="1" width="11.42578125"/>
    <col min="13606" max="13606" customWidth="1" width="11.42578125"/>
    <col min="13607" max="13607" customWidth="1" width="11.42578125"/>
    <col min="13608" max="13608" customWidth="1" width="11.42578125"/>
    <col min="13609" max="13609" customWidth="1" width="11.42578125"/>
    <col min="13610" max="13610" customWidth="1" width="11.42578125"/>
    <col min="13611" max="13611" customWidth="1" width="11.42578125"/>
    <col min="13612" max="13612" customWidth="1" width="11.42578125"/>
    <col min="13613" max="13613" customWidth="1" width="11.42578125"/>
    <col min="13614" max="13614" customWidth="1" width="11.42578125"/>
    <col min="13615" max="13615" customWidth="1" width="11.42578125"/>
    <col min="13616" max="13616" customWidth="1" width="11.42578125"/>
    <col min="13617" max="13617" customWidth="1" width="11.42578125"/>
    <col min="13618" max="13618" customWidth="1" width="11.42578125"/>
    <col min="13619" max="13619" customWidth="1" width="11.42578125"/>
    <col min="13620" max="13620" customWidth="1" width="11.42578125"/>
    <col min="13621" max="13621" customWidth="1" width="11.42578125"/>
    <col min="13622" max="13622" customWidth="1" width="11.42578125"/>
    <col min="13623" max="13623" customWidth="1" width="11.42578125"/>
    <col min="13624" max="13624" customWidth="1" width="11.42578125"/>
    <col min="13625" max="13625" customWidth="1" width="11.42578125"/>
    <col min="13626" max="13626" customWidth="1" width="11.42578125"/>
    <col min="13627" max="13627" customWidth="1" width="11.42578125"/>
    <col min="13628" max="13628" customWidth="1" width="11.42578125"/>
    <col min="13629" max="13629" customWidth="1" width="11.42578125"/>
    <col min="13630" max="13630" customWidth="1" width="11.42578125"/>
    <col min="13631" max="13631" customWidth="1" width="11.42578125"/>
    <col min="13632" max="13632" customWidth="1" width="11.42578125"/>
    <col min="13633" max="13633" customWidth="1" width="11.42578125"/>
    <col min="13634" max="13634" customWidth="1" width="11.42578125"/>
    <col min="13635" max="13635" customWidth="1" width="11.42578125"/>
    <col min="13636" max="13636" customWidth="1" width="11.42578125"/>
    <col min="13637" max="13637" customWidth="1" width="11.42578125"/>
    <col min="13638" max="13638" customWidth="1" width="11.42578125"/>
    <col min="13639" max="13639" customWidth="1" width="11.42578125"/>
    <col min="13640" max="13640" customWidth="1" width="11.42578125"/>
    <col min="13641" max="13641" customWidth="1" width="11.42578125"/>
    <col min="13642" max="13642" customWidth="1" width="11.42578125"/>
    <col min="13643" max="13643" customWidth="1" width="11.42578125"/>
    <col min="13644" max="13644" customWidth="1" width="11.42578125"/>
    <col min="13645" max="13645" customWidth="1" width="11.42578125"/>
    <col min="13646" max="13646" customWidth="1" width="11.42578125"/>
    <col min="13647" max="13647" customWidth="1" width="11.42578125"/>
    <col min="13648" max="13648" customWidth="1" width="11.42578125"/>
    <col min="13649" max="13649" customWidth="1" width="11.42578125"/>
    <col min="13650" max="13650" customWidth="1" width="11.42578125"/>
    <col min="13651" max="13651" customWidth="1" width="11.42578125"/>
    <col min="13652" max="13652" customWidth="1" width="11.42578125"/>
    <col min="13653" max="13653" customWidth="1" width="11.42578125"/>
    <col min="13654" max="13654" customWidth="1" width="11.42578125"/>
    <col min="13655" max="13655" customWidth="1" width="11.42578125"/>
    <col min="13656" max="13656" customWidth="1" width="11.42578125"/>
    <col min="13657" max="13657" customWidth="1" width="11.42578125"/>
    <col min="13658" max="13658" customWidth="1" width="11.42578125"/>
    <col min="13659" max="13659" customWidth="1" width="11.42578125"/>
    <col min="13660" max="13660" customWidth="1" width="11.42578125"/>
    <col min="13661" max="13661" customWidth="1" width="11.42578125"/>
    <col min="13662" max="13662" customWidth="1" width="11.42578125"/>
    <col min="13663" max="13663" customWidth="1" width="11.42578125"/>
    <col min="13664" max="13664" customWidth="1" width="11.42578125"/>
    <col min="13665" max="13665" customWidth="1" width="11.42578125"/>
    <col min="13666" max="13666" customWidth="1" width="11.42578125"/>
    <col min="13667" max="13667" customWidth="1" width="11.42578125"/>
    <col min="13668" max="13668" customWidth="1" width="11.42578125"/>
    <col min="13669" max="13669" customWidth="1" width="11.42578125"/>
    <col min="13670" max="13670" customWidth="1" width="11.42578125"/>
    <col min="13671" max="13671" customWidth="1" width="11.42578125"/>
    <col min="13672" max="13672" customWidth="1" width="11.42578125"/>
    <col min="13673" max="13673" customWidth="1" width="11.42578125"/>
    <col min="13674" max="13674" customWidth="1" width="11.42578125"/>
    <col min="13675" max="13675" customWidth="1" width="11.42578125"/>
    <col min="13676" max="13676" customWidth="1" width="11.42578125"/>
    <col min="13677" max="13677" customWidth="1" width="11.42578125"/>
    <col min="13678" max="13678" customWidth="1" width="11.42578125"/>
    <col min="13679" max="13679" customWidth="1" width="11.42578125"/>
    <col min="13680" max="13680" customWidth="1" width="11.42578125"/>
    <col min="13681" max="13681" customWidth="1" width="11.42578125"/>
    <col min="13682" max="13682" customWidth="1" width="11.42578125"/>
    <col min="13683" max="13683" customWidth="1" width="11.42578125"/>
    <col min="13684" max="13684" customWidth="1" width="11.42578125"/>
    <col min="13685" max="13685" customWidth="1" width="11.42578125"/>
    <col min="13686" max="13686" customWidth="1" width="11.42578125"/>
    <col min="13687" max="13687" customWidth="1" width="11.42578125"/>
    <col min="13688" max="13688" customWidth="1" width="11.42578125"/>
    <col min="13689" max="13689" customWidth="1" width="11.42578125"/>
    <col min="13690" max="13690" customWidth="1" width="11.42578125"/>
    <col min="13691" max="13691" customWidth="1" width="11.42578125"/>
    <col min="13692" max="13692" customWidth="1" width="11.42578125"/>
    <col min="13693" max="13693" customWidth="1" width="11.42578125"/>
    <col min="13694" max="13694" customWidth="1" width="11.42578125"/>
    <col min="13695" max="13695" customWidth="1" width="11.42578125"/>
    <col min="13696" max="13696" customWidth="1" width="11.42578125"/>
    <col min="13697" max="13697" customWidth="1" width="11.42578125"/>
    <col min="13698" max="13698" customWidth="1" width="11.42578125"/>
    <col min="13699" max="13699" customWidth="1" width="11.42578125"/>
    <col min="13700" max="13700" customWidth="1" width="11.42578125"/>
    <col min="13701" max="13701" customWidth="1" width="11.42578125"/>
    <col min="13702" max="13702" customWidth="1" width="11.42578125"/>
    <col min="13703" max="13703" customWidth="1" width="11.42578125"/>
    <col min="13704" max="13704" customWidth="1" width="11.42578125"/>
    <col min="13705" max="13705" customWidth="1" width="11.42578125"/>
    <col min="13706" max="13706" customWidth="1" width="11.42578125"/>
    <col min="13707" max="13707" customWidth="1" width="11.42578125"/>
    <col min="13708" max="13708" customWidth="1" width="11.42578125"/>
    <col min="13709" max="13709" customWidth="1" width="11.42578125"/>
    <col min="13710" max="13710" customWidth="1" width="11.42578125"/>
    <col min="13711" max="13711" customWidth="1" width="11.42578125"/>
    <col min="13712" max="13712" customWidth="1" width="11.42578125"/>
    <col min="13713" max="13713" customWidth="1" width="11.42578125"/>
    <col min="13714" max="13714" customWidth="1" width="11.42578125"/>
    <col min="13715" max="13715" customWidth="1" width="11.42578125"/>
    <col min="13716" max="13716" customWidth="1" width="11.42578125"/>
    <col min="13717" max="13717" customWidth="1" width="11.42578125"/>
    <col min="13718" max="13718" customWidth="1" width="11.42578125"/>
    <col min="13719" max="13719" customWidth="1" width="11.42578125"/>
    <col min="13720" max="13720" customWidth="1" width="11.42578125"/>
    <col min="13721" max="13721" customWidth="1" width="11.42578125"/>
    <col min="13722" max="13722" customWidth="1" width="11.42578125"/>
    <col min="13723" max="13723" customWidth="1" width="11.42578125"/>
    <col min="13724" max="13724" customWidth="1" width="11.42578125"/>
    <col min="13725" max="13725" customWidth="1" width="11.42578125"/>
    <col min="13726" max="13726" customWidth="1" width="11.42578125"/>
    <col min="13727" max="13727" customWidth="1" width="11.42578125"/>
    <col min="13728" max="13728" customWidth="1" width="11.42578125"/>
    <col min="13729" max="13729" customWidth="1" width="11.42578125"/>
    <col min="13730" max="13730" customWidth="1" width="11.42578125"/>
    <col min="13731" max="13731" customWidth="1" width="11.42578125"/>
    <col min="13732" max="13732" customWidth="1" width="11.42578125"/>
    <col min="13733" max="13733" customWidth="1" width="11.42578125"/>
    <col min="13734" max="13734" customWidth="1" width="11.42578125"/>
    <col min="13735" max="13735" customWidth="1" width="11.42578125"/>
    <col min="13736" max="13736" customWidth="1" width="11.42578125"/>
    <col min="13737" max="13737" customWidth="1" width="11.42578125"/>
    <col min="13738" max="13738" customWidth="1" width="11.42578125"/>
    <col min="13739" max="13739" customWidth="1" width="11.42578125"/>
    <col min="13740" max="13740" customWidth="1" width="11.42578125"/>
    <col min="13741" max="13741" customWidth="1" width="11.42578125"/>
    <col min="13742" max="13742" customWidth="1" width="11.42578125"/>
    <col min="13743" max="13743" customWidth="1" width="11.42578125"/>
    <col min="13744" max="13744" customWidth="1" width="11.42578125"/>
    <col min="13745" max="13745" customWidth="1" width="11.42578125"/>
    <col min="13746" max="13746" customWidth="1" width="11.42578125"/>
    <col min="13747" max="13747" customWidth="1" width="11.42578125"/>
    <col min="13748" max="13748" customWidth="1" width="11.42578125"/>
    <col min="13749" max="13749" customWidth="1" width="11.42578125"/>
    <col min="13750" max="13750" customWidth="1" width="11.42578125"/>
    <col min="13751" max="13751" customWidth="1" width="11.42578125"/>
    <col min="13752" max="13752" customWidth="1" width="11.42578125"/>
    <col min="13753" max="13753" customWidth="1" width="11.42578125"/>
    <col min="13754" max="13754" customWidth="1" width="11.42578125"/>
    <col min="13755" max="13755" customWidth="1" width="11.42578125"/>
    <col min="13756" max="13756" customWidth="1" width="11.42578125"/>
    <col min="13757" max="13757" customWidth="1" width="11.42578125"/>
    <col min="13758" max="13758" customWidth="1" width="11.42578125"/>
    <col min="13759" max="13759" customWidth="1" width="11.42578125"/>
    <col min="13760" max="13760" customWidth="1" width="11.42578125"/>
    <col min="13761" max="13761" customWidth="1" width="11.42578125"/>
    <col min="13762" max="13762" customWidth="1" width="11.42578125"/>
    <col min="13763" max="13763" customWidth="1" width="11.42578125"/>
    <col min="13764" max="13764" customWidth="1" width="11.42578125"/>
    <col min="13765" max="13765" customWidth="1" width="11.42578125"/>
    <col min="13766" max="13766" customWidth="1" width="11.42578125"/>
    <col min="13767" max="13767" customWidth="1" width="11.42578125"/>
    <col min="13768" max="13768" customWidth="1" width="11.42578125"/>
    <col min="13769" max="13769" customWidth="1" width="11.42578125"/>
    <col min="13770" max="13770" customWidth="1" width="11.42578125"/>
    <col min="13771" max="13771" customWidth="1" width="11.42578125"/>
    <col min="13772" max="13772" customWidth="1" width="11.42578125"/>
    <col min="13773" max="13773" customWidth="1" width="11.42578125"/>
    <col min="13774" max="13774" customWidth="1" width="11.42578125"/>
    <col min="13775" max="13775" customWidth="1" width="11.42578125"/>
    <col min="13776" max="13776" customWidth="1" width="11.42578125"/>
    <col min="13777" max="13777" customWidth="1" width="11.42578125"/>
    <col min="13778" max="13778" customWidth="1" width="11.42578125"/>
    <col min="13779" max="13779" customWidth="1" width="11.42578125"/>
    <col min="13780" max="13780" customWidth="1" width="11.42578125"/>
    <col min="13781" max="13781" customWidth="1" width="11.42578125"/>
    <col min="13782" max="13782" customWidth="1" width="11.42578125"/>
    <col min="13783" max="13783" customWidth="1" width="11.42578125"/>
    <col min="13784" max="13784" customWidth="1" width="11.42578125"/>
    <col min="13785" max="13785" customWidth="1" width="11.42578125"/>
    <col min="13786" max="13786" customWidth="1" width="11.42578125"/>
    <col min="13787" max="13787" customWidth="1" width="11.42578125"/>
    <col min="13788" max="13788" customWidth="1" width="11.42578125"/>
    <col min="13789" max="13789" customWidth="1" width="11.42578125"/>
    <col min="13790" max="13790" customWidth="1" width="11.42578125"/>
    <col min="13791" max="13791" customWidth="1" width="11.42578125"/>
    <col min="13792" max="13792" customWidth="1" width="11.42578125"/>
    <col min="13793" max="13793" customWidth="1" width="11.42578125"/>
    <col min="13794" max="13794" customWidth="1" width="11.42578125"/>
    <col min="13795" max="13795" customWidth="1" width="11.42578125"/>
    <col min="13796" max="13796" customWidth="1" width="11.42578125"/>
    <col min="13797" max="13797" customWidth="1" width="11.42578125"/>
    <col min="13798" max="13798" customWidth="1" width="11.42578125"/>
    <col min="13799" max="13799" customWidth="1" width="11.42578125"/>
    <col min="13800" max="13800" customWidth="1" width="11.42578125"/>
    <col min="13801" max="13801" customWidth="1" width="11.42578125"/>
    <col min="13802" max="13802" customWidth="1" width="11.42578125"/>
    <col min="13803" max="13803" customWidth="1" width="11.42578125"/>
    <col min="13804" max="13804" customWidth="1" width="11.42578125"/>
    <col min="13805" max="13805" customWidth="1" width="11.42578125"/>
    <col min="13806" max="13806" customWidth="1" width="11.42578125"/>
    <col min="13807" max="13807" customWidth="1" width="11.42578125"/>
    <col min="13808" max="13808" customWidth="1" width="11.42578125"/>
    <col min="13809" max="13809" customWidth="1" width="11.42578125"/>
    <col min="13810" max="13810" customWidth="1" width="11.42578125"/>
    <col min="13811" max="13811" customWidth="1" width="11.42578125"/>
    <col min="13812" max="13812" customWidth="1" width="11.42578125"/>
    <col min="13813" max="13813" customWidth="1" width="11.42578125"/>
    <col min="13814" max="13814" customWidth="1" width="11.42578125"/>
    <col min="13815" max="13815" customWidth="1" width="11.42578125"/>
    <col min="13816" max="13816" customWidth="1" width="11.42578125"/>
    <col min="13817" max="13817" customWidth="1" width="11.42578125"/>
    <col min="13818" max="13818" customWidth="1" width="11.42578125"/>
    <col min="13819" max="13819" customWidth="1" width="11.42578125"/>
    <col min="13820" max="13820" customWidth="1" width="11.42578125"/>
    <col min="13821" max="13821" customWidth="1" width="11.42578125"/>
    <col min="13822" max="13822" customWidth="1" width="11.42578125"/>
    <col min="13823" max="13823" customWidth="1" width="11.42578125"/>
    <col min="13824" max="13824" customWidth="1" width="11.42578125"/>
    <col min="13825" max="13825" customWidth="1" width="11.42578125"/>
    <col min="13826" max="13826" customWidth="1" width="11.42578125"/>
    <col min="13827" max="13827" customWidth="1" width="11.42578125"/>
    <col min="13828" max="13828" customWidth="1" width="11.42578125"/>
    <col min="13829" max="13829" customWidth="1" width="11.42578125"/>
    <col min="13830" max="13830" customWidth="1" width="11.42578125"/>
    <col min="13831" max="13831" customWidth="1" width="11.42578125"/>
    <col min="13832" max="13832" customWidth="1" width="11.42578125"/>
    <col min="13833" max="13833" customWidth="1" width="11.42578125"/>
    <col min="13834" max="13834" customWidth="1" width="11.42578125"/>
    <col min="13835" max="13835" customWidth="1" width="11.42578125"/>
    <col min="13836" max="13836" customWidth="1" width="11.42578125"/>
    <col min="13837" max="13837" customWidth="1" width="11.42578125"/>
    <col min="13838" max="13838" customWidth="1" width="11.42578125"/>
    <col min="13839" max="13839" customWidth="1" width="11.42578125"/>
    <col min="13840" max="13840" customWidth="1" width="11.42578125"/>
    <col min="13841" max="13841" customWidth="1" width="11.42578125"/>
    <col min="13842" max="13842" customWidth="1" width="11.42578125"/>
    <col min="13843" max="13843" customWidth="1" width="11.42578125"/>
    <col min="13844" max="13844" customWidth="1" width="11.42578125"/>
    <col min="13845" max="13845" customWidth="1" width="11.42578125"/>
    <col min="13846" max="13846" customWidth="1" width="11.42578125"/>
    <col min="13847" max="13847" customWidth="1" width="11.42578125"/>
    <col min="13848" max="13848" customWidth="1" width="11.42578125"/>
    <col min="13849" max="13849" customWidth="1" width="11.42578125"/>
    <col min="13850" max="13850" customWidth="1" width="11.42578125"/>
    <col min="13851" max="13851" customWidth="1" width="11.42578125"/>
    <col min="13852" max="13852" customWidth="1" width="11.42578125"/>
    <col min="13853" max="13853" customWidth="1" width="11.42578125"/>
    <col min="13854" max="13854" customWidth="1" width="11.42578125"/>
    <col min="13855" max="13855" customWidth="1" width="11.42578125"/>
    <col min="13856" max="13856" customWidth="1" width="11.42578125"/>
    <col min="13857" max="13857" customWidth="1" width="11.42578125"/>
    <col min="13858" max="13858" customWidth="1" width="11.42578125"/>
    <col min="13859" max="13859" customWidth="1" width="11.42578125"/>
    <col min="13860" max="13860" customWidth="1" width="11.42578125"/>
    <col min="13861" max="13861" customWidth="1" width="11.42578125"/>
    <col min="13862" max="13862" customWidth="1" width="11.42578125"/>
    <col min="13863" max="13863" customWidth="1" width="11.42578125"/>
    <col min="13864" max="13864" customWidth="1" width="11.42578125"/>
    <col min="13865" max="13865" customWidth="1" width="11.42578125"/>
    <col min="13866" max="13866" customWidth="1" width="11.42578125"/>
    <col min="13867" max="13867" customWidth="1" width="11.42578125"/>
    <col min="13868" max="13868" customWidth="1" width="11.42578125"/>
    <col min="13869" max="13869" customWidth="1" width="11.42578125"/>
    <col min="13870" max="13870" customWidth="1" width="11.42578125"/>
    <col min="13871" max="13871" customWidth="1" width="11.42578125"/>
    <col min="13872" max="13872" customWidth="1" width="11.42578125"/>
    <col min="13873" max="13873" customWidth="1" width="11.42578125"/>
    <col min="13874" max="13874" customWidth="1" width="11.42578125"/>
    <col min="13875" max="13875" customWidth="1" width="11.42578125"/>
    <col min="13876" max="13876" customWidth="1" width="11.42578125"/>
    <col min="13877" max="13877" customWidth="1" width="11.42578125"/>
    <col min="13878" max="13878" customWidth="1" width="11.42578125"/>
    <col min="13879" max="13879" customWidth="1" width="11.42578125"/>
    <col min="13880" max="13880" customWidth="1" width="11.42578125"/>
    <col min="13881" max="13881" customWidth="1" width="11.42578125"/>
    <col min="13882" max="13882" customWidth="1" width="11.42578125"/>
    <col min="13883" max="13883" customWidth="1" width="11.42578125"/>
    <col min="13884" max="13884" customWidth="1" width="11.42578125"/>
    <col min="13885" max="13885" customWidth="1" width="11.42578125"/>
    <col min="13886" max="13886" customWidth="1" width="11.42578125"/>
    <col min="13887" max="13887" customWidth="1" width="11.42578125"/>
    <col min="13888" max="13888" customWidth="1" width="11.42578125"/>
    <col min="13889" max="13889" customWidth="1" width="11.42578125"/>
    <col min="13890" max="13890" customWidth="1" width="11.42578125"/>
    <col min="13891" max="13891" customWidth="1" width="11.42578125"/>
    <col min="13892" max="13892" customWidth="1" width="11.42578125"/>
    <col min="13893" max="13893" customWidth="1" width="11.42578125"/>
    <col min="13894" max="13894" customWidth="1" width="11.42578125"/>
    <col min="13895" max="13895" customWidth="1" width="11.42578125"/>
    <col min="13896" max="13896" customWidth="1" width="11.42578125"/>
    <col min="13897" max="13897" customWidth="1" width="11.42578125"/>
    <col min="13898" max="13898" customWidth="1" width="11.42578125"/>
    <col min="13899" max="13899" customWidth="1" width="11.42578125"/>
    <col min="13900" max="13900" customWidth="1" width="11.42578125"/>
    <col min="13901" max="13901" customWidth="1" width="11.42578125"/>
    <col min="13902" max="13902" customWidth="1" width="11.42578125"/>
    <col min="13903" max="13903" customWidth="1" width="11.42578125"/>
    <col min="13904" max="13904" customWidth="1" width="11.42578125"/>
    <col min="13905" max="13905" customWidth="1" width="11.42578125"/>
    <col min="13906" max="13906" customWidth="1" width="11.42578125"/>
    <col min="13907" max="13907" customWidth="1" width="11.42578125"/>
    <col min="13908" max="13908" customWidth="1" width="11.42578125"/>
    <col min="13909" max="13909" customWidth="1" width="11.42578125"/>
    <col min="13910" max="13910" customWidth="1" width="11.42578125"/>
    <col min="13911" max="13911" customWidth="1" width="11.42578125"/>
    <col min="13912" max="13912" customWidth="1" width="11.42578125"/>
    <col min="13913" max="13913" customWidth="1" width="11.42578125"/>
    <col min="13914" max="13914" customWidth="1" width="11.42578125"/>
    <col min="13915" max="13915" customWidth="1" width="11.42578125"/>
    <col min="13916" max="13916" customWidth="1" width="11.42578125"/>
    <col min="13917" max="13917" customWidth="1" width="11.42578125"/>
    <col min="13918" max="13918" customWidth="1" width="11.42578125"/>
    <col min="13919" max="13919" customWidth="1" width="11.42578125"/>
    <col min="13920" max="13920" customWidth="1" width="11.42578125"/>
    <col min="13921" max="13921" customWidth="1" width="11.42578125"/>
    <col min="13922" max="13922" customWidth="1" width="11.42578125"/>
    <col min="13923" max="13923" customWidth="1" width="11.42578125"/>
    <col min="13924" max="13924" customWidth="1" width="11.42578125"/>
    <col min="13925" max="13925" customWidth="1" width="11.42578125"/>
    <col min="13926" max="13926" customWidth="1" width="11.42578125"/>
    <col min="13927" max="13927" customWidth="1" width="11.42578125"/>
    <col min="13928" max="13928" customWidth="1" width="11.42578125"/>
    <col min="13929" max="13929" customWidth="1" width="11.42578125"/>
    <col min="13930" max="13930" customWidth="1" width="11.42578125"/>
    <col min="13931" max="13931" customWidth="1" width="11.42578125"/>
    <col min="13932" max="13932" customWidth="1" width="11.42578125"/>
    <col min="13933" max="13933" customWidth="1" width="11.42578125"/>
    <col min="13934" max="13934" customWidth="1" width="11.42578125"/>
    <col min="13935" max="13935" customWidth="1" width="11.42578125"/>
    <col min="13936" max="13936" customWidth="1" width="11.42578125"/>
    <col min="13937" max="13937" customWidth="1" width="11.42578125"/>
    <col min="13938" max="13938" customWidth="1" width="11.42578125"/>
    <col min="13939" max="13939" customWidth="1" width="11.42578125"/>
    <col min="13940" max="13940" customWidth="1" width="11.42578125"/>
    <col min="13941" max="13941" customWidth="1" width="11.42578125"/>
    <col min="13942" max="13942" customWidth="1" width="11.42578125"/>
    <col min="13943" max="13943" customWidth="1" width="11.42578125"/>
    <col min="13944" max="13944" customWidth="1" width="11.42578125"/>
    <col min="13945" max="13945" customWidth="1" width="11.42578125"/>
    <col min="13946" max="13946" customWidth="1" width="11.42578125"/>
    <col min="13947" max="13947" customWidth="1" width="11.42578125"/>
    <col min="13948" max="13948" customWidth="1" width="11.42578125"/>
    <col min="13949" max="13949" customWidth="1" width="11.42578125"/>
    <col min="13950" max="13950" customWidth="1" width="11.42578125"/>
    <col min="13951" max="13951" customWidth="1" width="11.42578125"/>
    <col min="13952" max="13952" customWidth="1" width="11.42578125"/>
    <col min="13953" max="13953" customWidth="1" width="11.42578125"/>
    <col min="13954" max="13954" customWidth="1" width="11.42578125"/>
    <col min="13955" max="13955" customWidth="1" width="11.42578125"/>
    <col min="13956" max="13956" customWidth="1" width="11.42578125"/>
    <col min="13957" max="13957" customWidth="1" width="11.42578125"/>
    <col min="13958" max="13958" customWidth="1" width="11.42578125"/>
    <col min="13959" max="13959" customWidth="1" width="11.42578125"/>
    <col min="13960" max="13960" customWidth="1" width="11.42578125"/>
    <col min="13961" max="13961" customWidth="1" width="11.42578125"/>
    <col min="13962" max="13962" customWidth="1" width="11.42578125"/>
    <col min="13963" max="13963" customWidth="1" width="11.42578125"/>
    <col min="13964" max="13964" customWidth="1" width="11.42578125"/>
    <col min="13965" max="13965" customWidth="1" width="11.42578125"/>
    <col min="13966" max="13966" customWidth="1" width="11.42578125"/>
    <col min="13967" max="13967" customWidth="1" width="11.42578125"/>
    <col min="13968" max="13968" customWidth="1" width="11.42578125"/>
    <col min="13969" max="13969" customWidth="1" width="11.42578125"/>
    <col min="13970" max="13970" customWidth="1" width="11.42578125"/>
    <col min="13971" max="13971" customWidth="1" width="11.42578125"/>
    <col min="13972" max="13972" customWidth="1" width="11.42578125"/>
    <col min="13973" max="13973" customWidth="1" width="11.42578125"/>
    <col min="13974" max="13974" customWidth="1" width="11.42578125"/>
    <col min="13975" max="13975" customWidth="1" width="11.42578125"/>
    <col min="13976" max="13976" customWidth="1" width="11.42578125"/>
    <col min="13977" max="13977" customWidth="1" width="11.42578125"/>
    <col min="13978" max="13978" customWidth="1" width="11.42578125"/>
    <col min="13979" max="13979" customWidth="1" width="11.42578125"/>
    <col min="13980" max="13980" customWidth="1" width="11.42578125"/>
    <col min="13981" max="13981" customWidth="1" width="11.42578125"/>
    <col min="13982" max="13982" customWidth="1" width="11.42578125"/>
    <col min="13983" max="13983" customWidth="1" width="11.42578125"/>
    <col min="13984" max="13984" customWidth="1" width="11.42578125"/>
    <col min="13985" max="13985" customWidth="1" width="11.42578125"/>
    <col min="13986" max="13986" customWidth="1" width="11.42578125"/>
    <col min="13987" max="13987" customWidth="1" width="11.42578125"/>
    <col min="13988" max="13988" customWidth="1" width="11.42578125"/>
    <col min="13989" max="13989" customWidth="1" width="11.42578125"/>
    <col min="13990" max="13990" customWidth="1" width="11.42578125"/>
    <col min="13991" max="13991" customWidth="1" width="11.42578125"/>
    <col min="13992" max="13992" customWidth="1" width="11.42578125"/>
    <col min="13993" max="13993" customWidth="1" width="11.42578125"/>
    <col min="13994" max="13994" customWidth="1" width="11.42578125"/>
    <col min="13995" max="13995" customWidth="1" width="11.42578125"/>
    <col min="13996" max="13996" customWidth="1" width="11.42578125"/>
    <col min="13997" max="13997" customWidth="1" width="11.42578125"/>
    <col min="13998" max="13998" customWidth="1" width="11.42578125"/>
    <col min="13999" max="13999" customWidth="1" width="11.42578125"/>
    <col min="14000" max="14000" customWidth="1" width="11.42578125"/>
    <col min="14001" max="14001" customWidth="1" width="11.42578125"/>
    <col min="14002" max="14002" customWidth="1" width="11.42578125"/>
    <col min="14003" max="14003" customWidth="1" width="11.42578125"/>
    <col min="14004" max="14004" customWidth="1" width="11.42578125"/>
    <col min="14005" max="14005" customWidth="1" width="11.42578125"/>
    <col min="14006" max="14006" customWidth="1" width="11.42578125"/>
    <col min="14007" max="14007" customWidth="1" width="11.42578125"/>
    <col min="14008" max="14008" customWidth="1" width="11.42578125"/>
    <col min="14009" max="14009" customWidth="1" width="11.42578125"/>
    <col min="14010" max="14010" customWidth="1" width="11.42578125"/>
    <col min="14011" max="14011" customWidth="1" width="11.42578125"/>
    <col min="14012" max="14012" customWidth="1" width="11.42578125"/>
    <col min="14013" max="14013" customWidth="1" width="11.42578125"/>
    <col min="14014" max="14014" customWidth="1" width="11.42578125"/>
    <col min="14015" max="14015" customWidth="1" width="11.42578125"/>
    <col min="14016" max="14016" customWidth="1" width="11.42578125"/>
    <col min="14017" max="14017" customWidth="1" width="11.42578125"/>
    <col min="14018" max="14018" customWidth="1" width="11.42578125"/>
    <col min="14019" max="14019" customWidth="1" width="11.42578125"/>
    <col min="14020" max="14020" customWidth="1" width="11.42578125"/>
    <col min="14021" max="14021" customWidth="1" width="11.42578125"/>
    <col min="14022" max="14022" customWidth="1" width="11.42578125"/>
    <col min="14023" max="14023" customWidth="1" width="11.42578125"/>
    <col min="14024" max="14024" customWidth="1" width="11.42578125"/>
    <col min="14025" max="14025" customWidth="1" width="11.42578125"/>
    <col min="14026" max="14026" customWidth="1" width="11.42578125"/>
    <col min="14027" max="14027" customWidth="1" width="11.42578125"/>
    <col min="14028" max="14028" customWidth="1" width="11.42578125"/>
    <col min="14029" max="14029" customWidth="1" width="11.42578125"/>
    <col min="14030" max="14030" customWidth="1" width="11.42578125"/>
    <col min="14031" max="14031" customWidth="1" width="11.42578125"/>
    <col min="14032" max="14032" customWidth="1" width="11.42578125"/>
    <col min="14033" max="14033" customWidth="1" width="11.42578125"/>
    <col min="14034" max="14034" customWidth="1" width="11.42578125"/>
    <col min="14035" max="14035" customWidth="1" width="11.42578125"/>
    <col min="14036" max="14036" customWidth="1" width="11.42578125"/>
    <col min="14037" max="14037" customWidth="1" width="11.42578125"/>
    <col min="14038" max="14038" customWidth="1" width="11.42578125"/>
    <col min="14039" max="14039" customWidth="1" width="11.42578125"/>
    <col min="14040" max="14040" customWidth="1" width="11.42578125"/>
    <col min="14041" max="14041" customWidth="1" width="11.42578125"/>
    <col min="14042" max="14042" customWidth="1" width="11.42578125"/>
    <col min="14043" max="14043" customWidth="1" width="11.42578125"/>
    <col min="14044" max="14044" customWidth="1" width="11.42578125"/>
    <col min="14045" max="14045" customWidth="1" width="11.42578125"/>
    <col min="14046" max="14046" customWidth="1" width="11.42578125"/>
    <col min="14047" max="14047" customWidth="1" width="11.42578125"/>
    <col min="14048" max="14048" customWidth="1" width="11.42578125"/>
    <col min="14049" max="14049" customWidth="1" width="11.42578125"/>
    <col min="14050" max="14050" customWidth="1" width="11.42578125"/>
    <col min="14051" max="14051" customWidth="1" width="11.42578125"/>
    <col min="14052" max="14052" customWidth="1" width="11.42578125"/>
    <col min="14053" max="14053" customWidth="1" width="11.42578125"/>
    <col min="14054" max="14054" customWidth="1" width="11.42578125"/>
    <col min="14055" max="14055" customWidth="1" width="11.42578125"/>
    <col min="14056" max="14056" customWidth="1" width="11.42578125"/>
    <col min="14057" max="14057" customWidth="1" width="11.42578125"/>
    <col min="14058" max="14058" customWidth="1" width="11.42578125"/>
    <col min="14059" max="14059" customWidth="1" width="11.42578125"/>
    <col min="14060" max="14060" customWidth="1" width="11.42578125"/>
    <col min="14061" max="14061" customWidth="1" width="11.42578125"/>
    <col min="14062" max="14062" customWidth="1" width="11.42578125"/>
    <col min="14063" max="14063" customWidth="1" width="11.42578125"/>
    <col min="14064" max="14064" customWidth="1" width="11.42578125"/>
    <col min="14065" max="14065" customWidth="1" width="11.42578125"/>
    <col min="14066" max="14066" customWidth="1" width="11.42578125"/>
    <col min="14067" max="14067" customWidth="1" width="11.42578125"/>
    <col min="14068" max="14068" customWidth="1" width="11.42578125"/>
    <col min="14069" max="14069" customWidth="1" width="11.42578125"/>
    <col min="14070" max="14070" customWidth="1" width="11.42578125"/>
    <col min="14071" max="14071" customWidth="1" width="11.42578125"/>
    <col min="14072" max="14072" customWidth="1" width="11.42578125"/>
    <col min="14073" max="14073" customWidth="1" width="11.42578125"/>
    <col min="14074" max="14074" customWidth="1" width="11.42578125"/>
    <col min="14075" max="14075" customWidth="1" width="11.42578125"/>
    <col min="14076" max="14076" customWidth="1" width="11.42578125"/>
    <col min="14077" max="14077" customWidth="1" width="11.42578125"/>
    <col min="14078" max="14078" customWidth="1" width="11.42578125"/>
    <col min="14079" max="14079" customWidth="1" width="11.42578125"/>
    <col min="14080" max="14080" customWidth="1" width="11.42578125"/>
    <col min="14081" max="14081" customWidth="1" width="11.42578125"/>
    <col min="14082" max="14082" customWidth="1" width="11.42578125"/>
    <col min="14083" max="14083" customWidth="1" width="11.42578125"/>
    <col min="14084" max="14084" customWidth="1" width="11.42578125"/>
    <col min="14085" max="14085" customWidth="1" width="11.42578125"/>
    <col min="14086" max="14086" customWidth="1" width="11.42578125"/>
    <col min="14087" max="14087" customWidth="1" width="11.42578125"/>
    <col min="14088" max="14088" customWidth="1" width="11.42578125"/>
    <col min="14089" max="14089" customWidth="1" width="11.42578125"/>
    <col min="14090" max="14090" customWidth="1" width="11.42578125"/>
    <col min="14091" max="14091" customWidth="1" width="11.42578125"/>
    <col min="14092" max="14092" customWidth="1" width="11.42578125"/>
    <col min="14093" max="14093" customWidth="1" width="11.42578125"/>
    <col min="14094" max="14094" customWidth="1" width="11.42578125"/>
    <col min="14095" max="14095" customWidth="1" width="11.42578125"/>
    <col min="14096" max="14096" customWidth="1" width="11.42578125"/>
    <col min="14097" max="14097" customWidth="1" width="11.42578125"/>
    <col min="14098" max="14098" customWidth="1" width="11.42578125"/>
    <col min="14099" max="14099" customWidth="1" width="11.42578125"/>
    <col min="14100" max="14100" customWidth="1" width="11.42578125"/>
    <col min="14101" max="14101" customWidth="1" width="11.42578125"/>
    <col min="14102" max="14102" customWidth="1" width="11.42578125"/>
    <col min="14103" max="14103" customWidth="1" width="11.42578125"/>
    <col min="14104" max="14104" customWidth="1" width="11.42578125"/>
    <col min="14105" max="14105" customWidth="1" width="11.42578125"/>
    <col min="14106" max="14106" customWidth="1" width="11.42578125"/>
    <col min="14107" max="14107" customWidth="1" width="11.42578125"/>
    <col min="14108" max="14108" customWidth="1" width="11.42578125"/>
    <col min="14109" max="14109" customWidth="1" width="11.42578125"/>
    <col min="14110" max="14110" customWidth="1" width="11.42578125"/>
    <col min="14111" max="14111" customWidth="1" width="11.42578125"/>
    <col min="14112" max="14112" customWidth="1" width="11.42578125"/>
    <col min="14113" max="14113" customWidth="1" width="11.42578125"/>
    <col min="14114" max="14114" customWidth="1" width="11.42578125"/>
    <col min="14115" max="14115" customWidth="1" width="11.42578125"/>
    <col min="14116" max="14116" customWidth="1" width="11.42578125"/>
    <col min="14117" max="14117" customWidth="1" width="11.42578125"/>
    <col min="14118" max="14118" customWidth="1" width="11.42578125"/>
    <col min="14119" max="14119" customWidth="1" width="11.42578125"/>
    <col min="14120" max="14120" customWidth="1" width="11.42578125"/>
    <col min="14121" max="14121" customWidth="1" width="11.42578125"/>
    <col min="14122" max="14122" customWidth="1" width="11.42578125"/>
    <col min="14123" max="14123" customWidth="1" width="11.42578125"/>
    <col min="14124" max="14124" customWidth="1" width="11.42578125"/>
    <col min="14125" max="14125" customWidth="1" width="11.42578125"/>
    <col min="14126" max="14126" customWidth="1" width="11.42578125"/>
    <col min="14127" max="14127" customWidth="1" width="11.42578125"/>
    <col min="14128" max="14128" customWidth="1" width="11.42578125"/>
    <col min="14129" max="14129" customWidth="1" width="11.42578125"/>
    <col min="14130" max="14130" customWidth="1" width="11.42578125"/>
    <col min="14131" max="14131" customWidth="1" width="11.42578125"/>
    <col min="14132" max="14132" customWidth="1" width="11.42578125"/>
    <col min="14133" max="14133" customWidth="1" width="11.42578125"/>
    <col min="14134" max="14134" customWidth="1" width="11.42578125"/>
    <col min="14135" max="14135" customWidth="1" width="11.42578125"/>
    <col min="14136" max="14136" customWidth="1" width="11.42578125"/>
    <col min="14137" max="14137" customWidth="1" width="11.42578125"/>
    <col min="14138" max="14138" customWidth="1" width="11.42578125"/>
    <col min="14139" max="14139" customWidth="1" width="11.42578125"/>
    <col min="14140" max="14140" customWidth="1" width="11.42578125"/>
    <col min="14141" max="14141" customWidth="1" width="11.42578125"/>
    <col min="14142" max="14142" customWidth="1" width="11.42578125"/>
    <col min="14143" max="14143" customWidth="1" width="11.42578125"/>
    <col min="14144" max="14144" customWidth="1" width="11.42578125"/>
    <col min="14145" max="14145" customWidth="1" width="11.42578125"/>
    <col min="14146" max="14146" customWidth="1" width="11.42578125"/>
    <col min="14147" max="14147" customWidth="1" width="11.42578125"/>
    <col min="14148" max="14148" customWidth="1" width="11.42578125"/>
    <col min="14149" max="14149" customWidth="1" width="11.42578125"/>
    <col min="14150" max="14150" customWidth="1" width="11.42578125"/>
    <col min="14151" max="14151" customWidth="1" width="11.42578125"/>
    <col min="14152" max="14152" customWidth="1" width="11.42578125"/>
    <col min="14153" max="14153" customWidth="1" width="11.42578125"/>
    <col min="14154" max="14154" customWidth="1" width="11.42578125"/>
    <col min="14155" max="14155" customWidth="1" width="11.42578125"/>
    <col min="14156" max="14156" customWidth="1" width="11.42578125"/>
    <col min="14157" max="14157" customWidth="1" width="11.42578125"/>
    <col min="14158" max="14158" customWidth="1" width="11.42578125"/>
    <col min="14159" max="14159" customWidth="1" width="11.42578125"/>
    <col min="14160" max="14160" customWidth="1" width="11.42578125"/>
    <col min="14161" max="14161" customWidth="1" width="11.42578125"/>
    <col min="14162" max="14162" customWidth="1" width="11.42578125"/>
    <col min="14163" max="14163" customWidth="1" width="11.42578125"/>
    <col min="14164" max="14164" customWidth="1" width="11.42578125"/>
    <col min="14165" max="14165" customWidth="1" width="11.42578125"/>
    <col min="14166" max="14166" customWidth="1" width="11.42578125"/>
    <col min="14167" max="14167" customWidth="1" width="11.42578125"/>
    <col min="14168" max="14168" customWidth="1" width="11.42578125"/>
    <col min="14169" max="14169" customWidth="1" width="11.42578125"/>
    <col min="14170" max="14170" customWidth="1" width="11.42578125"/>
    <col min="14171" max="14171" customWidth="1" width="11.42578125"/>
    <col min="14172" max="14172" customWidth="1" width="11.42578125"/>
    <col min="14173" max="14173" customWidth="1" width="11.42578125"/>
    <col min="14174" max="14174" customWidth="1" width="11.42578125"/>
    <col min="14175" max="14175" customWidth="1" width="11.42578125"/>
    <col min="14176" max="14176" customWidth="1" width="11.42578125"/>
    <col min="14177" max="14177" customWidth="1" width="11.42578125"/>
    <col min="14178" max="14178" customWidth="1" width="11.42578125"/>
    <col min="14179" max="14179" customWidth="1" width="11.42578125"/>
    <col min="14180" max="14180" customWidth="1" width="11.42578125"/>
    <col min="14181" max="14181" customWidth="1" width="11.42578125"/>
    <col min="14182" max="14182" customWidth="1" width="11.42578125"/>
    <col min="14183" max="14183" customWidth="1" width="11.42578125"/>
    <col min="14184" max="14184" customWidth="1" width="11.42578125"/>
    <col min="14185" max="14185" customWidth="1" width="11.42578125"/>
    <col min="14186" max="14186" customWidth="1" width="11.42578125"/>
    <col min="14187" max="14187" customWidth="1" width="11.42578125"/>
    <col min="14188" max="14188" customWidth="1" width="11.42578125"/>
    <col min="14189" max="14189" customWidth="1" width="11.42578125"/>
    <col min="14190" max="14190" customWidth="1" width="11.42578125"/>
    <col min="14191" max="14191" customWidth="1" width="11.42578125"/>
    <col min="14192" max="14192" customWidth="1" width="11.42578125"/>
    <col min="14193" max="14193" customWidth="1" width="11.42578125"/>
    <col min="14194" max="14194" customWidth="1" width="11.42578125"/>
    <col min="14195" max="14195" customWidth="1" width="11.42578125"/>
    <col min="14196" max="14196" customWidth="1" width="11.42578125"/>
    <col min="14197" max="14197" customWidth="1" width="11.42578125"/>
    <col min="14198" max="14198" customWidth="1" width="11.42578125"/>
    <col min="14199" max="14199" customWidth="1" width="11.42578125"/>
    <col min="14200" max="14200" customWidth="1" width="11.42578125"/>
    <col min="14201" max="14201" customWidth="1" width="11.42578125"/>
    <col min="14202" max="14202" customWidth="1" width="11.42578125"/>
    <col min="14203" max="14203" customWidth="1" width="11.42578125"/>
    <col min="14204" max="14204" customWidth="1" width="11.42578125"/>
    <col min="14205" max="14205" customWidth="1" width="11.42578125"/>
    <col min="14206" max="14206" customWidth="1" width="11.42578125"/>
    <col min="14207" max="14207" customWidth="1" width="11.42578125"/>
    <col min="14208" max="14208" customWidth="1" width="11.42578125"/>
    <col min="14209" max="14209" customWidth="1" width="11.42578125"/>
    <col min="14210" max="14210" customWidth="1" width="11.42578125"/>
    <col min="14211" max="14211" customWidth="1" width="11.42578125"/>
    <col min="14212" max="14212" customWidth="1" width="11.42578125"/>
    <col min="14213" max="14213" customWidth="1" width="11.42578125"/>
    <col min="14214" max="14214" customWidth="1" width="11.42578125"/>
    <col min="14215" max="14215" customWidth="1" width="11.42578125"/>
    <col min="14216" max="14216" customWidth="1" width="11.42578125"/>
    <col min="14217" max="14217" customWidth="1" width="11.42578125"/>
    <col min="14218" max="14218" customWidth="1" width="11.42578125"/>
    <col min="14219" max="14219" customWidth="1" width="11.42578125"/>
    <col min="14220" max="14220" customWidth="1" width="11.42578125"/>
    <col min="14221" max="14221" customWidth="1" width="11.42578125"/>
    <col min="14222" max="14222" customWidth="1" width="11.42578125"/>
    <col min="14223" max="14223" customWidth="1" width="11.42578125"/>
    <col min="14224" max="14224" customWidth="1" width="11.42578125"/>
    <col min="14225" max="14225" customWidth="1" width="11.42578125"/>
    <col min="14226" max="14226" customWidth="1" width="11.42578125"/>
    <col min="14227" max="14227" customWidth="1" width="11.42578125"/>
    <col min="14228" max="14228" customWidth="1" width="11.42578125"/>
    <col min="14229" max="14229" customWidth="1" width="11.42578125"/>
    <col min="14230" max="14230" customWidth="1" width="11.42578125"/>
    <col min="14231" max="14231" customWidth="1" width="11.42578125"/>
    <col min="14232" max="14232" customWidth="1" width="11.42578125"/>
    <col min="14233" max="14233" customWidth="1" width="11.42578125"/>
    <col min="14234" max="14234" customWidth="1" width="11.42578125"/>
    <col min="14235" max="14235" customWidth="1" width="11.42578125"/>
    <col min="14236" max="14236" customWidth="1" width="11.42578125"/>
    <col min="14237" max="14237" customWidth="1" width="11.42578125"/>
    <col min="14238" max="14238" customWidth="1" width="11.42578125"/>
    <col min="14239" max="14239" customWidth="1" width="11.42578125"/>
    <col min="14240" max="14240" customWidth="1" width="11.42578125"/>
    <col min="14241" max="14241" customWidth="1" width="11.42578125"/>
    <col min="14242" max="14242" customWidth="1" width="11.42578125"/>
    <col min="14243" max="14243" customWidth="1" width="11.42578125"/>
    <col min="14244" max="14244" customWidth="1" width="11.42578125"/>
    <col min="14245" max="14245" customWidth="1" width="11.42578125"/>
    <col min="14246" max="14246" customWidth="1" width="11.42578125"/>
    <col min="14247" max="14247" customWidth="1" width="11.42578125"/>
    <col min="14248" max="14248" customWidth="1" width="11.42578125"/>
    <col min="14249" max="14249" customWidth="1" width="11.42578125"/>
    <col min="14250" max="14250" customWidth="1" width="11.42578125"/>
    <col min="14251" max="14251" customWidth="1" width="11.42578125"/>
    <col min="14252" max="14252" customWidth="1" width="11.42578125"/>
    <col min="14253" max="14253" customWidth="1" width="11.42578125"/>
    <col min="14254" max="14254" customWidth="1" width="11.42578125"/>
    <col min="14255" max="14255" customWidth="1" width="11.42578125"/>
    <col min="14256" max="14256" customWidth="1" width="11.42578125"/>
    <col min="14257" max="14257" customWidth="1" width="11.42578125"/>
    <col min="14258" max="14258" customWidth="1" width="11.42578125"/>
    <col min="14259" max="14259" customWidth="1" width="11.42578125"/>
    <col min="14260" max="14260" customWidth="1" width="11.42578125"/>
    <col min="14261" max="14261" customWidth="1" width="11.42578125"/>
    <col min="14262" max="14262" customWidth="1" width="11.42578125"/>
    <col min="14263" max="14263" customWidth="1" width="11.42578125"/>
    <col min="14264" max="14264" customWidth="1" width="11.42578125"/>
    <col min="14265" max="14265" customWidth="1" width="11.42578125"/>
    <col min="14266" max="14266" customWidth="1" width="11.42578125"/>
    <col min="14267" max="14267" customWidth="1" width="11.42578125"/>
    <col min="14268" max="14268" customWidth="1" width="11.42578125"/>
    <col min="14269" max="14269" customWidth="1" width="11.42578125"/>
    <col min="14270" max="14270" customWidth="1" width="11.42578125"/>
    <col min="14271" max="14271" customWidth="1" width="11.42578125"/>
    <col min="14272" max="14272" customWidth="1" width="11.42578125"/>
    <col min="14273" max="14273" customWidth="1" width="11.42578125"/>
    <col min="14274" max="14274" customWidth="1" width="11.42578125"/>
    <col min="14275" max="14275" customWidth="1" width="11.42578125"/>
    <col min="14276" max="14276" customWidth="1" width="11.42578125"/>
    <col min="14277" max="14277" customWidth="1" width="11.42578125"/>
    <col min="14278" max="14278" customWidth="1" width="11.42578125"/>
    <col min="14279" max="14279" customWidth="1" width="11.42578125"/>
    <col min="14280" max="14280" customWidth="1" width="11.42578125"/>
    <col min="14281" max="14281" customWidth="1" width="11.42578125"/>
    <col min="14282" max="14282" customWidth="1" width="11.42578125"/>
    <col min="14283" max="14283" customWidth="1" width="11.42578125"/>
    <col min="14284" max="14284" customWidth="1" width="11.42578125"/>
    <col min="14285" max="14285" customWidth="1" width="11.42578125"/>
    <col min="14286" max="14286" customWidth="1" width="11.42578125"/>
    <col min="14287" max="14287" customWidth="1" width="11.42578125"/>
    <col min="14288" max="14288" customWidth="1" width="11.42578125"/>
    <col min="14289" max="14289" customWidth="1" width="11.42578125"/>
    <col min="14290" max="14290" customWidth="1" width="11.42578125"/>
    <col min="14291" max="14291" customWidth="1" width="11.42578125"/>
    <col min="14292" max="14292" customWidth="1" width="11.42578125"/>
    <col min="14293" max="14293" customWidth="1" width="11.42578125"/>
    <col min="14294" max="14294" customWidth="1" width="11.42578125"/>
    <col min="14295" max="14295" customWidth="1" width="11.42578125"/>
    <col min="14296" max="14296" customWidth="1" width="11.42578125"/>
    <col min="14297" max="14297" customWidth="1" width="11.42578125"/>
    <col min="14298" max="14298" customWidth="1" width="11.42578125"/>
    <col min="14299" max="14299" customWidth="1" width="11.42578125"/>
    <col min="14300" max="14300" customWidth="1" width="11.42578125"/>
    <col min="14301" max="14301" customWidth="1" width="11.42578125"/>
    <col min="14302" max="14302" customWidth="1" width="11.42578125"/>
    <col min="14303" max="14303" customWidth="1" width="11.42578125"/>
    <col min="14304" max="14304" customWidth="1" width="11.42578125"/>
    <col min="14305" max="14305" customWidth="1" width="11.42578125"/>
    <col min="14306" max="14306" customWidth="1" width="11.42578125"/>
    <col min="14307" max="14307" customWidth="1" width="11.42578125"/>
    <col min="14308" max="14308" customWidth="1" width="11.42578125"/>
    <col min="14309" max="14309" customWidth="1" width="11.42578125"/>
    <col min="14310" max="14310" customWidth="1" width="11.42578125"/>
    <col min="14311" max="14311" customWidth="1" width="11.42578125"/>
    <col min="14312" max="14312" customWidth="1" width="11.42578125"/>
    <col min="14313" max="14313" customWidth="1" width="11.42578125"/>
    <col min="14314" max="14314" customWidth="1" width="11.42578125"/>
    <col min="14315" max="14315" customWidth="1" width="11.42578125"/>
    <col min="14316" max="14316" customWidth="1" width="11.42578125"/>
    <col min="14317" max="14317" customWidth="1" width="11.42578125"/>
    <col min="14318" max="14318" customWidth="1" width="11.42578125"/>
    <col min="14319" max="14319" customWidth="1" width="11.42578125"/>
    <col min="14320" max="14320" customWidth="1" width="11.42578125"/>
    <col min="14321" max="14321" customWidth="1" width="11.42578125"/>
    <col min="14322" max="14322" customWidth="1" width="11.42578125"/>
    <col min="14323" max="14323" customWidth="1" width="11.42578125"/>
    <col min="14324" max="14324" customWidth="1" width="11.42578125"/>
    <col min="14325" max="14325" customWidth="1" width="11.42578125"/>
    <col min="14326" max="14326" customWidth="1" width="11.42578125"/>
    <col min="14327" max="14327" customWidth="1" width="11.42578125"/>
    <col min="14328" max="14328" customWidth="1" width="11.42578125"/>
    <col min="14329" max="14329" customWidth="1" width="11.42578125"/>
    <col min="14330" max="14330" customWidth="1" width="11.42578125"/>
    <col min="14331" max="14331" customWidth="1" width="11.42578125"/>
    <col min="14332" max="14332" customWidth="1" width="11.42578125"/>
    <col min="14333" max="14333" customWidth="1" width="11.42578125"/>
    <col min="14334" max="14334" customWidth="1" width="11.42578125"/>
    <col min="14335" max="14335" customWidth="1" width="11.42578125"/>
    <col min="14336" max="14336" customWidth="1" width="11.42578125"/>
    <col min="14337" max="14337" customWidth="1" width="11.42578125"/>
    <col min="14338" max="14338" customWidth="1" width="11.42578125"/>
    <col min="14339" max="14339" customWidth="1" width="11.42578125"/>
    <col min="14340" max="14340" customWidth="1" width="11.42578125"/>
    <col min="14341" max="14341" customWidth="1" width="11.42578125"/>
    <col min="14342" max="14342" customWidth="1" width="11.42578125"/>
    <col min="14343" max="14343" customWidth="1" width="11.42578125"/>
    <col min="14344" max="14344" customWidth="1" width="11.42578125"/>
    <col min="14345" max="14345" customWidth="1" width="11.42578125"/>
    <col min="14346" max="14346" customWidth="1" width="11.42578125"/>
    <col min="14347" max="14347" customWidth="1" width="11.42578125"/>
    <col min="14348" max="14348" customWidth="1" width="11.42578125"/>
    <col min="14349" max="14349" customWidth="1" width="11.42578125"/>
    <col min="14350" max="14350" customWidth="1" width="11.42578125"/>
    <col min="14351" max="14351" customWidth="1" width="11.42578125"/>
    <col min="14352" max="14352" customWidth="1" width="11.42578125"/>
    <col min="14353" max="14353" customWidth="1" width="11.42578125"/>
    <col min="14354" max="14354" customWidth="1" width="11.42578125"/>
    <col min="14355" max="14355" customWidth="1" width="11.42578125"/>
    <col min="14356" max="14356" customWidth="1" width="11.42578125"/>
    <col min="14357" max="14357" customWidth="1" width="11.42578125"/>
    <col min="14358" max="14358" customWidth="1" width="11.42578125"/>
    <col min="14359" max="14359" customWidth="1" width="11.42578125"/>
    <col min="14360" max="14360" customWidth="1" width="11.42578125"/>
    <col min="14361" max="14361" customWidth="1" width="11.42578125"/>
    <col min="14362" max="14362" customWidth="1" width="11.42578125"/>
    <col min="14363" max="14363" customWidth="1" width="11.42578125"/>
    <col min="14364" max="14364" customWidth="1" width="11.42578125"/>
    <col min="14365" max="14365" customWidth="1" width="11.42578125"/>
    <col min="14366" max="14366" customWidth="1" width="11.42578125"/>
    <col min="14367" max="14367" customWidth="1" width="11.42578125"/>
    <col min="14368" max="14368" customWidth="1" width="11.42578125"/>
    <col min="14369" max="14369" customWidth="1" width="11.42578125"/>
    <col min="14370" max="14370" customWidth="1" width="11.42578125"/>
    <col min="14371" max="14371" customWidth="1" width="11.42578125"/>
    <col min="14372" max="14372" customWidth="1" width="11.42578125"/>
    <col min="14373" max="14373" customWidth="1" width="11.42578125"/>
    <col min="14374" max="14374" customWidth="1" width="11.42578125"/>
    <col min="14375" max="14375" customWidth="1" width="11.42578125"/>
    <col min="14376" max="14376" customWidth="1" width="11.42578125"/>
    <col min="14377" max="14377" customWidth="1" width="11.42578125"/>
    <col min="14378" max="14378" customWidth="1" width="11.42578125"/>
    <col min="14379" max="14379" customWidth="1" width="11.42578125"/>
    <col min="14380" max="14380" customWidth="1" width="11.42578125"/>
    <col min="14381" max="14381" customWidth="1" width="11.42578125"/>
    <col min="14382" max="14382" customWidth="1" width="11.42578125"/>
    <col min="14383" max="14383" customWidth="1" width="11.42578125"/>
    <col min="14384" max="14384" customWidth="1" width="11.42578125"/>
    <col min="14385" max="14385" customWidth="1" width="11.42578125"/>
    <col min="14386" max="14386" customWidth="1" width="11.42578125"/>
    <col min="14387" max="14387" customWidth="1" width="11.42578125"/>
    <col min="14388" max="14388" customWidth="1" width="11.42578125"/>
    <col min="14389" max="14389" customWidth="1" width="11.42578125"/>
    <col min="14390" max="14390" customWidth="1" width="11.42578125"/>
    <col min="14391" max="14391" customWidth="1" width="11.42578125"/>
    <col min="14392" max="14392" customWidth="1" width="11.42578125"/>
    <col min="14393" max="14393" customWidth="1" width="11.42578125"/>
    <col min="14394" max="14394" customWidth="1" width="11.42578125"/>
    <col min="14395" max="14395" customWidth="1" width="11.42578125"/>
    <col min="14396" max="14396" customWidth="1" width="11.42578125"/>
    <col min="14397" max="14397" customWidth="1" width="11.42578125"/>
    <col min="14398" max="14398" customWidth="1" width="11.42578125"/>
    <col min="14399" max="14399" customWidth="1" width="11.42578125"/>
    <col min="14400" max="14400" customWidth="1" width="11.42578125"/>
    <col min="14401" max="14401" customWidth="1" width="11.42578125"/>
    <col min="14402" max="14402" customWidth="1" width="11.42578125"/>
    <col min="14403" max="14403" customWidth="1" width="11.42578125"/>
    <col min="14404" max="14404" customWidth="1" width="11.42578125"/>
    <col min="14405" max="14405" customWidth="1" width="11.42578125"/>
    <col min="14406" max="14406" customWidth="1" width="11.42578125"/>
    <col min="14407" max="14407" customWidth="1" width="11.42578125"/>
    <col min="14408" max="14408" customWidth="1" width="11.42578125"/>
    <col min="14409" max="14409" customWidth="1" width="11.42578125"/>
    <col min="14410" max="14410" customWidth="1" width="11.42578125"/>
    <col min="14411" max="14411" customWidth="1" width="11.42578125"/>
    <col min="14412" max="14412" customWidth="1" width="11.42578125"/>
    <col min="14413" max="14413" customWidth="1" width="11.42578125"/>
    <col min="14414" max="14414" customWidth="1" width="11.42578125"/>
    <col min="14415" max="14415" customWidth="1" width="11.42578125"/>
    <col min="14416" max="14416" customWidth="1" width="11.42578125"/>
    <col min="14417" max="14417" customWidth="1" width="11.42578125"/>
    <col min="14418" max="14418" customWidth="1" width="11.42578125"/>
    <col min="14419" max="14419" customWidth="1" width="11.42578125"/>
    <col min="14420" max="14420" customWidth="1" width="11.42578125"/>
    <col min="14421" max="14421" customWidth="1" width="11.42578125"/>
    <col min="14422" max="14422" customWidth="1" width="11.42578125"/>
    <col min="14423" max="14423" customWidth="1" width="11.42578125"/>
    <col min="14424" max="14424" customWidth="1" width="11.42578125"/>
    <col min="14425" max="14425" customWidth="1" width="11.42578125"/>
    <col min="14426" max="14426" customWidth="1" width="11.42578125"/>
    <col min="14427" max="14427" customWidth="1" width="11.42578125"/>
    <col min="14428" max="14428" customWidth="1" width="11.42578125"/>
    <col min="14429" max="14429" customWidth="1" width="11.42578125"/>
    <col min="14430" max="14430" customWidth="1" width="11.42578125"/>
    <col min="14431" max="14431" customWidth="1" width="11.42578125"/>
    <col min="14432" max="14432" customWidth="1" width="11.42578125"/>
    <col min="14433" max="14433" customWidth="1" width="11.42578125"/>
    <col min="14434" max="14434" customWidth="1" width="11.42578125"/>
    <col min="14435" max="14435" customWidth="1" width="11.42578125"/>
    <col min="14436" max="14436" customWidth="1" width="11.42578125"/>
    <col min="14437" max="14437" customWidth="1" width="11.42578125"/>
    <col min="14438" max="14438" customWidth="1" width="11.42578125"/>
    <col min="14439" max="14439" customWidth="1" width="11.42578125"/>
    <col min="14440" max="14440" customWidth="1" width="11.42578125"/>
    <col min="14441" max="14441" customWidth="1" width="11.42578125"/>
    <col min="14442" max="14442" customWidth="1" width="11.42578125"/>
    <col min="14443" max="14443" customWidth="1" width="11.42578125"/>
    <col min="14444" max="14444" customWidth="1" width="11.42578125"/>
    <col min="14445" max="14445" customWidth="1" width="11.42578125"/>
    <col min="14446" max="14446" customWidth="1" width="11.42578125"/>
    <col min="14447" max="14447" customWidth="1" width="11.42578125"/>
    <col min="14448" max="14448" customWidth="1" width="11.42578125"/>
    <col min="14449" max="14449" customWidth="1" width="11.42578125"/>
    <col min="14450" max="14450" customWidth="1" width="11.42578125"/>
    <col min="14451" max="14451" customWidth="1" width="11.42578125"/>
    <col min="14452" max="14452" customWidth="1" width="11.42578125"/>
    <col min="14453" max="14453" customWidth="1" width="11.42578125"/>
    <col min="14454" max="14454" customWidth="1" width="11.42578125"/>
    <col min="14455" max="14455" customWidth="1" width="11.42578125"/>
    <col min="14456" max="14456" customWidth="1" width="11.42578125"/>
    <col min="14457" max="14457" customWidth="1" width="11.42578125"/>
    <col min="14458" max="14458" customWidth="1" width="11.42578125"/>
    <col min="14459" max="14459" customWidth="1" width="11.42578125"/>
    <col min="14460" max="14460" customWidth="1" width="11.42578125"/>
    <col min="14461" max="14461" customWidth="1" width="11.42578125"/>
    <col min="14462" max="14462" customWidth="1" width="11.42578125"/>
    <col min="14463" max="14463" customWidth="1" width="11.42578125"/>
    <col min="14464" max="14464" customWidth="1" width="11.42578125"/>
    <col min="14465" max="14465" customWidth="1" width="11.42578125"/>
    <col min="14466" max="14466" customWidth="1" width="11.42578125"/>
    <col min="14467" max="14467" customWidth="1" width="11.42578125"/>
    <col min="14468" max="14468" customWidth="1" width="11.42578125"/>
    <col min="14469" max="14469" customWidth="1" width="11.42578125"/>
    <col min="14470" max="14470" customWidth="1" width="11.42578125"/>
    <col min="14471" max="14471" customWidth="1" width="11.42578125"/>
    <col min="14472" max="14472" customWidth="1" width="11.42578125"/>
    <col min="14473" max="14473" customWidth="1" width="11.42578125"/>
    <col min="14474" max="14474" customWidth="1" width="11.42578125"/>
    <col min="14475" max="14475" customWidth="1" width="11.42578125"/>
    <col min="14476" max="14476" customWidth="1" width="11.42578125"/>
    <col min="14477" max="14477" customWidth="1" width="11.42578125"/>
    <col min="14478" max="14478" customWidth="1" width="11.42578125"/>
    <col min="14479" max="14479" customWidth="1" width="11.42578125"/>
    <col min="14480" max="14480" customWidth="1" width="11.42578125"/>
    <col min="14481" max="14481" customWidth="1" width="11.42578125"/>
    <col min="14482" max="14482" customWidth="1" width="11.42578125"/>
    <col min="14483" max="14483" customWidth="1" width="11.42578125"/>
    <col min="14484" max="14484" customWidth="1" width="11.42578125"/>
    <col min="14485" max="14485" customWidth="1" width="11.42578125"/>
    <col min="14486" max="14486" customWidth="1" width="11.42578125"/>
    <col min="14487" max="14487" customWidth="1" width="11.42578125"/>
    <col min="14488" max="14488" customWidth="1" width="11.42578125"/>
    <col min="14489" max="14489" customWidth="1" width="11.42578125"/>
    <col min="14490" max="14490" customWidth="1" width="11.42578125"/>
    <col min="14491" max="14491" customWidth="1" width="11.42578125"/>
    <col min="14492" max="14492" customWidth="1" width="11.42578125"/>
    <col min="14493" max="14493" customWidth="1" width="11.42578125"/>
    <col min="14494" max="14494" customWidth="1" width="11.42578125"/>
    <col min="14495" max="14495" customWidth="1" width="11.42578125"/>
    <col min="14496" max="14496" customWidth="1" width="11.42578125"/>
    <col min="14497" max="14497" customWidth="1" width="11.42578125"/>
    <col min="14498" max="14498" customWidth="1" width="11.42578125"/>
    <col min="14499" max="14499" customWidth="1" width="11.42578125"/>
    <col min="14500" max="14500" customWidth="1" width="11.42578125"/>
    <col min="14501" max="14501" customWidth="1" width="11.42578125"/>
    <col min="14502" max="14502" customWidth="1" width="11.42578125"/>
    <col min="14503" max="14503" customWidth="1" width="11.42578125"/>
    <col min="14504" max="14504" customWidth="1" width="11.42578125"/>
    <col min="14505" max="14505" customWidth="1" width="11.42578125"/>
    <col min="14506" max="14506" customWidth="1" width="11.42578125"/>
    <col min="14507" max="14507" customWidth="1" width="11.42578125"/>
    <col min="14508" max="14508" customWidth="1" width="11.42578125"/>
    <col min="14509" max="14509" customWidth="1" width="11.42578125"/>
    <col min="14510" max="14510" customWidth="1" width="11.42578125"/>
    <col min="14511" max="14511" customWidth="1" width="11.42578125"/>
    <col min="14512" max="14512" customWidth="1" width="11.42578125"/>
    <col min="14513" max="14513" customWidth="1" width="11.42578125"/>
    <col min="14514" max="14514" customWidth="1" width="11.42578125"/>
    <col min="14515" max="14515" customWidth="1" width="11.42578125"/>
    <col min="14516" max="14516" customWidth="1" width="11.42578125"/>
    <col min="14517" max="14517" customWidth="1" width="11.42578125"/>
    <col min="14518" max="14518" customWidth="1" width="11.42578125"/>
    <col min="14519" max="14519" customWidth="1" width="11.42578125"/>
    <col min="14520" max="14520" customWidth="1" width="11.42578125"/>
    <col min="14521" max="14521" customWidth="1" width="11.42578125"/>
    <col min="14522" max="14522" customWidth="1" width="11.42578125"/>
    <col min="14523" max="14523" customWidth="1" width="11.42578125"/>
    <col min="14524" max="14524" customWidth="1" width="11.42578125"/>
    <col min="14525" max="14525" customWidth="1" width="11.42578125"/>
    <col min="14526" max="14526" customWidth="1" width="11.42578125"/>
    <col min="14527" max="14527" customWidth="1" width="11.42578125"/>
    <col min="14528" max="14528" customWidth="1" width="11.42578125"/>
    <col min="14529" max="14529" customWidth="1" width="11.42578125"/>
    <col min="14530" max="14530" customWidth="1" width="11.42578125"/>
    <col min="14531" max="14531" customWidth="1" width="11.42578125"/>
    <col min="14532" max="14532" customWidth="1" width="11.42578125"/>
    <col min="14533" max="14533" customWidth="1" width="11.42578125"/>
    <col min="14534" max="14534" customWidth="1" width="11.42578125"/>
    <col min="14535" max="14535" customWidth="1" width="11.42578125"/>
    <col min="14536" max="14536" customWidth="1" width="11.42578125"/>
    <col min="14537" max="14537" customWidth="1" width="11.42578125"/>
    <col min="14538" max="14538" customWidth="1" width="11.42578125"/>
    <col min="14539" max="14539" customWidth="1" width="11.42578125"/>
    <col min="14540" max="14540" customWidth="1" width="11.42578125"/>
    <col min="14541" max="14541" customWidth="1" width="11.42578125"/>
    <col min="14542" max="14542" customWidth="1" width="11.42578125"/>
    <col min="14543" max="14543" customWidth="1" width="11.42578125"/>
    <col min="14544" max="14544" customWidth="1" width="11.42578125"/>
    <col min="14545" max="14545" customWidth="1" width="11.42578125"/>
    <col min="14546" max="14546" customWidth="1" width="11.42578125"/>
    <col min="14547" max="14547" customWidth="1" width="11.42578125"/>
    <col min="14548" max="14548" customWidth="1" width="11.42578125"/>
    <col min="14549" max="14549" customWidth="1" width="11.42578125"/>
    <col min="14550" max="14550" customWidth="1" width="11.42578125"/>
    <col min="14551" max="14551" customWidth="1" width="11.42578125"/>
    <col min="14552" max="14552" customWidth="1" width="11.42578125"/>
    <col min="14553" max="14553" customWidth="1" width="11.42578125"/>
    <col min="14554" max="14554" customWidth="1" width="11.42578125"/>
    <col min="14555" max="14555" customWidth="1" width="11.42578125"/>
    <col min="14556" max="14556" customWidth="1" width="11.42578125"/>
    <col min="14557" max="14557" customWidth="1" width="11.42578125"/>
    <col min="14558" max="14558" customWidth="1" width="11.42578125"/>
    <col min="14559" max="14559" customWidth="1" width="11.42578125"/>
    <col min="14560" max="14560" customWidth="1" width="11.42578125"/>
    <col min="14561" max="14561" customWidth="1" width="11.42578125"/>
    <col min="14562" max="14562" customWidth="1" width="11.42578125"/>
    <col min="14563" max="14563" customWidth="1" width="11.42578125"/>
    <col min="14564" max="14564" customWidth="1" width="11.42578125"/>
    <col min="14565" max="14565" customWidth="1" width="11.42578125"/>
    <col min="14566" max="14566" customWidth="1" width="11.42578125"/>
    <col min="14567" max="14567" customWidth="1" width="11.42578125"/>
    <col min="14568" max="14568" customWidth="1" width="11.42578125"/>
    <col min="14569" max="14569" customWidth="1" width="11.42578125"/>
    <col min="14570" max="14570" customWidth="1" width="11.42578125"/>
    <col min="14571" max="14571" customWidth="1" width="11.42578125"/>
    <col min="14572" max="14572" customWidth="1" width="11.42578125"/>
    <col min="14573" max="14573" customWidth="1" width="11.42578125"/>
    <col min="14574" max="14574" customWidth="1" width="11.42578125"/>
    <col min="14575" max="14575" customWidth="1" width="11.42578125"/>
    <col min="14576" max="14576" customWidth="1" width="11.42578125"/>
    <col min="14577" max="14577" customWidth="1" width="11.42578125"/>
    <col min="14578" max="14578" customWidth="1" width="11.42578125"/>
    <col min="14579" max="14579" customWidth="1" width="11.42578125"/>
    <col min="14580" max="14580" customWidth="1" width="11.42578125"/>
    <col min="14581" max="14581" customWidth="1" width="11.42578125"/>
    <col min="14582" max="14582" customWidth="1" width="11.42578125"/>
    <col min="14583" max="14583" customWidth="1" width="11.42578125"/>
    <col min="14584" max="14584" customWidth="1" width="11.42578125"/>
    <col min="14585" max="14585" customWidth="1" width="11.42578125"/>
    <col min="14586" max="14586" customWidth="1" width="11.42578125"/>
    <col min="14587" max="14587" customWidth="1" width="11.42578125"/>
    <col min="14588" max="14588" customWidth="1" width="11.42578125"/>
    <col min="14589" max="14589" customWidth="1" width="11.42578125"/>
    <col min="14590" max="14590" customWidth="1" width="11.42578125"/>
    <col min="14591" max="14591" customWidth="1" width="11.42578125"/>
    <col min="14592" max="14592" customWidth="1" width="11.42578125"/>
    <col min="14593" max="14593" customWidth="1" width="11.42578125"/>
    <col min="14594" max="14594" customWidth="1" width="11.42578125"/>
    <col min="14595" max="14595" customWidth="1" width="11.42578125"/>
    <col min="14596" max="14596" customWidth="1" width="11.42578125"/>
    <col min="14597" max="14597" customWidth="1" width="11.42578125"/>
    <col min="14598" max="14598" customWidth="1" width="11.42578125"/>
    <col min="14599" max="14599" customWidth="1" width="11.42578125"/>
    <col min="14600" max="14600" customWidth="1" width="11.42578125"/>
    <col min="14601" max="14601" customWidth="1" width="11.42578125"/>
    <col min="14602" max="14602" customWidth="1" width="11.42578125"/>
    <col min="14603" max="14603" customWidth="1" width="11.42578125"/>
    <col min="14604" max="14604" customWidth="1" width="11.42578125"/>
    <col min="14605" max="14605" customWidth="1" width="11.42578125"/>
    <col min="14606" max="14606" customWidth="1" width="11.42578125"/>
    <col min="14607" max="14607" customWidth="1" width="11.42578125"/>
    <col min="14608" max="14608" customWidth="1" width="11.42578125"/>
    <col min="14609" max="14609" customWidth="1" width="11.42578125"/>
    <col min="14610" max="14610" customWidth="1" width="11.42578125"/>
    <col min="14611" max="14611" customWidth="1" width="11.42578125"/>
    <col min="14612" max="14612" customWidth="1" width="11.42578125"/>
    <col min="14613" max="14613" customWidth="1" width="11.42578125"/>
    <col min="14614" max="14614" customWidth="1" width="11.42578125"/>
    <col min="14615" max="14615" customWidth="1" width="11.42578125"/>
    <col min="14616" max="14616" customWidth="1" width="11.42578125"/>
    <col min="14617" max="14617" customWidth="1" width="11.42578125"/>
    <col min="14618" max="14618" customWidth="1" width="11.42578125"/>
    <col min="14619" max="14619" customWidth="1" width="11.42578125"/>
    <col min="14620" max="14620" customWidth="1" width="11.42578125"/>
    <col min="14621" max="14621" customWidth="1" width="11.42578125"/>
    <col min="14622" max="14622" customWidth="1" width="11.42578125"/>
    <col min="14623" max="14623" customWidth="1" width="11.42578125"/>
    <col min="14624" max="14624" customWidth="1" width="11.42578125"/>
    <col min="14625" max="14625" customWidth="1" width="11.42578125"/>
    <col min="14626" max="14626" customWidth="1" width="11.42578125"/>
    <col min="14627" max="14627" customWidth="1" width="11.42578125"/>
    <col min="14628" max="14628" customWidth="1" width="11.42578125"/>
    <col min="14629" max="14629" customWidth="1" width="11.42578125"/>
    <col min="14630" max="14630" customWidth="1" width="11.42578125"/>
    <col min="14631" max="14631" customWidth="1" width="11.42578125"/>
    <col min="14632" max="14632" customWidth="1" width="11.42578125"/>
    <col min="14633" max="14633" customWidth="1" width="11.42578125"/>
    <col min="14634" max="14634" customWidth="1" width="11.42578125"/>
    <col min="14635" max="14635" customWidth="1" width="11.42578125"/>
    <col min="14636" max="14636" customWidth="1" width="11.42578125"/>
    <col min="14637" max="14637" customWidth="1" width="11.42578125"/>
    <col min="14638" max="14638" customWidth="1" width="11.42578125"/>
    <col min="14639" max="14639" customWidth="1" width="11.42578125"/>
    <col min="14640" max="14640" customWidth="1" width="11.42578125"/>
    <col min="14641" max="14641" customWidth="1" width="11.42578125"/>
    <col min="14642" max="14642" customWidth="1" width="11.42578125"/>
    <col min="14643" max="14643" customWidth="1" width="11.42578125"/>
    <col min="14644" max="14644" customWidth="1" width="11.42578125"/>
    <col min="14645" max="14645" customWidth="1" width="11.42578125"/>
    <col min="14646" max="14646" customWidth="1" width="11.42578125"/>
    <col min="14647" max="14647" customWidth="1" width="11.42578125"/>
    <col min="14648" max="14648" customWidth="1" width="11.42578125"/>
    <col min="14649" max="14649" customWidth="1" width="11.42578125"/>
    <col min="14650" max="14650" customWidth="1" width="11.42578125"/>
    <col min="14651" max="14651" customWidth="1" width="11.42578125"/>
    <col min="14652" max="14652" customWidth="1" width="11.42578125"/>
    <col min="14653" max="14653" customWidth="1" width="11.42578125"/>
    <col min="14654" max="14654" customWidth="1" width="11.42578125"/>
    <col min="14655" max="14655" customWidth="1" width="11.42578125"/>
    <col min="14656" max="14656" customWidth="1" width="11.42578125"/>
    <col min="14657" max="14657" customWidth="1" width="11.42578125"/>
    <col min="14658" max="14658" customWidth="1" width="11.42578125"/>
    <col min="14659" max="14659" customWidth="1" width="11.42578125"/>
    <col min="14660" max="14660" customWidth="1" width="11.42578125"/>
    <col min="14661" max="14661" customWidth="1" width="11.42578125"/>
    <col min="14662" max="14662" customWidth="1" width="11.42578125"/>
    <col min="14663" max="14663" customWidth="1" width="11.42578125"/>
    <col min="14664" max="14664" customWidth="1" width="11.42578125"/>
    <col min="14665" max="14665" customWidth="1" width="11.42578125"/>
    <col min="14666" max="14666" customWidth="1" width="11.42578125"/>
    <col min="14667" max="14667" customWidth="1" width="11.42578125"/>
    <col min="14668" max="14668" customWidth="1" width="11.42578125"/>
    <col min="14669" max="14669" customWidth="1" width="11.42578125"/>
    <col min="14670" max="14670" customWidth="1" width="11.42578125"/>
    <col min="14671" max="14671" customWidth="1" width="11.42578125"/>
    <col min="14672" max="14672" customWidth="1" width="11.42578125"/>
    <col min="14673" max="14673" customWidth="1" width="11.42578125"/>
    <col min="14674" max="14674" customWidth="1" width="11.42578125"/>
    <col min="14675" max="14675" customWidth="1" width="11.42578125"/>
    <col min="14676" max="14676" customWidth="1" width="11.42578125"/>
    <col min="14677" max="14677" customWidth="1" width="11.42578125"/>
    <col min="14678" max="14678" customWidth="1" width="11.42578125"/>
    <col min="14679" max="14679" customWidth="1" width="11.42578125"/>
    <col min="14680" max="14680" customWidth="1" width="11.42578125"/>
    <col min="14681" max="14681" customWidth="1" width="11.42578125"/>
    <col min="14682" max="14682" customWidth="1" width="11.42578125"/>
    <col min="14683" max="14683" customWidth="1" width="11.42578125"/>
    <col min="14684" max="14684" customWidth="1" width="11.42578125"/>
    <col min="14685" max="14685" customWidth="1" width="11.42578125"/>
    <col min="14686" max="14686" customWidth="1" width="11.42578125"/>
    <col min="14687" max="14687" customWidth="1" width="11.42578125"/>
    <col min="14688" max="14688" customWidth="1" width="11.42578125"/>
    <col min="14689" max="14689" customWidth="1" width="11.42578125"/>
    <col min="14690" max="14690" customWidth="1" width="11.42578125"/>
    <col min="14691" max="14691" customWidth="1" width="11.42578125"/>
    <col min="14692" max="14692" customWidth="1" width="11.42578125"/>
    <col min="14693" max="14693" customWidth="1" width="11.42578125"/>
    <col min="14694" max="14694" customWidth="1" width="11.42578125"/>
    <col min="14695" max="14695" customWidth="1" width="11.42578125"/>
    <col min="14696" max="14696" customWidth="1" width="11.42578125"/>
    <col min="14697" max="14697" customWidth="1" width="11.42578125"/>
    <col min="14698" max="14698" customWidth="1" width="11.42578125"/>
    <col min="14699" max="14699" customWidth="1" width="11.42578125"/>
    <col min="14700" max="14700" customWidth="1" width="11.42578125"/>
    <col min="14701" max="14701" customWidth="1" width="11.42578125"/>
    <col min="14702" max="14702" customWidth="1" width="11.42578125"/>
    <col min="14703" max="14703" customWidth="1" width="11.42578125"/>
    <col min="14704" max="14704" customWidth="1" width="11.42578125"/>
    <col min="14705" max="14705" customWidth="1" width="11.42578125"/>
    <col min="14706" max="14706" customWidth="1" width="11.42578125"/>
    <col min="14707" max="14707" customWidth="1" width="11.42578125"/>
    <col min="14708" max="14708" customWidth="1" width="11.42578125"/>
    <col min="14709" max="14709" customWidth="1" width="11.42578125"/>
    <col min="14710" max="14710" customWidth="1" width="11.42578125"/>
    <col min="14711" max="14711" customWidth="1" width="11.42578125"/>
    <col min="14712" max="14712" customWidth="1" width="11.42578125"/>
    <col min="14713" max="14713" customWidth="1" width="11.42578125"/>
    <col min="14714" max="14714" customWidth="1" width="11.42578125"/>
    <col min="14715" max="14715" customWidth="1" width="11.42578125"/>
    <col min="14716" max="14716" customWidth="1" width="11.42578125"/>
    <col min="14717" max="14717" customWidth="1" width="11.42578125"/>
    <col min="14718" max="14718" customWidth="1" width="11.42578125"/>
    <col min="14719" max="14719" customWidth="1" width="11.42578125"/>
    <col min="14720" max="14720" customWidth="1" width="11.42578125"/>
    <col min="14721" max="14721" customWidth="1" width="11.42578125"/>
    <col min="14722" max="14722" customWidth="1" width="11.42578125"/>
    <col min="14723" max="14723" customWidth="1" width="11.42578125"/>
    <col min="14724" max="14724" customWidth="1" width="11.42578125"/>
    <col min="14725" max="14725" customWidth="1" width="11.42578125"/>
    <col min="14726" max="14726" customWidth="1" width="11.42578125"/>
    <col min="14727" max="14727" customWidth="1" width="11.42578125"/>
    <col min="14728" max="14728" customWidth="1" width="11.42578125"/>
    <col min="14729" max="14729" customWidth="1" width="11.42578125"/>
    <col min="14730" max="14730" customWidth="1" width="11.42578125"/>
    <col min="14731" max="14731" customWidth="1" width="11.42578125"/>
    <col min="14732" max="14732" customWidth="1" width="11.42578125"/>
    <col min="14733" max="14733" customWidth="1" width="11.42578125"/>
    <col min="14734" max="14734" customWidth="1" width="11.42578125"/>
    <col min="14735" max="14735" customWidth="1" width="11.42578125"/>
    <col min="14736" max="14736" customWidth="1" width="11.42578125"/>
    <col min="14737" max="14737" customWidth="1" width="11.42578125"/>
    <col min="14738" max="14738" customWidth="1" width="11.42578125"/>
    <col min="14739" max="14739" customWidth="1" width="11.42578125"/>
    <col min="14740" max="14740" customWidth="1" width="11.42578125"/>
    <col min="14741" max="14741" customWidth="1" width="11.42578125"/>
    <col min="14742" max="14742" customWidth="1" width="11.42578125"/>
    <col min="14743" max="14743" customWidth="1" width="11.42578125"/>
    <col min="14744" max="14744" customWidth="1" width="11.42578125"/>
    <col min="14745" max="14745" customWidth="1" width="11.42578125"/>
    <col min="14746" max="14746" customWidth="1" width="11.42578125"/>
    <col min="14747" max="14747" customWidth="1" width="11.42578125"/>
    <col min="14748" max="14748" customWidth="1" width="11.42578125"/>
    <col min="14749" max="14749" customWidth="1" width="11.42578125"/>
    <col min="14750" max="14750" customWidth="1" width="11.42578125"/>
    <col min="14751" max="14751" customWidth="1" width="11.42578125"/>
    <col min="14752" max="14752" customWidth="1" width="11.42578125"/>
    <col min="14753" max="14753" customWidth="1" width="11.42578125"/>
    <col min="14754" max="14754" customWidth="1" width="11.42578125"/>
    <col min="14755" max="14755" customWidth="1" width="11.42578125"/>
    <col min="14756" max="14756" customWidth="1" width="11.42578125"/>
    <col min="14757" max="14757" customWidth="1" width="11.42578125"/>
    <col min="14758" max="14758" customWidth="1" width="11.42578125"/>
    <col min="14759" max="14759" customWidth="1" width="11.42578125"/>
    <col min="14760" max="14760" customWidth="1" width="11.42578125"/>
    <col min="14761" max="14761" customWidth="1" width="11.42578125"/>
    <col min="14762" max="14762" customWidth="1" width="11.42578125"/>
    <col min="14763" max="14763" customWidth="1" width="11.42578125"/>
    <col min="14764" max="14764" customWidth="1" width="11.42578125"/>
    <col min="14765" max="14765" customWidth="1" width="11.42578125"/>
    <col min="14766" max="14766" customWidth="1" width="11.42578125"/>
    <col min="14767" max="14767" customWidth="1" width="11.42578125"/>
    <col min="14768" max="14768" customWidth="1" width="11.42578125"/>
    <col min="14769" max="14769" customWidth="1" width="11.42578125"/>
    <col min="14770" max="14770" customWidth="1" width="11.42578125"/>
    <col min="14771" max="14771" customWidth="1" width="11.42578125"/>
    <col min="14772" max="14772" customWidth="1" width="11.42578125"/>
    <col min="14773" max="14773" customWidth="1" width="11.42578125"/>
    <col min="14774" max="14774" customWidth="1" width="11.42578125"/>
    <col min="14775" max="14775" customWidth="1" width="11.42578125"/>
    <col min="14776" max="14776" customWidth="1" width="11.42578125"/>
    <col min="14777" max="14777" customWidth="1" width="11.42578125"/>
    <col min="14778" max="14778" customWidth="1" width="11.42578125"/>
    <col min="14779" max="14779" customWidth="1" width="11.42578125"/>
    <col min="14780" max="14780" customWidth="1" width="11.42578125"/>
    <col min="14781" max="14781" customWidth="1" width="11.42578125"/>
    <col min="14782" max="14782" customWidth="1" width="11.42578125"/>
    <col min="14783" max="14783" customWidth="1" width="11.42578125"/>
    <col min="14784" max="14784" customWidth="1" width="11.42578125"/>
    <col min="14785" max="14785" customWidth="1" width="11.42578125"/>
    <col min="14786" max="14786" customWidth="1" width="11.42578125"/>
    <col min="14787" max="14787" customWidth="1" width="11.42578125"/>
    <col min="14788" max="14788" customWidth="1" width="11.42578125"/>
    <col min="14789" max="14789" customWidth="1" width="11.42578125"/>
    <col min="14790" max="14790" customWidth="1" width="11.42578125"/>
    <col min="14791" max="14791" customWidth="1" width="11.42578125"/>
    <col min="14792" max="14792" customWidth="1" width="11.42578125"/>
    <col min="14793" max="14793" customWidth="1" width="11.42578125"/>
    <col min="14794" max="14794" customWidth="1" width="11.42578125"/>
    <col min="14795" max="14795" customWidth="1" width="11.42578125"/>
    <col min="14796" max="14796" customWidth="1" width="11.42578125"/>
    <col min="14797" max="14797" customWidth="1" width="11.42578125"/>
    <col min="14798" max="14798" customWidth="1" width="11.42578125"/>
    <col min="14799" max="14799" customWidth="1" width="11.42578125"/>
    <col min="14800" max="14800" customWidth="1" width="11.42578125"/>
    <col min="14801" max="14801" customWidth="1" width="11.42578125"/>
    <col min="14802" max="14802" customWidth="1" width="11.42578125"/>
    <col min="14803" max="14803" customWidth="1" width="11.42578125"/>
    <col min="14804" max="14804" customWidth="1" width="11.42578125"/>
    <col min="14805" max="14805" customWidth="1" width="11.42578125"/>
    <col min="14806" max="14806" customWidth="1" width="11.42578125"/>
    <col min="14807" max="14807" customWidth="1" width="11.42578125"/>
    <col min="14808" max="14808" customWidth="1" width="11.42578125"/>
    <col min="14809" max="14809" customWidth="1" width="11.42578125"/>
    <col min="14810" max="14810" customWidth="1" width="11.42578125"/>
    <col min="14811" max="14811" customWidth="1" width="11.42578125"/>
    <col min="14812" max="14812" customWidth="1" width="11.42578125"/>
    <col min="14813" max="14813" customWidth="1" width="11.42578125"/>
    <col min="14814" max="14814" customWidth="1" width="11.42578125"/>
    <col min="14815" max="14815" customWidth="1" width="11.42578125"/>
    <col min="14816" max="14816" customWidth="1" width="11.42578125"/>
    <col min="14817" max="14817" customWidth="1" width="11.42578125"/>
    <col min="14818" max="14818" customWidth="1" width="11.42578125"/>
    <col min="14819" max="14819" customWidth="1" width="11.42578125"/>
    <col min="14820" max="14820" customWidth="1" width="11.42578125"/>
    <col min="14821" max="14821" customWidth="1" width="11.42578125"/>
    <col min="14822" max="14822" customWidth="1" width="11.42578125"/>
    <col min="14823" max="14823" customWidth="1" width="11.42578125"/>
    <col min="14824" max="14824" customWidth="1" width="11.42578125"/>
    <col min="14825" max="14825" customWidth="1" width="11.42578125"/>
    <col min="14826" max="14826" customWidth="1" width="11.42578125"/>
    <col min="14827" max="14827" customWidth="1" width="11.42578125"/>
    <col min="14828" max="14828" customWidth="1" width="11.42578125"/>
    <col min="14829" max="14829" customWidth="1" width="11.42578125"/>
    <col min="14830" max="14830" customWidth="1" width="11.42578125"/>
    <col min="14831" max="14831" customWidth="1" width="11.42578125"/>
    <col min="14832" max="14832" customWidth="1" width="11.42578125"/>
    <col min="14833" max="14833" customWidth="1" width="11.42578125"/>
    <col min="14834" max="14834" customWidth="1" width="11.42578125"/>
    <col min="14835" max="14835" customWidth="1" width="11.42578125"/>
    <col min="14836" max="14836" customWidth="1" width="11.42578125"/>
    <col min="14837" max="14837" customWidth="1" width="11.42578125"/>
    <col min="14838" max="14838" customWidth="1" width="11.42578125"/>
    <col min="14839" max="14839" customWidth="1" width="11.42578125"/>
    <col min="14840" max="14840" customWidth="1" width="11.42578125"/>
    <col min="14841" max="14841" customWidth="1" width="11.42578125"/>
    <col min="14842" max="14842" customWidth="1" width="11.42578125"/>
    <col min="14843" max="14843" customWidth="1" width="11.42578125"/>
    <col min="14844" max="14844" customWidth="1" width="11.42578125"/>
    <col min="14845" max="14845" customWidth="1" width="11.42578125"/>
    <col min="14846" max="14846" customWidth="1" width="11.42578125"/>
    <col min="14847" max="14847" customWidth="1" width="11.42578125"/>
    <col min="14848" max="14848" customWidth="1" width="11.42578125"/>
    <col min="14849" max="14849" customWidth="1" width="11.42578125"/>
    <col min="14850" max="14850" customWidth="1" width="11.42578125"/>
    <col min="14851" max="14851" customWidth="1" width="11.42578125"/>
    <col min="14852" max="14852" customWidth="1" width="11.42578125"/>
    <col min="14853" max="14853" customWidth="1" width="11.42578125"/>
    <col min="14854" max="14854" customWidth="1" width="11.42578125"/>
    <col min="14855" max="14855" customWidth="1" width="11.42578125"/>
    <col min="14856" max="14856" customWidth="1" width="11.42578125"/>
    <col min="14857" max="14857" customWidth="1" width="11.42578125"/>
    <col min="14858" max="14858" customWidth="1" width="11.42578125"/>
    <col min="14859" max="14859" customWidth="1" width="11.42578125"/>
    <col min="14860" max="14860" customWidth="1" width="11.42578125"/>
    <col min="14861" max="14861" customWidth="1" width="11.42578125"/>
    <col min="14862" max="14862" customWidth="1" width="11.42578125"/>
    <col min="14863" max="14863" customWidth="1" width="11.42578125"/>
    <col min="14864" max="14864" customWidth="1" width="11.42578125"/>
    <col min="14865" max="14865" customWidth="1" width="11.42578125"/>
    <col min="14866" max="14866" customWidth="1" width="11.42578125"/>
    <col min="14867" max="14867" customWidth="1" width="11.42578125"/>
    <col min="14868" max="14868" customWidth="1" width="11.42578125"/>
    <col min="14869" max="14869" customWidth="1" width="11.42578125"/>
    <col min="14870" max="14870" customWidth="1" width="11.42578125"/>
    <col min="14871" max="14871" customWidth="1" width="11.42578125"/>
    <col min="14872" max="14872" customWidth="1" width="11.42578125"/>
    <col min="14873" max="14873" customWidth="1" width="11.42578125"/>
    <col min="14874" max="14874" customWidth="1" width="11.42578125"/>
    <col min="14875" max="14875" customWidth="1" width="11.42578125"/>
    <col min="14876" max="14876" customWidth="1" width="11.42578125"/>
    <col min="14877" max="14877" customWidth="1" width="11.42578125"/>
    <col min="14878" max="14878" customWidth="1" width="11.42578125"/>
    <col min="14879" max="14879" customWidth="1" width="11.42578125"/>
    <col min="14880" max="14880" customWidth="1" width="11.42578125"/>
    <col min="14881" max="14881" customWidth="1" width="11.42578125"/>
    <col min="14882" max="14882" customWidth="1" width="11.42578125"/>
    <col min="14883" max="14883" customWidth="1" width="11.42578125"/>
    <col min="14884" max="14884" customWidth="1" width="11.42578125"/>
    <col min="14885" max="14885" customWidth="1" width="11.42578125"/>
    <col min="14886" max="14886" customWidth="1" width="11.42578125"/>
    <col min="14887" max="14887" customWidth="1" width="11.42578125"/>
    <col min="14888" max="14888" customWidth="1" width="11.42578125"/>
    <col min="14889" max="14889" customWidth="1" width="11.42578125"/>
    <col min="14890" max="14890" customWidth="1" width="11.42578125"/>
    <col min="14891" max="14891" customWidth="1" width="11.42578125"/>
    <col min="14892" max="14892" customWidth="1" width="11.42578125"/>
    <col min="14893" max="14893" customWidth="1" width="11.42578125"/>
    <col min="14894" max="14894" customWidth="1" width="11.42578125"/>
    <col min="14895" max="14895" customWidth="1" width="11.42578125"/>
    <col min="14896" max="14896" customWidth="1" width="11.42578125"/>
    <col min="14897" max="14897" customWidth="1" width="11.42578125"/>
    <col min="14898" max="14898" customWidth="1" width="11.42578125"/>
    <col min="14899" max="14899" customWidth="1" width="11.42578125"/>
    <col min="14900" max="14900" customWidth="1" width="11.42578125"/>
    <col min="14901" max="14901" customWidth="1" width="11.42578125"/>
    <col min="14902" max="14902" customWidth="1" width="11.42578125"/>
    <col min="14903" max="14903" customWidth="1" width="11.42578125"/>
    <col min="14904" max="14904" customWidth="1" width="11.42578125"/>
    <col min="14905" max="14905" customWidth="1" width="11.42578125"/>
    <col min="14906" max="14906" customWidth="1" width="11.42578125"/>
    <col min="14907" max="14907" customWidth="1" width="11.42578125"/>
    <col min="14908" max="14908" customWidth="1" width="11.42578125"/>
    <col min="14909" max="14909" customWidth="1" width="11.42578125"/>
    <col min="14910" max="14910" customWidth="1" width="11.42578125"/>
    <col min="14911" max="14911" customWidth="1" width="11.42578125"/>
    <col min="14912" max="14912" customWidth="1" width="11.42578125"/>
    <col min="14913" max="14913" customWidth="1" width="11.42578125"/>
    <col min="14914" max="14914" customWidth="1" width="11.42578125"/>
    <col min="14915" max="14915" customWidth="1" width="11.42578125"/>
    <col min="14916" max="14916" customWidth="1" width="11.42578125"/>
    <col min="14917" max="14917" customWidth="1" width="11.42578125"/>
    <col min="14918" max="14918" customWidth="1" width="11.42578125"/>
    <col min="14919" max="14919" customWidth="1" width="11.42578125"/>
    <col min="14920" max="14920" customWidth="1" width="11.42578125"/>
    <col min="14921" max="14921" customWidth="1" width="11.42578125"/>
    <col min="14922" max="14922" customWidth="1" width="11.42578125"/>
    <col min="14923" max="14923" customWidth="1" width="11.42578125"/>
    <col min="14924" max="14924" customWidth="1" width="11.42578125"/>
    <col min="14925" max="14925" customWidth="1" width="11.42578125"/>
    <col min="14926" max="14926" customWidth="1" width="11.42578125"/>
    <col min="14927" max="14927" customWidth="1" width="11.42578125"/>
    <col min="14928" max="14928" customWidth="1" width="11.42578125"/>
    <col min="14929" max="14929" customWidth="1" width="11.42578125"/>
    <col min="14930" max="14930" customWidth="1" width="11.42578125"/>
    <col min="14931" max="14931" customWidth="1" width="11.42578125"/>
    <col min="14932" max="14932" customWidth="1" width="11.42578125"/>
    <col min="14933" max="14933" customWidth="1" width="11.42578125"/>
    <col min="14934" max="14934" customWidth="1" width="11.42578125"/>
    <col min="14935" max="14935" customWidth="1" width="11.42578125"/>
    <col min="14936" max="14936" customWidth="1" width="11.42578125"/>
    <col min="14937" max="14937" customWidth="1" width="11.42578125"/>
    <col min="14938" max="14938" customWidth="1" width="11.42578125"/>
    <col min="14939" max="14939" customWidth="1" width="11.42578125"/>
    <col min="14940" max="14940" customWidth="1" width="11.42578125"/>
    <col min="14941" max="14941" customWidth="1" width="11.42578125"/>
    <col min="14942" max="14942" customWidth="1" width="11.42578125"/>
    <col min="14943" max="14943" customWidth="1" width="11.42578125"/>
    <col min="14944" max="14944" customWidth="1" width="11.42578125"/>
    <col min="14945" max="14945" customWidth="1" width="11.42578125"/>
    <col min="14946" max="14946" customWidth="1" width="11.42578125"/>
    <col min="14947" max="14947" customWidth="1" width="11.42578125"/>
    <col min="14948" max="14948" customWidth="1" width="11.42578125"/>
    <col min="14949" max="14949" customWidth="1" width="11.42578125"/>
    <col min="14950" max="14950" customWidth="1" width="11.42578125"/>
    <col min="14951" max="14951" customWidth="1" width="11.42578125"/>
    <col min="14952" max="14952" customWidth="1" width="11.42578125"/>
    <col min="14953" max="14953" customWidth="1" width="11.42578125"/>
    <col min="14954" max="14954" customWidth="1" width="11.42578125"/>
    <col min="14955" max="14955" customWidth="1" width="11.42578125"/>
    <col min="14956" max="14956" customWidth="1" width="11.42578125"/>
    <col min="14957" max="14957" customWidth="1" width="11.42578125"/>
    <col min="14958" max="14958" customWidth="1" width="11.42578125"/>
    <col min="14959" max="14959" customWidth="1" width="11.42578125"/>
    <col min="14960" max="14960" customWidth="1" width="11.42578125"/>
    <col min="14961" max="14961" customWidth="1" width="11.42578125"/>
    <col min="14962" max="14962" customWidth="1" width="11.42578125"/>
    <col min="14963" max="14963" customWidth="1" width="11.42578125"/>
    <col min="14964" max="14964" customWidth="1" width="11.42578125"/>
    <col min="14965" max="14965" customWidth="1" width="11.42578125"/>
    <col min="14966" max="14966" customWidth="1" width="11.42578125"/>
    <col min="14967" max="14967" customWidth="1" width="11.42578125"/>
    <col min="14968" max="14968" customWidth="1" width="11.42578125"/>
    <col min="14969" max="14969" customWidth="1" width="11.42578125"/>
    <col min="14970" max="14970" customWidth="1" width="11.42578125"/>
    <col min="14971" max="14971" customWidth="1" width="11.42578125"/>
    <col min="14972" max="14972" customWidth="1" width="11.42578125"/>
    <col min="14973" max="14973" customWidth="1" width="11.42578125"/>
    <col min="14974" max="14974" customWidth="1" width="11.42578125"/>
    <col min="14975" max="14975" customWidth="1" width="11.42578125"/>
    <col min="14976" max="14976" customWidth="1" width="11.42578125"/>
    <col min="14977" max="14977" customWidth="1" width="11.42578125"/>
    <col min="14978" max="14978" customWidth="1" width="11.42578125"/>
    <col min="14979" max="14979" customWidth="1" width="11.42578125"/>
    <col min="14980" max="14980" customWidth="1" width="11.42578125"/>
    <col min="14981" max="14981" customWidth="1" width="11.42578125"/>
    <col min="14982" max="14982" customWidth="1" width="11.42578125"/>
    <col min="14983" max="14983" customWidth="1" width="11.42578125"/>
    <col min="14984" max="14984" customWidth="1" width="11.42578125"/>
    <col min="14985" max="14985" customWidth="1" width="11.42578125"/>
    <col min="14986" max="14986" customWidth="1" width="11.42578125"/>
    <col min="14987" max="14987" customWidth="1" width="11.42578125"/>
    <col min="14988" max="14988" customWidth="1" width="11.42578125"/>
    <col min="14989" max="14989" customWidth="1" width="11.42578125"/>
    <col min="14990" max="14990" customWidth="1" width="11.42578125"/>
    <col min="14991" max="14991" customWidth="1" width="11.42578125"/>
    <col min="14992" max="14992" customWidth="1" width="11.42578125"/>
    <col min="14993" max="14993" customWidth="1" width="11.42578125"/>
    <col min="14994" max="14994" customWidth="1" width="11.42578125"/>
    <col min="14995" max="14995" customWidth="1" width="11.42578125"/>
    <col min="14996" max="14996" customWidth="1" width="11.42578125"/>
    <col min="14997" max="14997" customWidth="1" width="11.42578125"/>
    <col min="14998" max="14998" customWidth="1" width="11.42578125"/>
    <col min="14999" max="14999" customWidth="1" width="11.42578125"/>
    <col min="15000" max="15000" customWidth="1" width="11.42578125"/>
    <col min="15001" max="15001" customWidth="1" width="11.42578125"/>
    <col min="15002" max="15002" customWidth="1" width="11.42578125"/>
    <col min="15003" max="15003" customWidth="1" width="11.42578125"/>
    <col min="15004" max="15004" customWidth="1" width="11.42578125"/>
    <col min="15005" max="15005" customWidth="1" width="11.42578125"/>
    <col min="15006" max="15006" customWidth="1" width="11.42578125"/>
    <col min="15007" max="15007" customWidth="1" width="11.42578125"/>
    <col min="15008" max="15008" customWidth="1" width="11.42578125"/>
    <col min="15009" max="15009" customWidth="1" width="11.42578125"/>
    <col min="15010" max="15010" customWidth="1" width="11.42578125"/>
    <col min="15011" max="15011" customWidth="1" width="11.42578125"/>
    <col min="15012" max="15012" customWidth="1" width="11.42578125"/>
    <col min="15013" max="15013" customWidth="1" width="11.42578125"/>
    <col min="15014" max="15014" customWidth="1" width="11.42578125"/>
    <col min="15015" max="15015" customWidth="1" width="11.42578125"/>
    <col min="15016" max="15016" customWidth="1" width="11.42578125"/>
    <col min="15017" max="15017" customWidth="1" width="11.42578125"/>
    <col min="15018" max="15018" customWidth="1" width="11.42578125"/>
    <col min="15019" max="15019" customWidth="1" width="11.42578125"/>
    <col min="15020" max="15020" customWidth="1" width="11.42578125"/>
    <col min="15021" max="15021" customWidth="1" width="11.42578125"/>
    <col min="15022" max="15022" customWidth="1" width="11.42578125"/>
    <col min="15023" max="15023" customWidth="1" width="11.42578125"/>
    <col min="15024" max="15024" customWidth="1" width="11.42578125"/>
    <col min="15025" max="15025" customWidth="1" width="11.42578125"/>
    <col min="15026" max="15026" customWidth="1" width="11.42578125"/>
    <col min="15027" max="15027" customWidth="1" width="11.42578125"/>
    <col min="15028" max="15028" customWidth="1" width="11.42578125"/>
    <col min="15029" max="15029" customWidth="1" width="11.42578125"/>
    <col min="15030" max="15030" customWidth="1" width="11.42578125"/>
    <col min="15031" max="15031" customWidth="1" width="11.42578125"/>
    <col min="15032" max="15032" customWidth="1" width="11.42578125"/>
    <col min="15033" max="15033" customWidth="1" width="11.42578125"/>
    <col min="15034" max="15034" customWidth="1" width="11.42578125"/>
    <col min="15035" max="15035" customWidth="1" width="11.42578125"/>
    <col min="15036" max="15036" customWidth="1" width="11.42578125"/>
    <col min="15037" max="15037" customWidth="1" width="11.42578125"/>
    <col min="15038" max="15038" customWidth="1" width="11.42578125"/>
    <col min="15039" max="15039" customWidth="1" width="11.42578125"/>
    <col min="15040" max="15040" customWidth="1" width="11.42578125"/>
    <col min="15041" max="15041" customWidth="1" width="11.42578125"/>
    <col min="15042" max="15042" customWidth="1" width="11.42578125"/>
    <col min="15043" max="15043" customWidth="1" width="11.42578125"/>
    <col min="15044" max="15044" customWidth="1" width="11.42578125"/>
    <col min="15045" max="15045" customWidth="1" width="11.42578125"/>
    <col min="15046" max="15046" customWidth="1" width="11.42578125"/>
    <col min="15047" max="15047" customWidth="1" width="11.42578125"/>
    <col min="15048" max="15048" customWidth="1" width="11.42578125"/>
    <col min="15049" max="15049" customWidth="1" width="11.42578125"/>
    <col min="15050" max="15050" customWidth="1" width="11.42578125"/>
    <col min="15051" max="15051" customWidth="1" width="11.42578125"/>
    <col min="15052" max="15052" customWidth="1" width="11.42578125"/>
    <col min="15053" max="15053" customWidth="1" width="11.42578125"/>
    <col min="15054" max="15054" customWidth="1" width="11.42578125"/>
    <col min="15055" max="15055" customWidth="1" width="11.42578125"/>
    <col min="15056" max="15056" customWidth="1" width="11.42578125"/>
    <col min="15057" max="15057" customWidth="1" width="11.42578125"/>
    <col min="15058" max="15058" customWidth="1" width="11.42578125"/>
    <col min="15059" max="15059" customWidth="1" width="11.42578125"/>
    <col min="15060" max="15060" customWidth="1" width="11.42578125"/>
    <col min="15061" max="15061" customWidth="1" width="11.42578125"/>
    <col min="15062" max="15062" customWidth="1" width="11.42578125"/>
    <col min="15063" max="15063" customWidth="1" width="11.42578125"/>
    <col min="15064" max="15064" customWidth="1" width="11.42578125"/>
    <col min="15065" max="15065" customWidth="1" width="11.42578125"/>
    <col min="15066" max="15066" customWidth="1" width="11.42578125"/>
    <col min="15067" max="15067" customWidth="1" width="11.42578125"/>
    <col min="15068" max="15068" customWidth="1" width="11.42578125"/>
    <col min="15069" max="15069" customWidth="1" width="11.42578125"/>
    <col min="15070" max="15070" customWidth="1" width="11.42578125"/>
    <col min="15071" max="15071" customWidth="1" width="11.42578125"/>
    <col min="15072" max="15072" customWidth="1" width="11.42578125"/>
    <col min="15073" max="15073" customWidth="1" width="11.42578125"/>
    <col min="15074" max="15074" customWidth="1" width="11.42578125"/>
    <col min="15075" max="15075" customWidth="1" width="11.42578125"/>
    <col min="15076" max="15076" customWidth="1" width="11.42578125"/>
    <col min="15077" max="15077" customWidth="1" width="11.42578125"/>
    <col min="15078" max="15078" customWidth="1" width="11.42578125"/>
    <col min="15079" max="15079" customWidth="1" width="11.42578125"/>
    <col min="15080" max="15080" customWidth="1" width="11.42578125"/>
    <col min="15081" max="15081" customWidth="1" width="11.42578125"/>
    <col min="15082" max="15082" customWidth="1" width="11.42578125"/>
    <col min="15083" max="15083" customWidth="1" width="11.42578125"/>
    <col min="15084" max="15084" customWidth="1" width="11.42578125"/>
    <col min="15085" max="15085" customWidth="1" width="11.42578125"/>
    <col min="15086" max="15086" customWidth="1" width="11.42578125"/>
    <col min="15087" max="15087" customWidth="1" width="11.42578125"/>
    <col min="15088" max="15088" customWidth="1" width="11.42578125"/>
    <col min="15089" max="15089" customWidth="1" width="11.42578125"/>
    <col min="15090" max="15090" customWidth="1" width="11.42578125"/>
    <col min="15091" max="15091" customWidth="1" width="11.42578125"/>
    <col min="15092" max="15092" customWidth="1" width="11.42578125"/>
    <col min="15093" max="15093" customWidth="1" width="11.42578125"/>
    <col min="15094" max="15094" customWidth="1" width="11.42578125"/>
    <col min="15095" max="15095" customWidth="1" width="11.42578125"/>
    <col min="15096" max="15096" customWidth="1" width="11.42578125"/>
    <col min="15097" max="15097" customWidth="1" width="11.42578125"/>
    <col min="15098" max="15098" customWidth="1" width="11.42578125"/>
    <col min="15099" max="15099" customWidth="1" width="11.42578125"/>
    <col min="15100" max="15100" customWidth="1" width="11.42578125"/>
    <col min="15101" max="15101" customWidth="1" width="11.42578125"/>
    <col min="15102" max="15102" customWidth="1" width="11.42578125"/>
    <col min="15103" max="15103" customWidth="1" width="11.42578125"/>
    <col min="15104" max="15104" customWidth="1" width="11.42578125"/>
    <col min="15105" max="15105" customWidth="1" width="11.42578125"/>
    <col min="15106" max="15106" customWidth="1" width="11.42578125"/>
    <col min="15107" max="15107" customWidth="1" width="11.42578125"/>
    <col min="15108" max="15108" customWidth="1" width="11.42578125"/>
    <col min="15109" max="15109" customWidth="1" width="11.42578125"/>
    <col min="15110" max="15110" customWidth="1" width="11.42578125"/>
    <col min="15111" max="15111" customWidth="1" width="11.42578125"/>
    <col min="15112" max="15112" customWidth="1" width="11.42578125"/>
    <col min="15113" max="15113" customWidth="1" width="11.42578125"/>
    <col min="15114" max="15114" customWidth="1" width="11.42578125"/>
    <col min="15115" max="15115" customWidth="1" width="11.42578125"/>
    <col min="15116" max="15116" customWidth="1" width="11.42578125"/>
    <col min="15117" max="15117" customWidth="1" width="11.42578125"/>
    <col min="15118" max="15118" customWidth="1" width="11.42578125"/>
    <col min="15119" max="15119" customWidth="1" width="11.42578125"/>
    <col min="15120" max="15120" customWidth="1" width="11.42578125"/>
    <col min="15121" max="15121" customWidth="1" width="11.42578125"/>
    <col min="15122" max="15122" customWidth="1" width="11.42578125"/>
    <col min="15123" max="15123" customWidth="1" width="11.42578125"/>
    <col min="15124" max="15124" customWidth="1" width="11.42578125"/>
    <col min="15125" max="15125" customWidth="1" width="11.42578125"/>
    <col min="15126" max="15126" customWidth="1" width="11.42578125"/>
    <col min="15127" max="15127" customWidth="1" width="11.42578125"/>
    <col min="15128" max="15128" customWidth="1" width="11.42578125"/>
    <col min="15129" max="15129" customWidth="1" width="11.42578125"/>
    <col min="15130" max="15130" customWidth="1" width="11.42578125"/>
    <col min="15131" max="15131" customWidth="1" width="11.42578125"/>
    <col min="15132" max="15132" customWidth="1" width="11.42578125"/>
    <col min="15133" max="15133" customWidth="1" width="11.42578125"/>
    <col min="15134" max="15134" customWidth="1" width="11.42578125"/>
    <col min="15135" max="15135" customWidth="1" width="11.42578125"/>
    <col min="15136" max="15136" customWidth="1" width="11.42578125"/>
    <col min="15137" max="15137" customWidth="1" width="11.42578125"/>
    <col min="15138" max="15138" customWidth="1" width="11.42578125"/>
    <col min="15139" max="15139" customWidth="1" width="11.42578125"/>
    <col min="15140" max="15140" customWidth="1" width="11.42578125"/>
    <col min="15141" max="15141" customWidth="1" width="11.42578125"/>
    <col min="15142" max="15142" customWidth="1" width="11.42578125"/>
    <col min="15143" max="15143" customWidth="1" width="11.42578125"/>
    <col min="15144" max="15144" customWidth="1" width="11.42578125"/>
    <col min="15145" max="15145" customWidth="1" width="11.42578125"/>
    <col min="15146" max="15146" customWidth="1" width="11.42578125"/>
    <col min="15147" max="15147" customWidth="1" width="11.42578125"/>
    <col min="15148" max="15148" customWidth="1" width="11.42578125"/>
    <col min="15149" max="15149" customWidth="1" width="11.42578125"/>
    <col min="15150" max="15150" customWidth="1" width="11.42578125"/>
    <col min="15151" max="15151" customWidth="1" width="11.42578125"/>
    <col min="15152" max="15152" customWidth="1" width="11.42578125"/>
    <col min="15153" max="15153" customWidth="1" width="11.42578125"/>
    <col min="15154" max="15154" customWidth="1" width="11.42578125"/>
    <col min="15155" max="15155" customWidth="1" width="11.42578125"/>
    <col min="15156" max="15156" customWidth="1" width="11.42578125"/>
    <col min="15157" max="15157" customWidth="1" width="11.42578125"/>
    <col min="15158" max="15158" customWidth="1" width="11.42578125"/>
    <col min="15159" max="15159" customWidth="1" width="11.42578125"/>
    <col min="15160" max="15160" customWidth="1" width="11.42578125"/>
    <col min="15161" max="15161" customWidth="1" width="11.42578125"/>
    <col min="15162" max="15162" customWidth="1" width="11.42578125"/>
    <col min="15163" max="15163" customWidth="1" width="11.42578125"/>
    <col min="15164" max="15164" customWidth="1" width="11.42578125"/>
    <col min="15165" max="15165" customWidth="1" width="11.42578125"/>
    <col min="15166" max="15166" customWidth="1" width="11.42578125"/>
    <col min="15167" max="15167" customWidth="1" width="11.42578125"/>
    <col min="15168" max="15168" customWidth="1" width="11.42578125"/>
    <col min="15169" max="15169" customWidth="1" width="11.42578125"/>
    <col min="15170" max="15170" customWidth="1" width="11.42578125"/>
    <col min="15171" max="15171" customWidth="1" width="11.42578125"/>
    <col min="15172" max="15172" customWidth="1" width="11.42578125"/>
    <col min="15173" max="15173" customWidth="1" width="11.42578125"/>
    <col min="15174" max="15174" customWidth="1" width="11.42578125"/>
    <col min="15175" max="15175" customWidth="1" width="11.42578125"/>
    <col min="15176" max="15176" customWidth="1" width="11.42578125"/>
    <col min="15177" max="15177" customWidth="1" width="11.42578125"/>
    <col min="15178" max="15178" customWidth="1" width="11.42578125"/>
    <col min="15179" max="15179" customWidth="1" width="11.42578125"/>
    <col min="15180" max="15180" customWidth="1" width="11.42578125"/>
    <col min="15181" max="15181" customWidth="1" width="11.42578125"/>
    <col min="15182" max="15182" customWidth="1" width="11.42578125"/>
    <col min="15183" max="15183" customWidth="1" width="11.42578125"/>
    <col min="15184" max="15184" customWidth="1" width="11.42578125"/>
    <col min="15185" max="15185" customWidth="1" width="11.42578125"/>
    <col min="15186" max="15186" customWidth="1" width="11.42578125"/>
    <col min="15187" max="15187" customWidth="1" width="11.42578125"/>
    <col min="15188" max="15188" customWidth="1" width="11.42578125"/>
    <col min="15189" max="15189" customWidth="1" width="11.42578125"/>
    <col min="15190" max="15190" customWidth="1" width="11.42578125"/>
    <col min="15191" max="15191" customWidth="1" width="11.42578125"/>
    <col min="15192" max="15192" customWidth="1" width="11.42578125"/>
    <col min="15193" max="15193" customWidth="1" width="11.42578125"/>
    <col min="15194" max="15194" customWidth="1" width="11.42578125"/>
    <col min="15195" max="15195" customWidth="1" width="11.42578125"/>
    <col min="15196" max="15196" customWidth="1" width="11.42578125"/>
    <col min="15197" max="15197" customWidth="1" width="11.42578125"/>
    <col min="15198" max="15198" customWidth="1" width="11.42578125"/>
    <col min="15199" max="15199" customWidth="1" width="11.42578125"/>
    <col min="15200" max="15200" customWidth="1" width="11.42578125"/>
    <col min="15201" max="15201" customWidth="1" width="11.42578125"/>
    <col min="15202" max="15202" customWidth="1" width="11.42578125"/>
    <col min="15203" max="15203" customWidth="1" width="11.42578125"/>
    <col min="15204" max="15204" customWidth="1" width="11.42578125"/>
    <col min="15205" max="15205" customWidth="1" width="11.42578125"/>
    <col min="15206" max="15206" customWidth="1" width="11.42578125"/>
    <col min="15207" max="15207" customWidth="1" width="11.42578125"/>
    <col min="15208" max="15208" customWidth="1" width="11.42578125"/>
    <col min="15209" max="15209" customWidth="1" width="11.42578125"/>
    <col min="15210" max="15210" customWidth="1" width="11.42578125"/>
    <col min="15211" max="15211" customWidth="1" width="11.42578125"/>
    <col min="15212" max="15212" customWidth="1" width="11.42578125"/>
    <col min="15213" max="15213" customWidth="1" width="11.42578125"/>
    <col min="15214" max="15214" customWidth="1" width="11.42578125"/>
    <col min="15215" max="15215" customWidth="1" width="11.42578125"/>
    <col min="15216" max="15216" customWidth="1" width="11.42578125"/>
    <col min="15217" max="15217" customWidth="1" width="11.42578125"/>
    <col min="15218" max="15218" customWidth="1" width="11.42578125"/>
    <col min="15219" max="15219" customWidth="1" width="11.42578125"/>
    <col min="15220" max="15220" customWidth="1" width="11.42578125"/>
    <col min="15221" max="15221" customWidth="1" width="11.42578125"/>
    <col min="15222" max="15222" customWidth="1" width="11.42578125"/>
    <col min="15223" max="15223" customWidth="1" width="11.42578125"/>
    <col min="15224" max="15224" customWidth="1" width="11.42578125"/>
    <col min="15225" max="15225" customWidth="1" width="11.42578125"/>
    <col min="15226" max="15226" customWidth="1" width="11.42578125"/>
    <col min="15227" max="15227" customWidth="1" width="11.42578125"/>
    <col min="15228" max="15228" customWidth="1" width="11.42578125"/>
    <col min="15229" max="15229" customWidth="1" width="11.42578125"/>
    <col min="15230" max="15230" customWidth="1" width="11.42578125"/>
    <col min="15231" max="15231" customWidth="1" width="11.42578125"/>
    <col min="15232" max="15232" customWidth="1" width="11.42578125"/>
    <col min="15233" max="15233" customWidth="1" width="11.42578125"/>
    <col min="15234" max="15234" customWidth="1" width="11.42578125"/>
    <col min="15235" max="15235" customWidth="1" width="11.42578125"/>
    <col min="15236" max="15236" customWidth="1" width="11.42578125"/>
    <col min="15237" max="15237" customWidth="1" width="11.42578125"/>
    <col min="15238" max="15238" customWidth="1" width="11.42578125"/>
    <col min="15239" max="15239" customWidth="1" width="11.42578125"/>
    <col min="15240" max="15240" customWidth="1" width="11.42578125"/>
    <col min="15241" max="15241" customWidth="1" width="11.42578125"/>
    <col min="15242" max="15242" customWidth="1" width="11.42578125"/>
    <col min="15243" max="15243" customWidth="1" width="11.42578125"/>
    <col min="15244" max="15244" customWidth="1" width="11.42578125"/>
    <col min="15245" max="15245" customWidth="1" width="11.42578125"/>
    <col min="15246" max="15246" customWidth="1" width="11.42578125"/>
    <col min="15247" max="15247" customWidth="1" width="11.42578125"/>
    <col min="15248" max="15248" customWidth="1" width="11.42578125"/>
    <col min="15249" max="15249" customWidth="1" width="11.42578125"/>
    <col min="15250" max="15250" customWidth="1" width="11.42578125"/>
    <col min="15251" max="15251" customWidth="1" width="11.42578125"/>
    <col min="15252" max="15252" customWidth="1" width="11.42578125"/>
    <col min="15253" max="15253" customWidth="1" width="11.42578125"/>
    <col min="15254" max="15254" customWidth="1" width="11.42578125"/>
    <col min="15255" max="15255" customWidth="1" width="11.42578125"/>
    <col min="15256" max="15256" customWidth="1" width="11.42578125"/>
    <col min="15257" max="15257" customWidth="1" width="11.42578125"/>
    <col min="15258" max="15258" customWidth="1" width="11.42578125"/>
    <col min="15259" max="15259" customWidth="1" width="11.42578125"/>
    <col min="15260" max="15260" customWidth="1" width="11.42578125"/>
    <col min="15261" max="15261" customWidth="1" width="11.42578125"/>
    <col min="15262" max="15262" customWidth="1" width="11.42578125"/>
    <col min="15263" max="15263" customWidth="1" width="11.42578125"/>
    <col min="15264" max="15264" customWidth="1" width="11.42578125"/>
    <col min="15265" max="15265" customWidth="1" width="11.42578125"/>
    <col min="15266" max="15266" customWidth="1" width="11.42578125"/>
    <col min="15267" max="15267" customWidth="1" width="11.42578125"/>
    <col min="15268" max="15268" customWidth="1" width="11.42578125"/>
    <col min="15269" max="15269" customWidth="1" width="11.42578125"/>
    <col min="15270" max="15270" customWidth="1" width="11.42578125"/>
    <col min="15271" max="15271" customWidth="1" width="11.42578125"/>
    <col min="15272" max="15272" customWidth="1" width="11.42578125"/>
    <col min="15273" max="15273" customWidth="1" width="11.42578125"/>
    <col min="15274" max="15274" customWidth="1" width="11.42578125"/>
    <col min="15275" max="15275" customWidth="1" width="11.42578125"/>
    <col min="15276" max="15276" customWidth="1" width="11.42578125"/>
    <col min="15277" max="15277" customWidth="1" width="11.42578125"/>
    <col min="15278" max="15278" customWidth="1" width="11.42578125"/>
    <col min="15279" max="15279" customWidth="1" width="11.42578125"/>
    <col min="15280" max="15280" customWidth="1" width="11.42578125"/>
    <col min="15281" max="15281" customWidth="1" width="11.42578125"/>
    <col min="15282" max="15282" customWidth="1" width="11.42578125"/>
    <col min="15283" max="15283" customWidth="1" width="11.42578125"/>
    <col min="15284" max="15284" customWidth="1" width="11.42578125"/>
    <col min="15285" max="15285" customWidth="1" width="11.42578125"/>
    <col min="15286" max="15286" customWidth="1" width="11.42578125"/>
    <col min="15287" max="15287" customWidth="1" width="11.42578125"/>
    <col min="15288" max="15288" customWidth="1" width="11.42578125"/>
    <col min="15289" max="15289" customWidth="1" width="11.42578125"/>
    <col min="15290" max="15290" customWidth="1" width="11.42578125"/>
    <col min="15291" max="15291" customWidth="1" width="11.42578125"/>
    <col min="15292" max="15292" customWidth="1" width="11.42578125"/>
    <col min="15293" max="15293" customWidth="1" width="11.42578125"/>
    <col min="15294" max="15294" customWidth="1" width="11.42578125"/>
    <col min="15295" max="15295" customWidth="1" width="11.42578125"/>
    <col min="15296" max="15296" customWidth="1" width="11.42578125"/>
    <col min="15297" max="15297" customWidth="1" width="11.42578125"/>
    <col min="15298" max="15298" customWidth="1" width="11.42578125"/>
    <col min="15299" max="15299" customWidth="1" width="11.42578125"/>
    <col min="15300" max="15300" customWidth="1" width="11.42578125"/>
    <col min="15301" max="15301" customWidth="1" width="11.42578125"/>
    <col min="15302" max="15302" customWidth="1" width="11.42578125"/>
    <col min="15303" max="15303" customWidth="1" width="11.42578125"/>
    <col min="15304" max="15304" customWidth="1" width="11.42578125"/>
    <col min="15305" max="15305" customWidth="1" width="11.42578125"/>
    <col min="15306" max="15306" customWidth="1" width="11.42578125"/>
    <col min="15307" max="15307" customWidth="1" width="11.42578125"/>
    <col min="15308" max="15308" customWidth="1" width="11.42578125"/>
    <col min="15309" max="15309" customWidth="1" width="11.42578125"/>
    <col min="15310" max="15310" customWidth="1" width="11.42578125"/>
    <col min="15311" max="15311" customWidth="1" width="11.42578125"/>
    <col min="15312" max="15312" customWidth="1" width="11.42578125"/>
    <col min="15313" max="15313" customWidth="1" width="11.42578125"/>
    <col min="15314" max="15314" customWidth="1" width="11.42578125"/>
    <col min="15315" max="15315" customWidth="1" width="11.42578125"/>
    <col min="15316" max="15316" customWidth="1" width="11.42578125"/>
    <col min="15317" max="15317" customWidth="1" width="11.42578125"/>
    <col min="15318" max="15318" customWidth="1" width="11.42578125"/>
    <col min="15319" max="15319" customWidth="1" width="11.42578125"/>
    <col min="15320" max="15320" customWidth="1" width="11.42578125"/>
    <col min="15321" max="15321" customWidth="1" width="11.42578125"/>
    <col min="15322" max="15322" customWidth="1" width="11.42578125"/>
    <col min="15323" max="15323" customWidth="1" width="11.42578125"/>
    <col min="15324" max="15324" customWidth="1" width="11.42578125"/>
    <col min="15325" max="15325" customWidth="1" width="11.42578125"/>
    <col min="15326" max="15326" customWidth="1" width="11.42578125"/>
    <col min="15327" max="15327" customWidth="1" width="11.42578125"/>
    <col min="15328" max="15328" customWidth="1" width="11.42578125"/>
    <col min="15329" max="15329" customWidth="1" width="11.42578125"/>
    <col min="15330" max="15330" customWidth="1" width="11.42578125"/>
    <col min="15331" max="15331" customWidth="1" width="11.42578125"/>
    <col min="15332" max="15332" customWidth="1" width="11.42578125"/>
    <col min="15333" max="15333" customWidth="1" width="11.42578125"/>
    <col min="15334" max="15334" customWidth="1" width="11.42578125"/>
    <col min="15335" max="15335" customWidth="1" width="11.42578125"/>
    <col min="15336" max="15336" customWidth="1" width="11.42578125"/>
    <col min="15337" max="15337" customWidth="1" width="11.42578125"/>
    <col min="15338" max="15338" customWidth="1" width="11.42578125"/>
    <col min="15339" max="15339" customWidth="1" width="11.42578125"/>
    <col min="15340" max="15340" customWidth="1" width="11.42578125"/>
    <col min="15341" max="15341" customWidth="1" width="11.42578125"/>
    <col min="15342" max="15342" customWidth="1" width="11.42578125"/>
    <col min="15343" max="15343" customWidth="1" width="11.42578125"/>
    <col min="15344" max="15344" customWidth="1" width="11.42578125"/>
    <col min="15345" max="15345" customWidth="1" width="11.42578125"/>
    <col min="15346" max="15346" customWidth="1" width="11.42578125"/>
    <col min="15347" max="15347" customWidth="1" width="11.42578125"/>
    <col min="15348" max="15348" customWidth="1" width="11.42578125"/>
    <col min="15349" max="15349" customWidth="1" width="11.42578125"/>
    <col min="15350" max="15350" customWidth="1" width="11.42578125"/>
    <col min="15351" max="15351" customWidth="1" width="11.42578125"/>
    <col min="15352" max="15352" customWidth="1" width="11.42578125"/>
    <col min="15353" max="15353" customWidth="1" width="11.42578125"/>
    <col min="15354" max="15354" customWidth="1" width="11.42578125"/>
    <col min="15355" max="15355" customWidth="1" width="11.42578125"/>
    <col min="15356" max="15356" customWidth="1" width="11.42578125"/>
    <col min="15357" max="15357" customWidth="1" width="11.42578125"/>
    <col min="15358" max="15358" customWidth="1" width="11.42578125"/>
    <col min="15359" max="15359" customWidth="1" width="11.42578125"/>
    <col min="15360" max="15360" customWidth="1" width="11.42578125"/>
    <col min="15361" max="15361" customWidth="1" width="11.42578125"/>
    <col min="15362" max="15362" customWidth="1" width="11.42578125"/>
    <col min="15363" max="15363" customWidth="1" width="11.42578125"/>
    <col min="15364" max="15364" customWidth="1" width="11.42578125"/>
    <col min="15365" max="15365" customWidth="1" width="11.42578125"/>
    <col min="15366" max="15366" customWidth="1" width="11.42578125"/>
    <col min="15367" max="15367" customWidth="1" width="11.42578125"/>
    <col min="15368" max="15368" customWidth="1" width="11.42578125"/>
    <col min="15369" max="15369" customWidth="1" width="11.42578125"/>
    <col min="15370" max="15370" customWidth="1" width="11.42578125"/>
    <col min="15371" max="15371" customWidth="1" width="11.42578125"/>
    <col min="15372" max="15372" customWidth="1" width="11.42578125"/>
    <col min="15373" max="15373" customWidth="1" width="11.42578125"/>
    <col min="15374" max="15374" customWidth="1" width="11.42578125"/>
    <col min="15375" max="15375" customWidth="1" width="11.42578125"/>
    <col min="15376" max="15376" customWidth="1" width="11.42578125"/>
    <col min="15377" max="15377" customWidth="1" width="11.42578125"/>
    <col min="15378" max="15378" customWidth="1" width="11.42578125"/>
    <col min="15379" max="15379" customWidth="1" width="11.42578125"/>
    <col min="15380" max="15380" customWidth="1" width="11.42578125"/>
    <col min="15381" max="15381" customWidth="1" width="11.42578125"/>
    <col min="15382" max="15382" customWidth="1" width="11.42578125"/>
    <col min="15383" max="15383" customWidth="1" width="11.42578125"/>
    <col min="15384" max="15384" customWidth="1" width="11.42578125"/>
    <col min="15385" max="15385" customWidth="1" width="11.42578125"/>
    <col min="15386" max="15386" customWidth="1" width="11.42578125"/>
    <col min="15387" max="15387" customWidth="1" width="11.42578125"/>
    <col min="15388" max="15388" customWidth="1" width="11.42578125"/>
    <col min="15389" max="15389" customWidth="1" width="11.42578125"/>
    <col min="15390" max="15390" customWidth="1" width="11.42578125"/>
    <col min="15391" max="15391" customWidth="1" width="11.42578125"/>
    <col min="15392" max="15392" customWidth="1" width="11.42578125"/>
    <col min="15393" max="15393" customWidth="1" width="11.42578125"/>
    <col min="15394" max="15394" customWidth="1" width="11.42578125"/>
    <col min="15395" max="15395" customWidth="1" width="11.42578125"/>
    <col min="15396" max="15396" customWidth="1" width="11.42578125"/>
    <col min="15397" max="15397" customWidth="1" width="11.42578125"/>
    <col min="15398" max="15398" customWidth="1" width="11.42578125"/>
    <col min="15399" max="15399" customWidth="1" width="11.42578125"/>
    <col min="15400" max="15400" customWidth="1" width="11.42578125"/>
    <col min="15401" max="15401" customWidth="1" width="11.42578125"/>
    <col min="15402" max="15402" customWidth="1" width="11.42578125"/>
    <col min="15403" max="15403" customWidth="1" width="11.42578125"/>
    <col min="15404" max="15404" customWidth="1" width="11.42578125"/>
    <col min="15405" max="15405" customWidth="1" width="11.42578125"/>
    <col min="15406" max="15406" customWidth="1" width="11.42578125"/>
    <col min="15407" max="15407" customWidth="1" width="11.42578125"/>
    <col min="15408" max="15408" customWidth="1" width="11.42578125"/>
    <col min="15409" max="15409" customWidth="1" width="11.42578125"/>
    <col min="15410" max="15410" customWidth="1" width="11.42578125"/>
    <col min="15411" max="15411" customWidth="1" width="11.42578125"/>
    <col min="15412" max="15412" customWidth="1" width="11.42578125"/>
    <col min="15413" max="15413" customWidth="1" width="11.42578125"/>
    <col min="15414" max="15414" customWidth="1" width="11.42578125"/>
    <col min="15415" max="15415" customWidth="1" width="11.42578125"/>
    <col min="15416" max="15416" customWidth="1" width="11.42578125"/>
    <col min="15417" max="15417" customWidth="1" width="11.42578125"/>
    <col min="15418" max="15418" customWidth="1" width="11.42578125"/>
    <col min="15419" max="15419" customWidth="1" width="11.42578125"/>
    <col min="15420" max="15420" customWidth="1" width="11.42578125"/>
    <col min="15421" max="15421" customWidth="1" width="11.42578125"/>
    <col min="15422" max="15422" customWidth="1" width="11.42578125"/>
    <col min="15423" max="15423" customWidth="1" width="11.42578125"/>
    <col min="15424" max="15424" customWidth="1" width="11.42578125"/>
    <col min="15425" max="15425" customWidth="1" width="11.42578125"/>
    <col min="15426" max="15426" customWidth="1" width="11.42578125"/>
    <col min="15427" max="15427" customWidth="1" width="11.42578125"/>
    <col min="15428" max="15428" customWidth="1" width="11.42578125"/>
    <col min="15429" max="15429" customWidth="1" width="11.42578125"/>
    <col min="15430" max="15430" customWidth="1" width="11.42578125"/>
    <col min="15431" max="15431" customWidth="1" width="11.42578125"/>
    <col min="15432" max="15432" customWidth="1" width="11.42578125"/>
    <col min="15433" max="15433" customWidth="1" width="11.42578125"/>
    <col min="15434" max="15434" customWidth="1" width="11.42578125"/>
    <col min="15435" max="15435" customWidth="1" width="11.42578125"/>
    <col min="15436" max="15436" customWidth="1" width="11.42578125"/>
    <col min="15437" max="15437" customWidth="1" width="11.42578125"/>
    <col min="15438" max="15438" customWidth="1" width="11.42578125"/>
    <col min="15439" max="15439" customWidth="1" width="11.42578125"/>
    <col min="15440" max="15440" customWidth="1" width="11.42578125"/>
    <col min="15441" max="15441" customWidth="1" width="11.42578125"/>
    <col min="15442" max="15442" customWidth="1" width="11.42578125"/>
    <col min="15443" max="15443" customWidth="1" width="11.42578125"/>
    <col min="15444" max="15444" customWidth="1" width="11.42578125"/>
    <col min="15445" max="15445" customWidth="1" width="11.42578125"/>
    <col min="15446" max="15446" customWidth="1" width="11.42578125"/>
    <col min="15447" max="15447" customWidth="1" width="11.42578125"/>
    <col min="15448" max="15448" customWidth="1" width="11.42578125"/>
    <col min="15449" max="15449" customWidth="1" width="11.42578125"/>
    <col min="15450" max="15450" customWidth="1" width="11.42578125"/>
    <col min="15451" max="15451" customWidth="1" width="11.42578125"/>
    <col min="15452" max="15452" customWidth="1" width="11.42578125"/>
    <col min="15453" max="15453" customWidth="1" width="11.42578125"/>
    <col min="15454" max="15454" customWidth="1" width="11.42578125"/>
    <col min="15455" max="15455" customWidth="1" width="11.42578125"/>
    <col min="15456" max="15456" customWidth="1" width="11.42578125"/>
    <col min="15457" max="15457" customWidth="1" width="11.42578125"/>
    <col min="15458" max="15458" customWidth="1" width="11.42578125"/>
    <col min="15459" max="15459" customWidth="1" width="11.42578125"/>
    <col min="15460" max="15460" customWidth="1" width="11.42578125"/>
    <col min="15461" max="15461" customWidth="1" width="11.42578125"/>
    <col min="15462" max="15462" customWidth="1" width="11.42578125"/>
    <col min="15463" max="15463" customWidth="1" width="11.42578125"/>
    <col min="15464" max="15464" customWidth="1" width="11.42578125"/>
    <col min="15465" max="15465" customWidth="1" width="11.42578125"/>
    <col min="15466" max="15466" customWidth="1" width="11.42578125"/>
    <col min="15467" max="15467" customWidth="1" width="11.42578125"/>
    <col min="15468" max="15468" customWidth="1" width="11.42578125"/>
    <col min="15469" max="15469" customWidth="1" width="11.42578125"/>
    <col min="15470" max="15470" customWidth="1" width="11.42578125"/>
    <col min="15471" max="15471" customWidth="1" width="11.42578125"/>
    <col min="15472" max="15472" customWidth="1" width="11.42578125"/>
    <col min="15473" max="15473" customWidth="1" width="11.42578125"/>
    <col min="15474" max="15474" customWidth="1" width="11.42578125"/>
    <col min="15475" max="15475" customWidth="1" width="11.42578125"/>
    <col min="15476" max="15476" customWidth="1" width="11.42578125"/>
    <col min="15477" max="15477" customWidth="1" width="11.42578125"/>
    <col min="15478" max="15478" customWidth="1" width="11.42578125"/>
    <col min="15479" max="15479" customWidth="1" width="11.42578125"/>
    <col min="15480" max="15480" customWidth="1" width="11.42578125"/>
    <col min="15481" max="15481" customWidth="1" width="11.42578125"/>
    <col min="15482" max="15482" customWidth="1" width="11.42578125"/>
    <col min="15483" max="15483" customWidth="1" width="11.42578125"/>
    <col min="15484" max="15484" customWidth="1" width="11.42578125"/>
    <col min="15485" max="15485" customWidth="1" width="11.42578125"/>
    <col min="15486" max="15486" customWidth="1" width="11.42578125"/>
    <col min="15487" max="15487" customWidth="1" width="11.42578125"/>
    <col min="15488" max="15488" customWidth="1" width="11.42578125"/>
    <col min="15489" max="15489" customWidth="1" width="11.42578125"/>
    <col min="15490" max="15490" customWidth="1" width="11.42578125"/>
    <col min="15491" max="15491" customWidth="1" width="11.42578125"/>
    <col min="15492" max="15492" customWidth="1" width="11.42578125"/>
    <col min="15493" max="15493" customWidth="1" width="11.42578125"/>
    <col min="15494" max="15494" customWidth="1" width="11.42578125"/>
    <col min="15495" max="15495" customWidth="1" width="11.42578125"/>
    <col min="15496" max="15496" customWidth="1" width="11.42578125"/>
    <col min="15497" max="15497" customWidth="1" width="11.42578125"/>
    <col min="15498" max="15498" customWidth="1" width="11.42578125"/>
    <col min="15499" max="15499" customWidth="1" width="11.42578125"/>
    <col min="15500" max="15500" customWidth="1" width="11.42578125"/>
    <col min="15501" max="15501" customWidth="1" width="11.42578125"/>
    <col min="15502" max="15502" customWidth="1" width="11.42578125"/>
    <col min="15503" max="15503" customWidth="1" width="11.42578125"/>
    <col min="15504" max="15504" customWidth="1" width="11.42578125"/>
    <col min="15505" max="15505" customWidth="1" width="11.42578125"/>
    <col min="15506" max="15506" customWidth="1" width="11.42578125"/>
    <col min="15507" max="15507" customWidth="1" width="11.42578125"/>
    <col min="15508" max="15508" customWidth="1" width="11.42578125"/>
    <col min="15509" max="15509" customWidth="1" width="11.42578125"/>
    <col min="15510" max="15510" customWidth="1" width="11.42578125"/>
    <col min="15511" max="15511" customWidth="1" width="11.42578125"/>
    <col min="15512" max="15512" customWidth="1" width="11.42578125"/>
    <col min="15513" max="15513" customWidth="1" width="11.42578125"/>
    <col min="15514" max="15514" customWidth="1" width="11.42578125"/>
    <col min="15515" max="15515" customWidth="1" width="11.42578125"/>
    <col min="15516" max="15516" customWidth="1" width="11.42578125"/>
    <col min="15517" max="15517" customWidth="1" width="11.42578125"/>
    <col min="15518" max="15518" customWidth="1" width="11.42578125"/>
    <col min="15519" max="15519" customWidth="1" width="11.42578125"/>
    <col min="15520" max="15520" customWidth="1" width="11.42578125"/>
    <col min="15521" max="15521" customWidth="1" width="11.42578125"/>
    <col min="15522" max="15522" customWidth="1" width="11.42578125"/>
    <col min="15523" max="15523" customWidth="1" width="11.42578125"/>
    <col min="15524" max="15524" customWidth="1" width="11.42578125"/>
    <col min="15525" max="15525" customWidth="1" width="11.42578125"/>
    <col min="15526" max="15526" customWidth="1" width="11.42578125"/>
    <col min="15527" max="15527" customWidth="1" width="11.42578125"/>
    <col min="15528" max="15528" customWidth="1" width="11.42578125"/>
    <col min="15529" max="15529" customWidth="1" width="11.42578125"/>
    <col min="15530" max="15530" customWidth="1" width="11.42578125"/>
    <col min="15531" max="15531" customWidth="1" width="11.42578125"/>
    <col min="15532" max="15532" customWidth="1" width="11.42578125"/>
    <col min="15533" max="15533" customWidth="1" width="11.42578125"/>
    <col min="15534" max="15534" customWidth="1" width="11.42578125"/>
    <col min="15535" max="15535" customWidth="1" width="11.42578125"/>
    <col min="15536" max="15536" customWidth="1" width="11.42578125"/>
    <col min="15537" max="15537" customWidth="1" width="11.42578125"/>
    <col min="15538" max="15538" customWidth="1" width="11.42578125"/>
    <col min="15539" max="15539" customWidth="1" width="11.42578125"/>
    <col min="15540" max="15540" customWidth="1" width="11.42578125"/>
    <col min="15541" max="15541" customWidth="1" width="11.42578125"/>
    <col min="15542" max="15542" customWidth="1" width="11.42578125"/>
    <col min="15543" max="15543" customWidth="1" width="11.42578125"/>
    <col min="15544" max="15544" customWidth="1" width="11.42578125"/>
    <col min="15545" max="15545" customWidth="1" width="11.42578125"/>
    <col min="15546" max="15546" customWidth="1" width="11.42578125"/>
    <col min="15547" max="15547" customWidth="1" width="11.42578125"/>
    <col min="15548" max="15548" customWidth="1" width="11.42578125"/>
    <col min="15549" max="15549" customWidth="1" width="11.42578125"/>
    <col min="15550" max="15550" customWidth="1" width="11.42578125"/>
    <col min="15551" max="15551" customWidth="1" width="11.42578125"/>
    <col min="15552" max="15552" customWidth="1" width="11.42578125"/>
    <col min="15553" max="15553" customWidth="1" width="11.42578125"/>
    <col min="15554" max="15554" customWidth="1" width="11.42578125"/>
    <col min="15555" max="15555" customWidth="1" width="11.42578125"/>
    <col min="15556" max="15556" customWidth="1" width="11.42578125"/>
    <col min="15557" max="15557" customWidth="1" width="11.42578125"/>
    <col min="15558" max="15558" customWidth="1" width="11.42578125"/>
    <col min="15559" max="15559" customWidth="1" width="11.42578125"/>
    <col min="15560" max="15560" customWidth="1" width="11.42578125"/>
    <col min="15561" max="15561" customWidth="1" width="11.42578125"/>
    <col min="15562" max="15562" customWidth="1" width="11.42578125"/>
    <col min="15563" max="15563" customWidth="1" width="11.42578125"/>
    <col min="15564" max="15564" customWidth="1" width="11.42578125"/>
    <col min="15565" max="15565" customWidth="1" width="11.42578125"/>
    <col min="15566" max="15566" customWidth="1" width="11.42578125"/>
    <col min="15567" max="15567" customWidth="1" width="11.42578125"/>
    <col min="15568" max="15568" customWidth="1" width="11.42578125"/>
    <col min="15569" max="15569" customWidth="1" width="11.42578125"/>
    <col min="15570" max="15570" customWidth="1" width="11.42578125"/>
    <col min="15571" max="15571" customWidth="1" width="11.42578125"/>
    <col min="15572" max="15572" customWidth="1" width="11.42578125"/>
    <col min="15573" max="15573" customWidth="1" width="11.42578125"/>
    <col min="15574" max="15574" customWidth="1" width="11.42578125"/>
    <col min="15575" max="15575" customWidth="1" width="11.42578125"/>
    <col min="15576" max="15576" customWidth="1" width="11.42578125"/>
    <col min="15577" max="15577" customWidth="1" width="11.42578125"/>
    <col min="15578" max="15578" customWidth="1" width="11.42578125"/>
    <col min="15579" max="15579" customWidth="1" width="11.42578125"/>
    <col min="15580" max="15580" customWidth="1" width="11.42578125"/>
    <col min="15581" max="15581" customWidth="1" width="11.42578125"/>
    <col min="15582" max="15582" customWidth="1" width="11.42578125"/>
    <col min="15583" max="15583" customWidth="1" width="11.42578125"/>
    <col min="15584" max="15584" customWidth="1" width="11.42578125"/>
    <col min="15585" max="15585" customWidth="1" width="11.42578125"/>
    <col min="15586" max="15586" customWidth="1" width="11.42578125"/>
    <col min="15587" max="15587" customWidth="1" width="11.42578125"/>
    <col min="15588" max="15588" customWidth="1" width="11.42578125"/>
    <col min="15589" max="15589" customWidth="1" width="11.42578125"/>
    <col min="15590" max="15590" customWidth="1" width="11.42578125"/>
    <col min="15591" max="15591" customWidth="1" width="11.42578125"/>
    <col min="15592" max="15592" customWidth="1" width="11.42578125"/>
    <col min="15593" max="15593" customWidth="1" width="11.42578125"/>
    <col min="15594" max="15594" customWidth="1" width="11.42578125"/>
    <col min="15595" max="15595" customWidth="1" width="11.42578125"/>
    <col min="15596" max="15596" customWidth="1" width="11.42578125"/>
    <col min="15597" max="15597" customWidth="1" width="11.42578125"/>
    <col min="15598" max="15598" customWidth="1" width="11.42578125"/>
    <col min="15599" max="15599" customWidth="1" width="11.42578125"/>
    <col min="15600" max="15600" customWidth="1" width="11.42578125"/>
    <col min="15601" max="15601" customWidth="1" width="11.42578125"/>
    <col min="15602" max="15602" customWidth="1" width="11.42578125"/>
    <col min="15603" max="15603" customWidth="1" width="11.42578125"/>
    <col min="15604" max="15604" customWidth="1" width="11.42578125"/>
    <col min="15605" max="15605" customWidth="1" width="11.42578125"/>
    <col min="15606" max="15606" customWidth="1" width="11.42578125"/>
    <col min="15607" max="15607" customWidth="1" width="11.42578125"/>
    <col min="15608" max="15608" customWidth="1" width="11.42578125"/>
    <col min="15609" max="15609" customWidth="1" width="11.42578125"/>
    <col min="15610" max="15610" customWidth="1" width="11.42578125"/>
    <col min="15611" max="15611" customWidth="1" width="11.42578125"/>
    <col min="15612" max="15612" customWidth="1" width="11.42578125"/>
    <col min="15613" max="15613" customWidth="1" width="11.42578125"/>
    <col min="15614" max="15614" customWidth="1" width="11.42578125"/>
    <col min="15615" max="15615" customWidth="1" width="11.42578125"/>
    <col min="15616" max="15616" customWidth="1" width="11.42578125"/>
    <col min="15617" max="15617" customWidth="1" width="11.42578125"/>
    <col min="15618" max="15618" customWidth="1" width="11.42578125"/>
    <col min="15619" max="15619" customWidth="1" width="11.42578125"/>
    <col min="15620" max="15620" customWidth="1" width="11.42578125"/>
    <col min="15621" max="15621" customWidth="1" width="11.42578125"/>
    <col min="15622" max="15622" customWidth="1" width="11.42578125"/>
    <col min="15623" max="15623" customWidth="1" width="11.42578125"/>
    <col min="15624" max="15624" customWidth="1" width="11.42578125"/>
    <col min="15625" max="15625" customWidth="1" width="11.42578125"/>
    <col min="15626" max="15626" customWidth="1" width="11.42578125"/>
    <col min="15627" max="15627" customWidth="1" width="11.42578125"/>
    <col min="15628" max="15628" customWidth="1" width="11.42578125"/>
    <col min="15629" max="15629" customWidth="1" width="11.42578125"/>
    <col min="15630" max="15630" customWidth="1" width="11.42578125"/>
    <col min="15631" max="15631" customWidth="1" width="11.42578125"/>
    <col min="15632" max="15632" customWidth="1" width="11.42578125"/>
    <col min="15633" max="15633" customWidth="1" width="11.42578125"/>
    <col min="15634" max="15634" customWidth="1" width="11.42578125"/>
    <col min="15635" max="15635" customWidth="1" width="11.42578125"/>
    <col min="15636" max="15636" customWidth="1" width="11.42578125"/>
    <col min="15637" max="15637" customWidth="1" width="11.42578125"/>
    <col min="15638" max="15638" customWidth="1" width="11.42578125"/>
    <col min="15639" max="15639" customWidth="1" width="11.42578125"/>
    <col min="15640" max="15640" customWidth="1" width="11.42578125"/>
    <col min="15641" max="15641" customWidth="1" width="11.42578125"/>
    <col min="15642" max="15642" customWidth="1" width="11.42578125"/>
    <col min="15643" max="15643" customWidth="1" width="11.42578125"/>
    <col min="15644" max="15644" customWidth="1" width="11.42578125"/>
    <col min="15645" max="15645" customWidth="1" width="11.42578125"/>
    <col min="15646" max="15646" customWidth="1" width="11.42578125"/>
    <col min="15647" max="15647" customWidth="1" width="11.42578125"/>
    <col min="15648" max="15648" customWidth="1" width="11.42578125"/>
    <col min="15649" max="15649" customWidth="1" width="11.42578125"/>
    <col min="15650" max="15650" customWidth="1" width="11.42578125"/>
    <col min="15651" max="15651" customWidth="1" width="11.42578125"/>
    <col min="15652" max="15652" customWidth="1" width="11.42578125"/>
    <col min="15653" max="15653" customWidth="1" width="11.42578125"/>
    <col min="15654" max="15654" customWidth="1" width="11.42578125"/>
    <col min="15655" max="15655" customWidth="1" width="11.42578125"/>
    <col min="15656" max="15656" customWidth="1" width="11.42578125"/>
    <col min="15657" max="15657" customWidth="1" width="11.42578125"/>
    <col min="15658" max="15658" customWidth="1" width="11.42578125"/>
    <col min="15659" max="15659" customWidth="1" width="11.42578125"/>
    <col min="15660" max="15660" customWidth="1" width="11.42578125"/>
    <col min="15661" max="15661" customWidth="1" width="11.42578125"/>
    <col min="15662" max="15662" customWidth="1" width="11.42578125"/>
    <col min="15663" max="15663" customWidth="1" width="11.42578125"/>
    <col min="15664" max="15664" customWidth="1" width="11.42578125"/>
    <col min="15665" max="15665" customWidth="1" width="11.42578125"/>
    <col min="15666" max="15666" customWidth="1" width="11.42578125"/>
    <col min="15667" max="15667" customWidth="1" width="11.42578125"/>
    <col min="15668" max="15668" customWidth="1" width="11.42578125"/>
    <col min="15669" max="15669" customWidth="1" width="11.42578125"/>
    <col min="15670" max="15670" customWidth="1" width="11.42578125"/>
    <col min="15671" max="15671" customWidth="1" width="11.42578125"/>
    <col min="15672" max="15672" customWidth="1" width="11.42578125"/>
    <col min="15673" max="15673" customWidth="1" width="11.42578125"/>
    <col min="15674" max="15674" customWidth="1" width="11.42578125"/>
    <col min="15675" max="15675" customWidth="1" width="11.42578125"/>
    <col min="15676" max="15676" customWidth="1" width="11.42578125"/>
    <col min="15677" max="15677" customWidth="1" width="11.42578125"/>
    <col min="15678" max="15678" customWidth="1" width="11.42578125"/>
    <col min="15679" max="15679" customWidth="1" width="11.42578125"/>
    <col min="15680" max="15680" customWidth="1" width="11.42578125"/>
    <col min="15681" max="15681" customWidth="1" width="11.42578125"/>
    <col min="15682" max="15682" customWidth="1" width="11.42578125"/>
    <col min="15683" max="15683" customWidth="1" width="11.42578125"/>
    <col min="15684" max="15684" customWidth="1" width="11.42578125"/>
    <col min="15685" max="15685" customWidth="1" width="11.42578125"/>
    <col min="15686" max="15686" customWidth="1" width="11.42578125"/>
    <col min="15687" max="15687" customWidth="1" width="11.42578125"/>
    <col min="15688" max="15688" customWidth="1" width="11.42578125"/>
    <col min="15689" max="15689" customWidth="1" width="11.42578125"/>
    <col min="15690" max="15690" customWidth="1" width="11.42578125"/>
    <col min="15691" max="15691" customWidth="1" width="11.42578125"/>
    <col min="15692" max="15692" customWidth="1" width="11.42578125"/>
    <col min="15693" max="15693" customWidth="1" width="11.42578125"/>
    <col min="15694" max="15694" customWidth="1" width="11.42578125"/>
    <col min="15695" max="15695" customWidth="1" width="11.42578125"/>
    <col min="15696" max="15696" customWidth="1" width="11.42578125"/>
    <col min="15697" max="15697" customWidth="1" width="11.42578125"/>
    <col min="15698" max="15698" customWidth="1" width="11.42578125"/>
    <col min="15699" max="15699" customWidth="1" width="11.42578125"/>
    <col min="15700" max="15700" customWidth="1" width="11.42578125"/>
    <col min="15701" max="15701" customWidth="1" width="11.42578125"/>
    <col min="15702" max="15702" customWidth="1" width="11.42578125"/>
    <col min="15703" max="15703" customWidth="1" width="11.42578125"/>
    <col min="15704" max="15704" customWidth="1" width="11.42578125"/>
    <col min="15705" max="15705" customWidth="1" width="11.42578125"/>
    <col min="15706" max="15706" customWidth="1" width="11.42578125"/>
    <col min="15707" max="15707" customWidth="1" width="11.42578125"/>
    <col min="15708" max="15708" customWidth="1" width="11.42578125"/>
    <col min="15709" max="15709" customWidth="1" width="11.42578125"/>
    <col min="15710" max="15710" customWidth="1" width="11.42578125"/>
    <col min="15711" max="15711" customWidth="1" width="11.42578125"/>
    <col min="15712" max="15712" customWidth="1" width="11.42578125"/>
    <col min="15713" max="15713" customWidth="1" width="11.42578125"/>
    <col min="15714" max="15714" customWidth="1" width="11.42578125"/>
    <col min="15715" max="15715" customWidth="1" width="11.42578125"/>
    <col min="15716" max="15716" customWidth="1" width="11.42578125"/>
    <col min="15717" max="15717" customWidth="1" width="11.42578125"/>
    <col min="15718" max="15718" customWidth="1" width="11.42578125"/>
    <col min="15719" max="15719" customWidth="1" width="11.42578125"/>
    <col min="15720" max="15720" customWidth="1" width="11.42578125"/>
    <col min="15721" max="15721" customWidth="1" width="11.42578125"/>
    <col min="15722" max="15722" customWidth="1" width="11.42578125"/>
    <col min="15723" max="15723" customWidth="1" width="11.42578125"/>
    <col min="15724" max="15724" customWidth="1" width="11.42578125"/>
    <col min="15725" max="15725" customWidth="1" width="11.42578125"/>
    <col min="15726" max="15726" customWidth="1" width="11.42578125"/>
    <col min="15727" max="15727" customWidth="1" width="11.42578125"/>
    <col min="15728" max="15728" customWidth="1" width="11.42578125"/>
    <col min="15729" max="15729" customWidth="1" width="11.42578125"/>
    <col min="15730" max="15730" customWidth="1" width="11.42578125"/>
    <col min="15731" max="15731" customWidth="1" width="11.42578125"/>
    <col min="15732" max="15732" customWidth="1" width="11.42578125"/>
    <col min="15733" max="15733" customWidth="1" width="11.42578125"/>
    <col min="15734" max="15734" customWidth="1" width="11.42578125"/>
    <col min="15735" max="15735" customWidth="1" width="11.42578125"/>
    <col min="15736" max="15736" customWidth="1" width="11.42578125"/>
    <col min="15737" max="15737" customWidth="1" width="11.42578125"/>
    <col min="15738" max="15738" customWidth="1" width="11.42578125"/>
    <col min="15739" max="15739" customWidth="1" width="11.42578125"/>
    <col min="15740" max="15740" customWidth="1" width="11.42578125"/>
    <col min="15741" max="15741" customWidth="1" width="11.42578125"/>
    <col min="15742" max="15742" customWidth="1" width="11.42578125"/>
    <col min="15743" max="15743" customWidth="1" width="11.42578125"/>
    <col min="15744" max="15744" customWidth="1" width="11.42578125"/>
    <col min="15745" max="15745" customWidth="1" width="11.42578125"/>
    <col min="15746" max="15746" customWidth="1" width="11.42578125"/>
    <col min="15747" max="15747" customWidth="1" width="11.42578125"/>
    <col min="15748" max="15748" customWidth="1" width="11.42578125"/>
    <col min="15749" max="15749" customWidth="1" width="11.42578125"/>
    <col min="15750" max="15750" customWidth="1" width="11.42578125"/>
    <col min="15751" max="15751" customWidth="1" width="11.42578125"/>
    <col min="15752" max="15752" customWidth="1" width="11.42578125"/>
    <col min="15753" max="15753" customWidth="1" width="11.42578125"/>
    <col min="15754" max="15754" customWidth="1" width="11.42578125"/>
    <col min="15755" max="15755" customWidth="1" width="11.42578125"/>
    <col min="15756" max="15756" customWidth="1" width="11.42578125"/>
    <col min="15757" max="15757" customWidth="1" width="11.42578125"/>
    <col min="15758" max="15758" customWidth="1" width="11.42578125"/>
    <col min="15759" max="15759" customWidth="1" width="11.42578125"/>
    <col min="15760" max="15760" customWidth="1" width="11.42578125"/>
    <col min="15761" max="15761" customWidth="1" width="11.42578125"/>
    <col min="15762" max="15762" customWidth="1" width="11.42578125"/>
    <col min="15763" max="15763" customWidth="1" width="11.42578125"/>
    <col min="15764" max="15764" customWidth="1" width="11.42578125"/>
    <col min="15765" max="15765" customWidth="1" width="11.42578125"/>
    <col min="15766" max="15766" customWidth="1" width="11.42578125"/>
    <col min="15767" max="15767" customWidth="1" width="11.42578125"/>
    <col min="15768" max="15768" customWidth="1" width="11.42578125"/>
    <col min="15769" max="15769" customWidth="1" width="11.42578125"/>
    <col min="15770" max="15770" customWidth="1" width="11.42578125"/>
    <col min="15771" max="15771" customWidth="1" width="11.42578125"/>
    <col min="15772" max="15772" customWidth="1" width="11.42578125"/>
    <col min="15773" max="15773" customWidth="1" width="11.42578125"/>
    <col min="15774" max="15774" customWidth="1" width="11.42578125"/>
    <col min="15775" max="15775" customWidth="1" width="11.42578125"/>
    <col min="15776" max="15776" customWidth="1" width="11.42578125"/>
    <col min="15777" max="15777" customWidth="1" width="11.42578125"/>
    <col min="15778" max="15778" customWidth="1" width="11.42578125"/>
    <col min="15779" max="15779" customWidth="1" width="11.42578125"/>
    <col min="15780" max="15780" customWidth="1" width="11.42578125"/>
    <col min="15781" max="15781" customWidth="1" width="11.42578125"/>
    <col min="15782" max="15782" customWidth="1" width="11.42578125"/>
    <col min="15783" max="15783" customWidth="1" width="11.42578125"/>
    <col min="15784" max="15784" customWidth="1" width="11.42578125"/>
    <col min="15785" max="15785" customWidth="1" width="11.42578125"/>
    <col min="15786" max="15786" customWidth="1" width="11.42578125"/>
    <col min="15787" max="15787" customWidth="1" width="11.42578125"/>
    <col min="15788" max="15788" customWidth="1" width="11.42578125"/>
    <col min="15789" max="15789" customWidth="1" width="11.42578125"/>
    <col min="15790" max="15790" customWidth="1" width="11.42578125"/>
    <col min="15791" max="15791" customWidth="1" width="11.42578125"/>
    <col min="15792" max="15792" customWidth="1" width="11.42578125"/>
    <col min="15793" max="15793" customWidth="1" width="11.42578125"/>
    <col min="15794" max="15794" customWidth="1" width="11.42578125"/>
    <col min="15795" max="15795" customWidth="1" width="11.42578125"/>
    <col min="15796" max="15796" customWidth="1" width="11.42578125"/>
    <col min="15797" max="15797" customWidth="1" width="11.42578125"/>
    <col min="15798" max="15798" customWidth="1" width="11.42578125"/>
    <col min="15799" max="15799" customWidth="1" width="11.42578125"/>
    <col min="15800" max="15800" customWidth="1" width="11.42578125"/>
    <col min="15801" max="15801" customWidth="1" width="11.42578125"/>
    <col min="15802" max="15802" customWidth="1" width="11.42578125"/>
    <col min="15803" max="15803" customWidth="1" width="11.42578125"/>
    <col min="15804" max="15804" customWidth="1" width="11.42578125"/>
    <col min="15805" max="15805" customWidth="1" width="11.42578125"/>
    <col min="15806" max="15806" customWidth="1" width="11.42578125"/>
    <col min="15807" max="15807" customWidth="1" width="11.42578125"/>
    <col min="15808" max="15808" customWidth="1" width="11.42578125"/>
    <col min="15809" max="15809" customWidth="1" width="11.42578125"/>
    <col min="15810" max="15810" customWidth="1" width="11.42578125"/>
    <col min="15811" max="15811" customWidth="1" width="11.42578125"/>
    <col min="15812" max="15812" customWidth="1" width="11.42578125"/>
    <col min="15813" max="15813" customWidth="1" width="11.42578125"/>
    <col min="15814" max="15814" customWidth="1" width="11.42578125"/>
    <col min="15815" max="15815" customWidth="1" width="11.42578125"/>
    <col min="15816" max="15816" customWidth="1" width="11.42578125"/>
    <col min="15817" max="15817" customWidth="1" width="11.42578125"/>
    <col min="15818" max="15818" customWidth="1" width="11.42578125"/>
    <col min="15819" max="15819" customWidth="1" width="11.42578125"/>
    <col min="15820" max="15820" customWidth="1" width="11.42578125"/>
    <col min="15821" max="15821" customWidth="1" width="11.42578125"/>
    <col min="15822" max="15822" customWidth="1" width="11.42578125"/>
    <col min="15823" max="15823" customWidth="1" width="11.42578125"/>
    <col min="15824" max="15824" customWidth="1" width="11.42578125"/>
    <col min="15825" max="15825" customWidth="1" width="11.42578125"/>
    <col min="15826" max="15826" customWidth="1" width="11.42578125"/>
    <col min="15827" max="15827" customWidth="1" width="11.42578125"/>
    <col min="15828" max="15828" customWidth="1" width="11.42578125"/>
    <col min="15829" max="15829" customWidth="1" width="11.42578125"/>
    <col min="15830" max="15830" customWidth="1" width="11.42578125"/>
    <col min="15831" max="15831" customWidth="1" width="11.42578125"/>
    <col min="15832" max="15832" customWidth="1" width="11.42578125"/>
    <col min="15833" max="15833" customWidth="1" width="11.42578125"/>
    <col min="15834" max="15834" customWidth="1" width="11.42578125"/>
    <col min="15835" max="15835" customWidth="1" width="11.42578125"/>
    <col min="15836" max="15836" customWidth="1" width="11.42578125"/>
    <col min="15837" max="15837" customWidth="1" width="11.42578125"/>
    <col min="15838" max="15838" customWidth="1" width="11.42578125"/>
    <col min="15839" max="15839" customWidth="1" width="11.42578125"/>
    <col min="15840" max="15840" customWidth="1" width="11.42578125"/>
    <col min="15841" max="15841" customWidth="1" width="11.42578125"/>
    <col min="15842" max="15842" customWidth="1" width="11.42578125"/>
    <col min="15843" max="15843" customWidth="1" width="11.42578125"/>
    <col min="15844" max="15844" customWidth="1" width="11.42578125"/>
    <col min="15845" max="15845" customWidth="1" width="11.42578125"/>
    <col min="15846" max="15846" customWidth="1" width="11.42578125"/>
    <col min="15847" max="15847" customWidth="1" width="11.42578125"/>
    <col min="15848" max="15848" customWidth="1" width="11.42578125"/>
    <col min="15849" max="15849" customWidth="1" width="11.42578125"/>
    <col min="15850" max="15850" customWidth="1" width="11.42578125"/>
    <col min="15851" max="15851" customWidth="1" width="11.42578125"/>
    <col min="15852" max="15852" customWidth="1" width="11.42578125"/>
    <col min="15853" max="15853" customWidth="1" width="11.42578125"/>
    <col min="15854" max="15854" customWidth="1" width="11.42578125"/>
    <col min="15855" max="15855" customWidth="1" width="11.42578125"/>
    <col min="15856" max="15856" customWidth="1" width="11.42578125"/>
    <col min="15857" max="15857" customWidth="1" width="11.42578125"/>
    <col min="15858" max="15858" customWidth="1" width="11.42578125"/>
    <col min="15859" max="15859" customWidth="1" width="11.42578125"/>
    <col min="15860" max="15860" customWidth="1" width="11.42578125"/>
    <col min="15861" max="15861" customWidth="1" width="11.42578125"/>
    <col min="15862" max="15862" customWidth="1" width="11.42578125"/>
    <col min="15863" max="15863" customWidth="1" width="11.42578125"/>
    <col min="15864" max="15864" customWidth="1" width="11.42578125"/>
    <col min="15865" max="15865" customWidth="1" width="11.42578125"/>
    <col min="15866" max="15866" customWidth="1" width="11.42578125"/>
    <col min="15867" max="15867" customWidth="1" width="11.42578125"/>
    <col min="15868" max="15868" customWidth="1" width="11.42578125"/>
    <col min="15869" max="15869" customWidth="1" width="11.42578125"/>
    <col min="15870" max="15870" customWidth="1" width="11.42578125"/>
    <col min="15871" max="15871" customWidth="1" width="11.42578125"/>
    <col min="15872" max="15872" customWidth="1" width="11.42578125"/>
    <col min="15873" max="15873" customWidth="1" width="11.42578125"/>
    <col min="15874" max="15874" customWidth="1" width="11.42578125"/>
    <col min="15875" max="15875" customWidth="1" width="11.42578125"/>
    <col min="15876" max="15876" customWidth="1" width="11.42578125"/>
    <col min="15877" max="15877" customWidth="1" width="11.42578125"/>
    <col min="15878" max="15878" customWidth="1" width="11.42578125"/>
    <col min="15879" max="15879" customWidth="1" width="11.42578125"/>
    <col min="15880" max="15880" customWidth="1" width="11.42578125"/>
    <col min="15881" max="15881" customWidth="1" width="11.42578125"/>
    <col min="15882" max="15882" customWidth="1" width="11.42578125"/>
    <col min="15883" max="15883" customWidth="1" width="11.42578125"/>
    <col min="15884" max="15884" customWidth="1" width="11.42578125"/>
    <col min="15885" max="15885" customWidth="1" width="11.42578125"/>
    <col min="15886" max="15886" customWidth="1" width="11.42578125"/>
    <col min="15887" max="15887" customWidth="1" width="11.42578125"/>
    <col min="15888" max="15888" customWidth="1" width="11.42578125"/>
    <col min="15889" max="15889" customWidth="1" width="11.42578125"/>
    <col min="15890" max="15890" customWidth="1" width="11.42578125"/>
    <col min="15891" max="15891" customWidth="1" width="11.42578125"/>
    <col min="15892" max="15892" customWidth="1" width="11.42578125"/>
    <col min="15893" max="15893" customWidth="1" width="11.42578125"/>
    <col min="15894" max="15894" customWidth="1" width="11.42578125"/>
    <col min="15895" max="15895" customWidth="1" width="11.42578125"/>
    <col min="15896" max="15896" customWidth="1" width="11.42578125"/>
    <col min="15897" max="15897" customWidth="1" width="11.42578125"/>
    <col min="15898" max="15898" customWidth="1" width="11.42578125"/>
    <col min="15899" max="15899" customWidth="1" width="11.42578125"/>
    <col min="15900" max="15900" customWidth="1" width="11.42578125"/>
    <col min="15901" max="15901" customWidth="1" width="11.42578125"/>
    <col min="15902" max="15902" customWidth="1" width="11.42578125"/>
    <col min="15903" max="15903" customWidth="1" width="11.42578125"/>
    <col min="15904" max="15904" customWidth="1" width="11.42578125"/>
    <col min="15905" max="15905" customWidth="1" width="11.42578125"/>
    <col min="15906" max="15906" customWidth="1" width="11.42578125"/>
    <col min="15907" max="15907" customWidth="1" width="11.42578125"/>
    <col min="15908" max="15908" customWidth="1" width="11.42578125"/>
    <col min="15909" max="15909" customWidth="1" width="11.42578125"/>
    <col min="15910" max="15910" customWidth="1" width="11.42578125"/>
    <col min="15911" max="15911" customWidth="1" width="11.42578125"/>
    <col min="15912" max="15912" customWidth="1" width="11.42578125"/>
    <col min="15913" max="15913" customWidth="1" width="11.42578125"/>
    <col min="15914" max="15914" customWidth="1" width="11.42578125"/>
    <col min="15915" max="15915" customWidth="1" width="11.42578125"/>
    <col min="15916" max="15916" customWidth="1" width="11.42578125"/>
    <col min="15917" max="15917" customWidth="1" width="11.42578125"/>
    <col min="15918" max="15918" customWidth="1" width="11.42578125"/>
    <col min="15919" max="15919" customWidth="1" width="11.42578125"/>
    <col min="15920" max="15920" customWidth="1" width="11.42578125"/>
    <col min="15921" max="15921" customWidth="1" width="11.42578125"/>
    <col min="15922" max="15922" customWidth="1" width="11.42578125"/>
    <col min="15923" max="15923" customWidth="1" width="11.42578125"/>
    <col min="15924" max="15924" customWidth="1" width="11.42578125"/>
    <col min="15925" max="15925" customWidth="1" width="11.42578125"/>
    <col min="15926" max="15926" customWidth="1" width="11.42578125"/>
    <col min="15927" max="15927" customWidth="1" width="11.42578125"/>
    <col min="15928" max="15928" customWidth="1" width="11.42578125"/>
    <col min="15929" max="15929" customWidth="1" width="11.42578125"/>
    <col min="15930" max="15930" customWidth="1" width="11.42578125"/>
    <col min="15931" max="15931" customWidth="1" width="11.42578125"/>
    <col min="15932" max="15932" customWidth="1" width="11.42578125"/>
    <col min="15933" max="15933" customWidth="1" width="11.42578125"/>
    <col min="15934" max="15934" customWidth="1" width="11.42578125"/>
    <col min="15935" max="15935" customWidth="1" width="11.42578125"/>
    <col min="15936" max="15936" customWidth="1" width="11.42578125"/>
    <col min="15937" max="15937" customWidth="1" width="11.42578125"/>
    <col min="15938" max="15938" customWidth="1" width="11.42578125"/>
    <col min="15939" max="15939" customWidth="1" width="11.42578125"/>
    <col min="15940" max="15940" customWidth="1" width="11.42578125"/>
    <col min="15941" max="15941" customWidth="1" width="11.42578125"/>
    <col min="15942" max="15942" customWidth="1" width="11.42578125"/>
    <col min="15943" max="15943" customWidth="1" width="11.42578125"/>
    <col min="15944" max="15944" customWidth="1" width="11.42578125"/>
    <col min="15945" max="15945" customWidth="1" width="11.42578125"/>
    <col min="15946" max="15946" customWidth="1" width="11.42578125"/>
    <col min="15947" max="15947" customWidth="1" width="11.42578125"/>
    <col min="15948" max="15948" customWidth="1" width="11.42578125"/>
    <col min="15949" max="15949" customWidth="1" width="11.42578125"/>
    <col min="15950" max="15950" customWidth="1" width="11.42578125"/>
    <col min="15951" max="15951" customWidth="1" width="11.42578125"/>
    <col min="15952" max="15952" customWidth="1" width="11.42578125"/>
    <col min="15953" max="15953" customWidth="1" width="11.42578125"/>
    <col min="15954" max="15954" customWidth="1" width="11.42578125"/>
    <col min="15955" max="15955" customWidth="1" width="11.42578125"/>
    <col min="15956" max="15956" customWidth="1" width="11.42578125"/>
    <col min="15957" max="15957" customWidth="1" width="11.42578125"/>
    <col min="15958" max="15958" customWidth="1" width="11.42578125"/>
    <col min="15959" max="15959" customWidth="1" width="11.42578125"/>
    <col min="15960" max="15960" customWidth="1" width="11.42578125"/>
    <col min="15961" max="15961" customWidth="1" width="11.42578125"/>
    <col min="15962" max="15962" customWidth="1" width="11.42578125"/>
    <col min="15963" max="15963" customWidth="1" width="11.42578125"/>
    <col min="15964" max="15964" customWidth="1" width="11.42578125"/>
    <col min="15965" max="15965" customWidth="1" width="11.42578125"/>
    <col min="15966" max="15966" customWidth="1" width="11.42578125"/>
    <col min="15967" max="15967" customWidth="1" width="11.42578125"/>
    <col min="15968" max="15968" customWidth="1" width="11.42578125"/>
    <col min="15969" max="15969" customWidth="1" width="11.42578125"/>
    <col min="15970" max="15970" customWidth="1" width="11.42578125"/>
    <col min="15971" max="15971" customWidth="1" width="11.42578125"/>
    <col min="15972" max="15972" customWidth="1" width="11.42578125"/>
    <col min="15973" max="15973" customWidth="1" width="11.42578125"/>
    <col min="15974" max="15974" customWidth="1" width="11.42578125"/>
    <col min="15975" max="15975" customWidth="1" width="11.42578125"/>
    <col min="15976" max="15976" customWidth="1" width="11.42578125"/>
    <col min="15977" max="15977" customWidth="1" width="11.42578125"/>
    <col min="15978" max="15978" customWidth="1" width="11.42578125"/>
    <col min="15979" max="15979" customWidth="1" width="11.42578125"/>
    <col min="15980" max="15980" customWidth="1" width="11.42578125"/>
    <col min="15981" max="15981" customWidth="1" width="11.42578125"/>
    <col min="15982" max="15982" customWidth="1" width="11.42578125"/>
    <col min="15983" max="15983" customWidth="1" width="11.42578125"/>
    <col min="15984" max="15984" customWidth="1" width="11.42578125"/>
    <col min="15985" max="15985" customWidth="1" width="11.42578125"/>
    <col min="15986" max="15986" customWidth="1" width="11.42578125"/>
    <col min="15987" max="15987" customWidth="1" width="11.42578125"/>
    <col min="15988" max="15988" customWidth="1" width="11.42578125"/>
    <col min="15989" max="15989" customWidth="1" width="11.42578125"/>
    <col min="15990" max="15990" customWidth="1" width="11.42578125"/>
    <col min="15991" max="15991" customWidth="1" width="11.42578125"/>
    <col min="15992" max="15992" customWidth="1" width="11.42578125"/>
    <col min="15993" max="15993" customWidth="1" width="11.42578125"/>
    <col min="15994" max="15994" customWidth="1" width="11.42578125"/>
    <col min="15995" max="15995" customWidth="1" width="11.42578125"/>
    <col min="15996" max="15996" customWidth="1" width="11.42578125"/>
    <col min="15997" max="15997" customWidth="1" width="11.42578125"/>
    <col min="15998" max="15998" customWidth="1" width="11.42578125"/>
    <col min="15999" max="15999" customWidth="1" width="11.42578125"/>
    <col min="16000" max="16000" customWidth="1" width="11.42578125"/>
    <col min="16001" max="16001" customWidth="1" width="11.42578125"/>
    <col min="16002" max="16002" customWidth="1" width="11.42578125"/>
    <col min="16003" max="16003" customWidth="1" width="11.42578125"/>
    <col min="16004" max="16004" customWidth="1" width="11.42578125"/>
    <col min="16005" max="16005" customWidth="1" width="11.42578125"/>
    <col min="16006" max="16006" customWidth="1" width="11.42578125"/>
    <col min="16007" max="16007" customWidth="1" width="11.42578125"/>
    <col min="16008" max="16008" customWidth="1" width="11.42578125"/>
    <col min="16009" max="16009" customWidth="1" width="11.42578125"/>
    <col min="16010" max="16010" customWidth="1" width="11.42578125"/>
    <col min="16011" max="16011" customWidth="1" width="11.42578125"/>
    <col min="16012" max="16012" customWidth="1" width="11.42578125"/>
    <col min="16013" max="16013" customWidth="1" width="11.42578125"/>
    <col min="16014" max="16014" customWidth="1" width="11.42578125"/>
    <col min="16015" max="16015" customWidth="1" width="11.42578125"/>
    <col min="16016" max="16016" customWidth="1" width="11.42578125"/>
    <col min="16017" max="16017" customWidth="1" width="11.42578125"/>
    <col min="16018" max="16018" customWidth="1" width="11.42578125"/>
    <col min="16019" max="16019" customWidth="1" width="11.42578125"/>
    <col min="16020" max="16020" customWidth="1" width="11.42578125"/>
    <col min="16021" max="16021" customWidth="1" width="11.42578125"/>
    <col min="16022" max="16022" customWidth="1" width="11.42578125"/>
    <col min="16023" max="16023" customWidth="1" width="11.42578125"/>
    <col min="16024" max="16024" customWidth="1" width="11.42578125"/>
    <col min="16025" max="16025" customWidth="1" width="11.42578125"/>
    <col min="16026" max="16026" customWidth="1" width="11.42578125"/>
    <col min="16027" max="16027" customWidth="1" width="11.42578125"/>
    <col min="16028" max="16028" customWidth="1" width="11.42578125"/>
    <col min="16029" max="16029" customWidth="1" width="11.42578125"/>
    <col min="16030" max="16030" customWidth="1" width="11.42578125"/>
    <col min="16031" max="16031" customWidth="1" width="11.42578125"/>
    <col min="16032" max="16032" customWidth="1" width="11.42578125"/>
    <col min="16033" max="16033" customWidth="1" width="11.42578125"/>
    <col min="16034" max="16034" customWidth="1" width="11.42578125"/>
    <col min="16035" max="16035" customWidth="1" width="11.42578125"/>
    <col min="16036" max="16036" customWidth="1" width="11.42578125"/>
    <col min="16037" max="16037" customWidth="1" width="11.42578125"/>
    <col min="16038" max="16038" customWidth="1" width="11.42578125"/>
    <col min="16039" max="16039" customWidth="1" width="11.42578125"/>
    <col min="16040" max="16040" customWidth="1" width="11.42578125"/>
    <col min="16041" max="16041" customWidth="1" width="11.42578125"/>
    <col min="16042" max="16042" customWidth="1" width="11.42578125"/>
    <col min="16043" max="16043" customWidth="1" width="11.42578125"/>
    <col min="16044" max="16044" customWidth="1" width="11.42578125"/>
    <col min="16045" max="16045" customWidth="1" width="11.42578125"/>
    <col min="16046" max="16046" customWidth="1" width="11.42578125"/>
    <col min="16047" max="16047" customWidth="1" width="11.42578125"/>
    <col min="16048" max="16048" customWidth="1" width="11.42578125"/>
    <col min="16049" max="16049" customWidth="1" width="11.42578125"/>
    <col min="16050" max="16050" customWidth="1" width="11.42578125"/>
    <col min="16051" max="16051" customWidth="1" width="11.42578125"/>
    <col min="16052" max="16052" customWidth="1" width="11.42578125"/>
    <col min="16053" max="16053" customWidth="1" width="11.42578125"/>
    <col min="16054" max="16054" customWidth="1" width="11.42578125"/>
    <col min="16055" max="16055" customWidth="1" width="11.42578125"/>
    <col min="16056" max="16056" customWidth="1" width="11.42578125"/>
    <col min="16057" max="16057" customWidth="1" width="11.42578125"/>
    <col min="16058" max="16058" customWidth="1" width="11.42578125"/>
    <col min="16059" max="16059" customWidth="1" width="11.42578125"/>
    <col min="16060" max="16060" customWidth="1" width="11.42578125"/>
    <col min="16061" max="16061" customWidth="1" width="11.42578125"/>
    <col min="16062" max="16062" customWidth="1" width="11.42578125"/>
    <col min="16063" max="16063" customWidth="1" width="11.42578125"/>
    <col min="16064" max="16064" customWidth="1" width="11.42578125"/>
    <col min="16065" max="16065" customWidth="1" width="11.42578125"/>
    <col min="16066" max="16066" customWidth="1" width="11.42578125"/>
    <col min="16067" max="16067" customWidth="1" width="11.42578125"/>
    <col min="16068" max="16068" customWidth="1" width="11.42578125"/>
    <col min="16069" max="16069" customWidth="1" width="11.42578125"/>
    <col min="16070" max="16070" customWidth="1" width="11.42578125"/>
    <col min="16071" max="16071" customWidth="1" width="11.42578125"/>
    <col min="16072" max="16072" customWidth="1" width="11.42578125"/>
    <col min="16073" max="16073" customWidth="1" width="11.42578125"/>
    <col min="16074" max="16074" customWidth="1" width="11.42578125"/>
    <col min="16075" max="16075" customWidth="1" width="11.42578125"/>
    <col min="16076" max="16076" customWidth="1" width="11.42578125"/>
    <col min="16077" max="16077" customWidth="1" width="11.42578125"/>
    <col min="16078" max="16078" customWidth="1" width="11.42578125"/>
    <col min="16079" max="16079" customWidth="1" width="11.42578125"/>
    <col min="16080" max="16080" customWidth="1" width="11.42578125"/>
    <col min="16081" max="16081" customWidth="1" width="11.42578125"/>
    <col min="16082" max="16082" customWidth="1" width="11.42578125"/>
    <col min="16083" max="16083" customWidth="1" width="11.42578125"/>
    <col min="16084" max="16084" customWidth="1" width="11.42578125"/>
    <col min="16085" max="16085" customWidth="1" width="11.42578125"/>
    <col min="16086" max="16086" customWidth="1" width="11.42578125"/>
    <col min="16087" max="16087" customWidth="1" width="11.42578125"/>
    <col min="16088" max="16088" customWidth="1" width="11.42578125"/>
    <col min="16089" max="16089" customWidth="1" width="11.42578125"/>
    <col min="16090" max="16090" customWidth="1" width="11.42578125"/>
    <col min="16091" max="16091" customWidth="1" width="11.42578125"/>
    <col min="16092" max="16092" customWidth="1" width="11.42578125"/>
    <col min="16093" max="16093" customWidth="1" width="11.42578125"/>
    <col min="16094" max="16094" customWidth="1" width="11.42578125"/>
    <col min="16095" max="16095" customWidth="1" width="11.42578125"/>
    <col min="16096" max="16096" customWidth="1" width="11.42578125"/>
    <col min="16097" max="16097" customWidth="1" width="11.42578125"/>
    <col min="16098" max="16098" customWidth="1" width="11.42578125"/>
    <col min="16099" max="16099" customWidth="1" width="11.42578125"/>
    <col min="16100" max="16100" customWidth="1" width="11.42578125"/>
    <col min="16101" max="16101" customWidth="1" width="11.42578125"/>
    <col min="16102" max="16102" customWidth="1" width="11.42578125"/>
    <col min="16103" max="16103" customWidth="1" width="11.42578125"/>
    <col min="16104" max="16104" customWidth="1" width="11.42578125"/>
    <col min="16105" max="16105" customWidth="1" width="11.42578125"/>
    <col min="16106" max="16106" customWidth="1" width="11.42578125"/>
    <col min="16107" max="16107" customWidth="1" width="11.42578125"/>
    <col min="16108" max="16108" customWidth="1" width="11.42578125"/>
    <col min="16109" max="16109" customWidth="1" width="11.42578125"/>
    <col min="16110" max="16110" customWidth="1" width="11.42578125"/>
    <col min="16111" max="16111" customWidth="1" width="11.42578125"/>
    <col min="16112" max="16112" customWidth="1" width="11.42578125"/>
    <col min="16113" max="16113" customWidth="1" width="11.42578125"/>
    <col min="16114" max="16114" customWidth="1" width="11.42578125"/>
    <col min="16115" max="16115" customWidth="1" width="11.42578125"/>
    <col min="16116" max="16116" customWidth="1" width="11.42578125"/>
    <col min="16117" max="16117" customWidth="1" width="11.42578125"/>
    <col min="16118" max="16118" customWidth="1" width="11.42578125"/>
    <col min="16119" max="16119" customWidth="1" width="11.42578125"/>
    <col min="16120" max="16120" customWidth="1" width="11.42578125"/>
    <col min="16121" max="16121" customWidth="1" width="11.42578125"/>
    <col min="16122" max="16122" customWidth="1" width="11.42578125"/>
    <col min="16123" max="16123" customWidth="1" width="11.42578125"/>
    <col min="16124" max="16124" customWidth="1" width="11.42578125"/>
    <col min="16125" max="16125" customWidth="1" width="11.42578125"/>
    <col min="16126" max="16126" customWidth="1" width="11.42578125"/>
    <col min="16127" max="16127" customWidth="1" width="11.42578125"/>
    <col min="16128" max="16128" customWidth="1" width="11.42578125"/>
    <col min="16129" max="16129" customWidth="1" width="11.42578125"/>
    <col min="16130" max="16130" customWidth="1" width="11.42578125"/>
    <col min="16131" max="16131" customWidth="1" width="11.42578125"/>
    <col min="16132" max="16132" customWidth="1" width="11.42578125"/>
    <col min="16133" max="16133" customWidth="1" width="11.42578125"/>
    <col min="16134" max="16134" customWidth="1" width="11.42578125"/>
    <col min="16135" max="16135" customWidth="1" width="11.42578125"/>
    <col min="16136" max="16136" customWidth="1" width="11.42578125"/>
    <col min="16137" max="16137" customWidth="1" width="11.42578125"/>
    <col min="16138" max="16138" customWidth="1" width="11.42578125"/>
    <col min="16139" max="16139" customWidth="1" width="11.42578125"/>
    <col min="16140" max="16140" customWidth="1" width="11.42578125"/>
    <col min="16141" max="16141" customWidth="1" width="11.42578125"/>
    <col min="16142" max="16142" customWidth="1" width="11.42578125"/>
    <col min="16143" max="16143" customWidth="1" width="11.42578125"/>
    <col min="16144" max="16144" customWidth="1" width="11.42578125"/>
    <col min="16145" max="16145" customWidth="1" width="11.42578125"/>
    <col min="16146" max="16146" customWidth="1" width="11.42578125"/>
    <col min="16147" max="16147" customWidth="1" width="11.42578125"/>
    <col min="16148" max="16148" customWidth="1" width="11.42578125"/>
    <col min="16149" max="16149" customWidth="1" width="11.42578125"/>
    <col min="16150" max="16150" customWidth="1" width="11.42578125"/>
    <col min="16151" max="16151" customWidth="1" width="11.42578125"/>
    <col min="16152" max="16152" customWidth="1" width="11.42578125"/>
    <col min="16153" max="16153" customWidth="1" width="11.42578125"/>
    <col min="16154" max="16154" customWidth="1" width="11.42578125"/>
    <col min="16155" max="16155" customWidth="1" width="11.42578125"/>
    <col min="16156" max="16156" customWidth="1" width="11.42578125"/>
    <col min="16157" max="16157" customWidth="1" width="11.42578125"/>
    <col min="16158" max="16158" customWidth="1" width="11.42578125"/>
    <col min="16159" max="16159" customWidth="1" width="11.42578125"/>
    <col min="16160" max="16160" customWidth="1" width="11.42578125"/>
    <col min="16161" max="16161" customWidth="1" width="11.42578125"/>
    <col min="16162" max="16162" customWidth="1" width="11.42578125"/>
    <col min="16163" max="16163" customWidth="1" width="11.42578125"/>
    <col min="16164" max="16164" customWidth="1" width="11.42578125"/>
    <col min="16165" max="16165" customWidth="1" width="11.42578125"/>
    <col min="16166" max="16166" customWidth="1" width="11.42578125"/>
    <col min="16167" max="16167" customWidth="1" width="11.42578125"/>
    <col min="16168" max="16168" customWidth="1" width="11.42578125"/>
    <col min="16169" max="16169" customWidth="1" width="11.42578125"/>
    <col min="16170" max="16170" customWidth="1" width="11.42578125"/>
    <col min="16171" max="16171" customWidth="1" width="11.42578125"/>
    <col min="16172" max="16172" customWidth="1" width="11.42578125"/>
    <col min="16173" max="16173" customWidth="1" width="11.42578125"/>
    <col min="16174" max="16174" customWidth="1" width="11.42578125"/>
    <col min="16175" max="16175" customWidth="1" width="11.42578125"/>
    <col min="16176" max="16176" customWidth="1" width="11.42578125"/>
    <col min="16177" max="16177" customWidth="1" width="11.42578125"/>
    <col min="16178" max="16178" customWidth="1" width="11.42578125"/>
    <col min="16179" max="16179" customWidth="1" width="11.42578125"/>
    <col min="16180" max="16180" customWidth="1" width="11.42578125"/>
    <col min="16181" max="16181" customWidth="1" width="11.42578125"/>
    <col min="16182" max="16182" customWidth="1" width="11.42578125"/>
    <col min="16183" max="16183" customWidth="1" width="11.42578125"/>
    <col min="16184" max="16184" customWidth="1" width="11.42578125"/>
    <col min="16185" max="16185" customWidth="1" width="11.42578125"/>
    <col min="16186" max="16186" customWidth="1" width="11.42578125"/>
    <col min="16187" max="16187" customWidth="1" width="11.42578125"/>
    <col min="16188" max="16188" customWidth="1" width="11.42578125"/>
    <col min="16189" max="16189" customWidth="1" width="11.42578125"/>
    <col min="16190" max="16190" customWidth="1" width="11.42578125"/>
    <col min="16191" max="16191" customWidth="1" width="11.42578125"/>
    <col min="16192" max="16192" customWidth="1" width="11.42578125"/>
    <col min="16193" max="16193" customWidth="1" width="11.42578125"/>
    <col min="16194" max="16194" customWidth="1" width="11.42578125"/>
    <col min="16195" max="16195" customWidth="1" width="11.42578125"/>
    <col min="16196" max="16196" customWidth="1" width="11.42578125"/>
    <col min="16197" max="16197" customWidth="1" width="11.42578125"/>
    <col min="16198" max="16198" customWidth="1" width="11.42578125"/>
    <col min="16199" max="16199" customWidth="1" width="11.42578125"/>
    <col min="16200" max="16200" customWidth="1" width="11.42578125"/>
    <col min="16201" max="16201" customWidth="1" width="11.42578125"/>
    <col min="16202" max="16202" customWidth="1" width="11.42578125"/>
    <col min="16203" max="16203" customWidth="1" width="11.42578125"/>
    <col min="16204" max="16204" customWidth="1" width="11.42578125"/>
    <col min="16205" max="16205" customWidth="1" width="11.42578125"/>
    <col min="16206" max="16206" customWidth="1" width="11.42578125"/>
    <col min="16207" max="16207" customWidth="1" width="11.42578125"/>
    <col min="16208" max="16208" customWidth="1" width="11.42578125"/>
    <col min="16209" max="16209" customWidth="1" width="11.42578125"/>
    <col min="16210" max="16210" customWidth="1" width="11.42578125"/>
    <col min="16211" max="16211" customWidth="1" width="11.42578125"/>
    <col min="16212" max="16212" customWidth="1" width="11.42578125"/>
    <col min="16213" max="16213" customWidth="1" width="11.42578125"/>
    <col min="16214" max="16214" customWidth="1" width="11.42578125"/>
    <col min="16215" max="16215" customWidth="1" width="11.42578125"/>
    <col min="16216" max="16216" customWidth="1" width="11.42578125"/>
    <col min="16217" max="16217" customWidth="1" width="11.42578125"/>
    <col min="16218" max="16218" customWidth="1" width="11.42578125"/>
    <col min="16219" max="16219" customWidth="1" width="11.42578125"/>
    <col min="16220" max="16220" customWidth="1" width="11.42578125"/>
    <col min="16221" max="16221" customWidth="1" width="11.42578125"/>
    <col min="16222" max="16222" customWidth="1" width="11.42578125"/>
    <col min="16223" max="16223" customWidth="1" width="11.42578125"/>
    <col min="16224" max="16224" customWidth="1" width="11.42578125"/>
    <col min="16225" max="16225" customWidth="1" width="11.42578125"/>
    <col min="16226" max="16226" customWidth="1" width="11.42578125"/>
    <col min="16227" max="16227" customWidth="1" width="11.42578125"/>
    <col min="16228" max="16228" customWidth="1" width="11.42578125"/>
    <col min="16229" max="16229" customWidth="1" width="11.42578125"/>
    <col min="16230" max="16230" customWidth="1" width="11.42578125"/>
    <col min="16231" max="16231" customWidth="1" width="11.42578125"/>
    <col min="16232" max="16232" customWidth="1" width="11.42578125"/>
    <col min="16233" max="16233" customWidth="1" width="11.42578125"/>
    <col min="16234" max="16234" customWidth="1" width="11.42578125"/>
    <col min="16235" max="16235" customWidth="1" width="11.42578125"/>
    <col min="16236" max="16236" customWidth="1" width="11.42578125"/>
    <col min="16237" max="16237" customWidth="1" width="11.42578125"/>
    <col min="16238" max="16238" customWidth="1" width="11.42578125"/>
    <col min="16239" max="16239" customWidth="1" width="11.42578125"/>
    <col min="16240" max="16240" customWidth="1" width="11.42578125"/>
    <col min="16241" max="16241" customWidth="1" width="11.42578125"/>
    <col min="16242" max="16242" customWidth="1" width="11.42578125"/>
    <col min="16243" max="16243" customWidth="1" width="11.42578125"/>
    <col min="16244" max="16244" customWidth="1" width="11.42578125"/>
    <col min="16245" max="16245" customWidth="1" width="11.42578125"/>
    <col min="16246" max="16246" customWidth="1" width="11.42578125"/>
    <col min="16247" max="16247" customWidth="1" width="11.42578125"/>
    <col min="16248" max="16248" customWidth="1" width="11.42578125"/>
    <col min="16249" max="16249" customWidth="1" width="11.42578125"/>
    <col min="16250" max="16250" customWidth="1" width="11.42578125"/>
    <col min="16251" max="16251" customWidth="1" width="11.42578125"/>
    <col min="16252" max="16252" customWidth="1" width="11.42578125"/>
    <col min="16253" max="16253" customWidth="1" width="11.42578125"/>
    <col min="16254" max="16254" customWidth="1" width="11.42578125"/>
    <col min="16255" max="16255" customWidth="1" width="11.42578125"/>
    <col min="16256" max="16256" customWidth="1" width="11.42578125"/>
    <col min="16257" max="16257" customWidth="1" width="11.42578125"/>
    <col min="16258" max="16258" customWidth="1" width="11.42578125"/>
    <col min="16259" max="16259" customWidth="1" width="11.42578125"/>
    <col min="16260" max="16260" customWidth="1" width="11.42578125"/>
    <col min="16261" max="16261" customWidth="1" width="11.42578125"/>
    <col min="16262" max="16262" customWidth="1" width="11.42578125"/>
    <col min="16263" max="16263" customWidth="1" width="11.42578125"/>
    <col min="16264" max="16264" customWidth="1" width="11.42578125"/>
    <col min="16265" max="16265" customWidth="1" width="11.42578125"/>
    <col min="16266" max="16266" customWidth="1" width="11.42578125"/>
    <col min="16267" max="16267" customWidth="1" width="11.42578125"/>
    <col min="16268" max="16268" customWidth="1" width="11.42578125"/>
    <col min="16269" max="16269" customWidth="1" width="11.42578125"/>
    <col min="16270" max="16270" customWidth="1" width="11.42578125"/>
    <col min="16271" max="16271" customWidth="1" width="11.42578125"/>
    <col min="16272" max="16272" customWidth="1" width="11.42578125"/>
    <col min="16273" max="16273" customWidth="1" width="11.42578125"/>
    <col min="16274" max="16274" customWidth="1" width="11.42578125"/>
    <col min="16275" max="16275" customWidth="1" width="11.42578125"/>
    <col min="16276" max="16276" customWidth="1" width="11.42578125"/>
    <col min="16277" max="16277" customWidth="1" width="11.42578125"/>
    <col min="16278" max="16278" customWidth="1" width="11.42578125"/>
    <col min="16279" max="16279" customWidth="1" width="11.42578125"/>
    <col min="16280" max="16280" customWidth="1" width="11.42578125"/>
    <col min="16281" max="16281" customWidth="1" width="11.42578125"/>
    <col min="16282" max="16282" customWidth="1" width="11.42578125"/>
    <col min="16283" max="16283" customWidth="1" width="11.42578125"/>
    <col min="16284" max="16284" customWidth="1" width="11.42578125"/>
    <col min="16285" max="16285" customWidth="1" width="11.42578125"/>
    <col min="16286" max="16286" customWidth="1" width="11.42578125"/>
    <col min="16287" max="16287" customWidth="1" width="11.42578125"/>
    <col min="16288" max="16288" customWidth="1" width="11.42578125"/>
    <col min="16289" max="16289" customWidth="1" width="11.42578125"/>
    <col min="16290" max="16290" customWidth="1" width="11.42578125"/>
    <col min="16291" max="16291" customWidth="1" width="11.42578125"/>
    <col min="16292" max="16292" customWidth="1" width="11.42578125"/>
    <col min="16293" max="16293" customWidth="1" width="11.42578125"/>
    <col min="16294" max="16294" customWidth="1" width="11.42578125"/>
    <col min="16295" max="16295" customWidth="1" width="11.42578125"/>
    <col min="16296" max="16296" customWidth="1" width="11.42578125"/>
    <col min="16297" max="16297" customWidth="1" width="11.42578125"/>
    <col min="16298" max="16298" customWidth="1" width="11.42578125"/>
    <col min="16299" max="16299" customWidth="1" width="11.42578125"/>
    <col min="16300" max="16300" customWidth="1" width="11.42578125"/>
    <col min="16301" max="16301" customWidth="1" width="11.42578125"/>
    <col min="16302" max="16302" customWidth="1" width="11.42578125"/>
    <col min="16303" max="16303" customWidth="1" width="11.42578125"/>
    <col min="16304" max="16304" customWidth="1" width="11.42578125"/>
    <col min="16305" max="16305" customWidth="1" width="11.42578125"/>
    <col min="16306" max="16306" customWidth="1" width="11.42578125"/>
    <col min="16307" max="16307" customWidth="1" width="11.42578125"/>
    <col min="16308" max="16308" customWidth="1" width="11.42578125"/>
    <col min="16309" max="16309" customWidth="1" width="11.42578125"/>
    <col min="16310" max="16310" customWidth="1" width="11.42578125"/>
    <col min="16311" max="16311" customWidth="1" width="11.42578125"/>
    <col min="16312" max="16312" customWidth="1" width="11.42578125"/>
    <col min="16313" max="16313" customWidth="1" width="11.42578125"/>
    <col min="16314" max="16314" customWidth="1" width="11.42578125"/>
    <col min="16315" max="16315" customWidth="1" width="11.42578125"/>
    <col min="16316" max="16316" customWidth="1" width="11.42578125"/>
    <col min="16317" max="16317" customWidth="1" width="11.42578125"/>
    <col min="16318" max="16318" customWidth="1" width="11.42578125"/>
    <col min="16319" max="16319" customWidth="1" width="11.42578125"/>
    <col min="16320" max="16320" customWidth="1" width="11.42578125"/>
    <col min="16321" max="16321" customWidth="1" width="11.42578125"/>
    <col min="16322" max="16322" customWidth="1" width="11.42578125"/>
    <col min="16323" max="16323" customWidth="1" width="11.42578125"/>
    <col min="16324" max="16324" customWidth="1" width="11.42578125"/>
    <col min="16325" max="16325" customWidth="1" width="11.42578125"/>
    <col min="16326" max="16326" customWidth="1" width="11.42578125"/>
    <col min="16327" max="16327" customWidth="1" width="11.42578125"/>
    <col min="16328" max="16328" customWidth="1" width="11.42578125"/>
    <col min="16329" max="16329" customWidth="1" width="11.42578125"/>
    <col min="16330" max="16330" customWidth="1" width="11.42578125"/>
    <col min="16331" max="16331" customWidth="1" width="11.42578125"/>
    <col min="16332" max="16332" customWidth="1" width="11.42578125"/>
    <col min="16333" max="16333" customWidth="1" width="11.42578125"/>
    <col min="16334" max="16334" customWidth="1" width="11.42578125"/>
    <col min="16335" max="16335" customWidth="1" width="11.42578125"/>
    <col min="16336" max="16336" customWidth="1" width="11.42578125"/>
    <col min="16337" max="16337" customWidth="1" width="11.42578125"/>
    <col min="16338" max="16338" customWidth="1" width="11.42578125"/>
    <col min="16339" max="16339" customWidth="1" width="11.42578125"/>
    <col min="16340" max="16340" customWidth="1" width="11.42578125"/>
    <col min="16341" max="16341" customWidth="1" width="11.42578125"/>
    <col min="16342" max="16342" customWidth="1" width="11.42578125"/>
    <col min="16343" max="16343" customWidth="1" width="11.42578125"/>
    <col min="16344" max="16344" customWidth="1" width="11.42578125"/>
    <col min="16345" max="16345" customWidth="1" width="11.42578125"/>
    <col min="16346" max="16346" customWidth="1" width="11.42578125"/>
    <col min="16347" max="16347" customWidth="1" width="11.42578125"/>
    <col min="16348" max="16348" customWidth="1" width="11.42578125"/>
    <col min="16349" max="16349" customWidth="1" width="11.42578125"/>
    <col min="16350" max="16350" customWidth="1" width="11.42578125"/>
    <col min="16351" max="16351" customWidth="1" width="11.42578125"/>
    <col min="16352" max="16352" customWidth="1" width="11.42578125"/>
    <col min="16353" max="16353" customWidth="1" width="11.42578125"/>
    <col min="16354" max="16354" customWidth="1" width="11.42578125"/>
    <col min="16355" max="16355" customWidth="1" width="11.42578125"/>
    <col min="16356" max="16356" customWidth="1" width="11.42578125"/>
    <col min="16357" max="16357" customWidth="1" width="11.42578125"/>
    <col min="16358" max="16358" customWidth="1" width="11.42578125"/>
    <col min="16359" max="16359" customWidth="1" width="11.42578125"/>
    <col min="16360" max="16360" customWidth="1" width="11.42578125"/>
    <col min="16361" max="16361" customWidth="1" width="11.42578125"/>
    <col min="16362" max="16362" customWidth="1" width="11.42578125"/>
    <col min="16363" max="16363" customWidth="1" width="11.42578125"/>
    <col min="16364" max="16364" customWidth="1" width="11.42578125"/>
    <col min="16365" max="16365" customWidth="1" width="11.42578125"/>
    <col min="16366" max="16366" customWidth="1" width="11.42578125"/>
    <col min="16367" max="16367" customWidth="1" width="11.42578125"/>
    <col min="16368" max="16368" customWidth="1" width="11.42578125"/>
    <col min="16369" max="16369" customWidth="1" width="11.42578125"/>
    <col min="16370" max="16370" customWidth="1" width="11.42578125"/>
    <col min="16371" max="16371" customWidth="1" width="11.42578125"/>
    <col min="16372" max="16372" customWidth="1" width="11.42578125"/>
    <col min="16373" max="16373" customWidth="1" width="11.42578125"/>
    <col min="16374" max="16374" customWidth="1" width="11.42578125"/>
    <col min="16375" max="16375" customWidth="1" width="11.42578125"/>
    <col min="16376" max="16376" customWidth="1" width="11.42578125"/>
    <col min="16377" max="16377" customWidth="1" width="11.42578125"/>
    <col min="16378" max="16378" customWidth="1" width="11.42578125"/>
    <col min="16379" max="16379" customWidth="1" width="11.42578125"/>
    <col min="16380" max="16380" customWidth="1" width="11.42578125"/>
    <col min="16381" max="16381" customWidth="1" width="11.42578125"/>
    <col min="16382" max="16382" customWidth="1" width="11.42578125"/>
    <col min="16383" max="16383" customWidth="1" width="11.42578125"/>
    <col min="16384" max="16384" customWidth="1" width="11.42578125"/>
  </cols>
  <sheetData>
    <row r="1" ht="15.75" customHeight="1"/>
    <row r="2" ht="45.75" customHeight="1" xml:space="preserve">
      <c r="B2" t="str">
        <v>ID</v>
      </c>
      <c r="C2" t="str">
        <v>Client</v>
      </c>
      <c r="D2" t="str">
        <v>Invoice</v>
      </c>
      <c r="E2" t="str">
        <v>Incoming resources</v>
      </c>
      <c r="F2" t="str">
        <v>Maximum Date for Monetization</v>
      </c>
      <c r="G2" t="str">
        <v>Días</v>
      </c>
      <c r="H2" t="str">
        <v>Progress</v>
      </c>
      <c r="J2" t="str">
        <v>Invoiced</v>
      </c>
      <c r="L2" t="str">
        <v>Received</v>
      </c>
      <c r="M2" t="str">
        <v>Banking taxes</v>
      </c>
      <c r="N2" t="str" xml:space="preserve">
        <v xml:space="preserve">TRM Invoice_x000d_
Cops</v>
      </c>
      <c r="O2" t="str" xml:space="preserve">
        <v xml:space="preserve">TRM Bank (Average)_x000d_
Cops</v>
      </c>
      <c r="P2" t="str">
        <v>Difference in exchange rates</v>
      </c>
      <c r="Q2" t="str">
        <v>invoicing in COPS</v>
      </c>
      <c r="R2" t="str">
        <v xml:space="preserve"> negotiated COPS</v>
      </c>
      <c r="S2" t="str">
        <v>difference</v>
      </c>
      <c r="T2" t="str">
        <v>KPI</v>
      </c>
      <c r="U2" t="str">
        <v>Color KPI</v>
      </c>
    </row>
    <row r="3" outlineLevel="1">
      <c r="B3">
        <v>1</v>
      </c>
      <c r="C3" t="str">
        <v>Remofirst-10AK</v>
      </c>
      <c r="D3">
        <v>4820</v>
      </c>
      <c r="E3" s="1">
        <v>45443</v>
      </c>
      <c r="F3" s="1">
        <v>45503</v>
      </c>
      <c r="G3" s="19">
        <f>F3-E3</f>
        <v>60</v>
      </c>
      <c r="H3" s="20">
        <f>IFERROR(IF(TODAY()&gt;=E3,(TODAY()-E3)/G3,0),0)</f>
        <v>11.3</v>
      </c>
      <c r="I3" s="20">
        <v>1</v>
      </c>
      <c r="J3" s="5">
        <v>9692.05</v>
      </c>
      <c r="K3" s="14">
        <f>J3/$J$23</f>
        <v>0.0885433029971461</v>
      </c>
      <c r="L3" s="5">
        <f>J3-M3</f>
        <v>9688.065551365127</v>
      </c>
      <c r="M3" s="5">
        <f>K3*$K$23</f>
        <v>3.984448634871575</v>
      </c>
      <c r="N3" s="21">
        <v>3864.23</v>
      </c>
      <c r="O3" s="21">
        <v>3882.9</v>
      </c>
      <c r="P3" s="21">
        <f>O3-N3</f>
        <v>18.670000000000073</v>
      </c>
      <c r="Q3" s="21">
        <f>J3*N3</f>
        <v>37452310.3715</v>
      </c>
      <c r="R3" s="21">
        <f>L3*O3</f>
        <v>37617789.72939565</v>
      </c>
      <c r="S3" s="21">
        <f>R3-Q3</f>
        <v>165479.35789564997</v>
      </c>
      <c r="T3" t="str">
        <f>IF(O3&lt;= N3,"No Monetizar","Monetizar")</f>
        <v>Monetizar</v>
      </c>
      <c r="W3" t="str">
        <v>Remofirst-10AK Factura # 4820</v>
      </c>
    </row>
    <row r="4" outlineLevel="1">
      <c r="B4">
        <v>2</v>
      </c>
      <c r="C4" t="str">
        <v>Remofirst-Ferrous</v>
      </c>
      <c r="D4">
        <v>4821</v>
      </c>
      <c r="E4" s="1">
        <v>45443</v>
      </c>
      <c r="F4" s="1">
        <v>45503</v>
      </c>
      <c r="G4" s="19">
        <f>F4-E4</f>
        <v>60</v>
      </c>
      <c r="H4" s="20">
        <f>IFERROR(IF(TODAY()&gt;=E4,(TODAY()-E4)/G4,0),0)</f>
        <v>11.3</v>
      </c>
      <c r="I4" s="20">
        <v>1</v>
      </c>
      <c r="J4" s="5">
        <v>8127.7</v>
      </c>
      <c r="K4" s="14">
        <f>J4/$J$23</f>
        <v>0.07425192851562924</v>
      </c>
      <c r="L4" s="5">
        <f>J4-M4</f>
        <v>8124.358663216796</v>
      </c>
      <c r="M4" s="5">
        <f>K4*$K$23</f>
        <v>3.341336783203316</v>
      </c>
      <c r="N4" s="21">
        <v>3864.23</v>
      </c>
      <c r="O4" s="21">
        <v>3882.9</v>
      </c>
      <c r="P4" s="21">
        <f>O4-N4</f>
        <v>18.670000000000073</v>
      </c>
      <c r="Q4" s="21">
        <f>J4*N4</f>
        <v>31407302.171</v>
      </c>
      <c r="R4" s="21">
        <f>L4*O4</f>
        <v>31546072.253404498</v>
      </c>
      <c r="S4" s="21">
        <f>R4-Q4</f>
        <v>138770.082404498</v>
      </c>
      <c r="T4" t="str">
        <f>IF(O4&lt;= N4,"No Monetizar","Monetizar")</f>
        <v>Monetizar</v>
      </c>
      <c r="W4" t="str">
        <v>Remofirst-Ferrous Factura # 4821</v>
      </c>
    </row>
    <row r="5" outlineLevel="1">
      <c r="B5">
        <v>3</v>
      </c>
      <c r="C5" t="str">
        <v xml:space="preserve">Remofirst Bluleadz </v>
      </c>
      <c r="D5">
        <v>4822</v>
      </c>
      <c r="E5" s="1">
        <v>45443</v>
      </c>
      <c r="F5" s="1">
        <v>45503</v>
      </c>
      <c r="G5" s="19">
        <f>F5-E5</f>
        <v>60</v>
      </c>
      <c r="H5" s="20">
        <f>IFERROR(IF(TODAY()&gt;=E5,(TODAY()-E5)/G5,0),0)</f>
        <v>11.3</v>
      </c>
      <c r="I5" s="20">
        <v>1</v>
      </c>
      <c r="J5" s="5">
        <v>5392.67</v>
      </c>
      <c r="K5" s="14">
        <f>J5/$J$23</f>
        <v>0.04926561602278361</v>
      </c>
      <c r="L5" s="5">
        <f>J5-M5</f>
        <v>5390.453047278975</v>
      </c>
      <c r="M5" s="5">
        <f>K5*$K$23</f>
        <v>2.2169527210252626</v>
      </c>
      <c r="N5" s="21">
        <v>3864.23</v>
      </c>
      <c r="O5" s="21">
        <v>3882.9</v>
      </c>
      <c r="P5" s="21">
        <f>O5-N5</f>
        <v>18.670000000000073</v>
      </c>
      <c r="Q5" s="21">
        <f>J5*N5</f>
        <v>20838517.1941</v>
      </c>
      <c r="R5" s="21">
        <f>L5*O5</f>
        <v>20930590.137279533</v>
      </c>
      <c r="S5" s="21">
        <f>R5-Q5</f>
        <v>92072.94317953289</v>
      </c>
      <c r="T5" t="str">
        <f>IF(O5&lt;= N5,"No Monetizar","Monetizar")</f>
        <v>Monetizar</v>
      </c>
      <c r="W5" t="str">
        <v>Remofirst Bluleadz  Factura # 4822</v>
      </c>
    </row>
    <row r="6" outlineLevel="1">
      <c r="B6">
        <v>4</v>
      </c>
      <c r="C6" t="str">
        <v xml:space="preserve">Remofirst TC1 Corporation SAC </v>
      </c>
      <c r="D6">
        <v>4823</v>
      </c>
      <c r="E6" s="1">
        <v>45443</v>
      </c>
      <c r="F6" s="1">
        <v>45503</v>
      </c>
      <c r="G6" s="19">
        <f>F6-E6</f>
        <v>60</v>
      </c>
      <c r="H6" s="20">
        <f>IFERROR(IF(TODAY()&gt;=E6,(TODAY()-E6)/G6,0),0)</f>
        <v>11.3</v>
      </c>
      <c r="I6" s="20">
        <v>1</v>
      </c>
      <c r="J6" s="5">
        <v>6167.93</v>
      </c>
      <c r="K6" s="14">
        <f>J6/$J$23</f>
        <v>0.05634813015359882</v>
      </c>
      <c r="L6" s="5">
        <f>J6-M6</f>
        <v>6165.394334143089</v>
      </c>
      <c r="M6" s="5">
        <f>K6*$K$23</f>
        <v>2.5356658569119466</v>
      </c>
      <c r="N6" s="21">
        <v>3864.23</v>
      </c>
      <c r="O6" s="21">
        <v>3882.9</v>
      </c>
      <c r="P6" s="21">
        <f>O6-N6</f>
        <v>18.670000000000073</v>
      </c>
      <c r="Q6" s="21">
        <f>J6*N6</f>
        <v>23834300.1439</v>
      </c>
      <c r="R6" s="21">
        <f>L6*O6</f>
        <v>23939609.6600442</v>
      </c>
      <c r="S6" s="21">
        <f>R6-Q6</f>
        <v>105309.51614420116</v>
      </c>
      <c r="T6" t="str">
        <f>IF(O6&lt;= N6,"No Monetizar","Monetizar")</f>
        <v>Monetizar</v>
      </c>
      <c r="W6" t="str">
        <v>Remofirst TC1 Corporation SAC  Factura # 4823</v>
      </c>
    </row>
    <row r="7" outlineLevel="1">
      <c r="B7">
        <v>5</v>
      </c>
      <c r="C7" t="str">
        <v>Remofirst BGB Comunications</v>
      </c>
      <c r="D7">
        <v>4824</v>
      </c>
      <c r="E7" s="1">
        <v>45443</v>
      </c>
      <c r="F7" s="1">
        <v>45503</v>
      </c>
      <c r="G7" s="19">
        <f>F7-E7</f>
        <v>60</v>
      </c>
      <c r="H7" s="20">
        <f>IFERROR(IF(TODAY()&gt;=E7,(TODAY()-E7)/G7,0),0)</f>
        <v>11.3</v>
      </c>
      <c r="I7" s="20">
        <v>1</v>
      </c>
      <c r="J7" s="5">
        <v>2914.59</v>
      </c>
      <c r="K7" s="14">
        <f>J7/$J$23</f>
        <v>0.02662671214886965</v>
      </c>
      <c r="L7" s="5">
        <f>J7-M7</f>
        <v>2913.391797953301</v>
      </c>
      <c r="M7" s="5">
        <f>K7*$K$23</f>
        <v>1.1982020466991343</v>
      </c>
      <c r="N7" s="21">
        <v>3864.23</v>
      </c>
      <c r="O7" s="21">
        <v>3882.9</v>
      </c>
      <c r="P7" s="21">
        <f>O7-N7</f>
        <v>18.670000000000073</v>
      </c>
      <c r="Q7" s="21">
        <f>J7*N7</f>
        <v>11262646.1157</v>
      </c>
      <c r="R7" s="21">
        <f>L7*O7</f>
        <v>11312409.012272874</v>
      </c>
      <c r="S7" s="21">
        <f>R7-Q7</f>
        <v>49762.896572872996</v>
      </c>
      <c r="T7" t="str">
        <f>IF(O7&lt;= N7,"No Monetizar","Monetizar")</f>
        <v>Monetizar</v>
      </c>
      <c r="W7" t="str">
        <v>Remofirst BGB Comunications Factura # 4824</v>
      </c>
    </row>
    <row r="8" outlineLevel="1">
      <c r="B8">
        <v>6</v>
      </c>
      <c r="C8" t="str">
        <v xml:space="preserve">Remofirst Hypatos </v>
      </c>
      <c r="D8">
        <v>4835</v>
      </c>
      <c r="E8" s="1">
        <v>45443</v>
      </c>
      <c r="F8" s="1">
        <v>45503</v>
      </c>
      <c r="G8" s="19">
        <f>F8-E8</f>
        <v>60</v>
      </c>
      <c r="H8" s="20">
        <f>IFERROR(IF(TODAY()&gt;=E8,(TODAY()-E8)/G8,0),0)</f>
        <v>11.3</v>
      </c>
      <c r="I8" s="20">
        <v>1</v>
      </c>
      <c r="J8" s="5">
        <v>3873.2</v>
      </c>
      <c r="K8" s="14">
        <f>J8/$J$23</f>
        <v>0.035384250098642316</v>
      </c>
      <c r="L8" s="5">
        <f>J8-M8</f>
        <v>3871.607708745561</v>
      </c>
      <c r="M8" s="5">
        <f>K8*$K$23</f>
        <v>1.5922912544389043</v>
      </c>
      <c r="N8" s="21">
        <v>3864.23</v>
      </c>
      <c r="O8" s="21">
        <v>3882.9</v>
      </c>
      <c r="P8" s="21">
        <f>O8-N8</f>
        <v>18.670000000000073</v>
      </c>
      <c r="Q8" s="21">
        <f>J8*N8</f>
        <v>14966935.636</v>
      </c>
      <c r="R8" s="21">
        <f>L8*O8</f>
        <v>15033065.572288139</v>
      </c>
      <c r="S8" s="21">
        <f>R8-Q8</f>
        <v>66129.93628813885</v>
      </c>
      <c r="T8" t="str">
        <f>IF(O8&lt;= N8,"No Monetizar","Monetizar")</f>
        <v>Monetizar</v>
      </c>
      <c r="W8" t="str">
        <v>Remofirst Hypatos  Factura # 4835</v>
      </c>
    </row>
    <row r="9" outlineLevel="1">
      <c r="B9">
        <v>7</v>
      </c>
      <c r="C9" t="str">
        <v xml:space="preserve">Remofirst R&amp;R Windows </v>
      </c>
      <c r="D9">
        <v>4825</v>
      </c>
      <c r="E9" s="1">
        <v>45443</v>
      </c>
      <c r="F9" s="1">
        <v>45503</v>
      </c>
      <c r="G9" s="19">
        <f>F9-E9</f>
        <v>60</v>
      </c>
      <c r="H9" s="20">
        <f>IFERROR(IF(TODAY()&gt;=E9,(TODAY()-E9)/G9,0),0)</f>
        <v>11.3</v>
      </c>
      <c r="I9" s="20">
        <v>1</v>
      </c>
      <c r="J9" s="5">
        <v>7033.16</v>
      </c>
      <c r="K9" s="14">
        <f>J9/$J$23</f>
        <v>0.06425257988840422</v>
      </c>
      <c r="L9" s="5">
        <f>J9-M9</f>
        <v>7030.2686339050215</v>
      </c>
      <c r="M9" s="5">
        <f>K9*$K$23</f>
        <v>2.89136609497819</v>
      </c>
      <c r="N9" s="21">
        <v>3864.23</v>
      </c>
      <c r="O9" s="21">
        <v>3882.9</v>
      </c>
      <c r="P9" s="21">
        <f>O9-N9</f>
        <v>18.670000000000073</v>
      </c>
      <c r="Q9" s="21">
        <f>J9*N9</f>
        <v>27177747.8668</v>
      </c>
      <c r="R9" s="21">
        <f>L9*O9</f>
        <v>27297830.07858981</v>
      </c>
      <c r="S9" s="21">
        <f>R9-Q9</f>
        <v>120082.21178980917</v>
      </c>
      <c r="T9" t="str">
        <f>IF(O9&lt;= N9,"No Monetizar","Monetizar")</f>
        <v>Monetizar</v>
      </c>
      <c r="W9" t="str">
        <v>Remofirst R&amp;R Windows  Factura # 4825</v>
      </c>
    </row>
    <row r="10" outlineLevel="1">
      <c r="B10">
        <v>8</v>
      </c>
      <c r="C10" t="str">
        <v>Remofirst Velo3D</v>
      </c>
      <c r="D10">
        <v>4826</v>
      </c>
      <c r="E10" s="1">
        <v>45443</v>
      </c>
      <c r="F10" s="1">
        <v>45503</v>
      </c>
      <c r="G10" s="19">
        <f>F10-E10</f>
        <v>60</v>
      </c>
      <c r="H10" s="20">
        <f>IFERROR(IF(TODAY()&gt;=E10,(TODAY()-E10)/G10,0),0)</f>
        <v>11.3</v>
      </c>
      <c r="I10" s="20">
        <v>1</v>
      </c>
      <c r="J10" s="5">
        <v>3625.59</v>
      </c>
      <c r="K10" s="14">
        <f>J10/$J$23</f>
        <v>0.033122168572533466</v>
      </c>
      <c r="L10" s="5">
        <f>J10-M10</f>
        <v>3624.099502414236</v>
      </c>
      <c r="M10" s="5">
        <f>K10*$K$23</f>
        <v>1.490497585764006</v>
      </c>
      <c r="N10" s="21">
        <v>3864.23</v>
      </c>
      <c r="O10" s="21">
        <v>3882.9</v>
      </c>
      <c r="P10" s="21">
        <f>O10-N10</f>
        <v>18.670000000000073</v>
      </c>
      <c r="Q10" s="21">
        <f>J10*N10</f>
        <v>14010113.6457</v>
      </c>
      <c r="R10" s="21">
        <f>L10*O10</f>
        <v>14072015.957924237</v>
      </c>
      <c r="S10" s="21">
        <f>R10-Q10</f>
        <v>61902.31222423725</v>
      </c>
      <c r="T10" t="str">
        <f>IF(O10&lt;= N10,"No Monetizar","Monetizar")</f>
        <v>Monetizar</v>
      </c>
      <c r="W10" t="str">
        <v>Remofirst Velo3D Factura # 4826</v>
      </c>
    </row>
    <row r="11" ht="30" customHeight="1" outlineLevel="1">
      <c r="B11">
        <v>9</v>
      </c>
      <c r="C11" t="str">
        <v>Remofirst Starlight Software Solutions</v>
      </c>
      <c r="D11">
        <v>4827</v>
      </c>
      <c r="E11" s="1">
        <v>45443</v>
      </c>
      <c r="F11" s="1">
        <v>45503</v>
      </c>
      <c r="G11" s="19">
        <f>F11-E11</f>
        <v>60</v>
      </c>
      <c r="H11" s="20">
        <f>IFERROR(IF(TODAY()&gt;=E11,(TODAY()-E11)/G11,0),0)</f>
        <v>11.3</v>
      </c>
      <c r="I11" s="20">
        <v>1</v>
      </c>
      <c r="J11" s="5">
        <v>5792.08</v>
      </c>
      <c r="K11" s="14">
        <f>J11/$J$23</f>
        <v>0.05291449119883926</v>
      </c>
      <c r="L11" s="5">
        <f>J11-M11</f>
        <v>5789.698847896052</v>
      </c>
      <c r="M11" s="5">
        <f>K11*$K$23</f>
        <v>2.3811521039477666</v>
      </c>
      <c r="N11" s="21">
        <v>3864.23</v>
      </c>
      <c r="O11" s="21">
        <v>3882.9</v>
      </c>
      <c r="P11" s="21">
        <f>O11-N11</f>
        <v>18.670000000000073</v>
      </c>
      <c r="Q11" s="21">
        <f>J11*N11</f>
        <v>22381929.2984</v>
      </c>
      <c r="R11" s="21">
        <f>L11*O11</f>
        <v>22480821.656495582</v>
      </c>
      <c r="S11" s="21">
        <f>R11-Q11</f>
        <v>98892.35809558257</v>
      </c>
      <c r="T11" t="str">
        <f>IF(O11&lt;= N11,"No Monetizar","Monetizar")</f>
        <v>Monetizar</v>
      </c>
      <c r="W11" t="str">
        <v>Remofirst Starlight Software Solutions Factura # 4827</v>
      </c>
    </row>
    <row r="12" outlineLevel="1">
      <c r="B12">
        <v>10</v>
      </c>
      <c r="C12" t="str">
        <v xml:space="preserve">Remofirst One firefly </v>
      </c>
      <c r="D12">
        <v>4828</v>
      </c>
      <c r="E12" s="1">
        <v>45443</v>
      </c>
      <c r="F12" s="1">
        <v>45503</v>
      </c>
      <c r="G12" s="19">
        <f>F12-E12</f>
        <v>60</v>
      </c>
      <c r="H12" s="20">
        <f>IFERROR(IF(TODAY()&gt;=E12,(TODAY()-E12)/G12,0),0)</f>
        <v>11.3</v>
      </c>
      <c r="I12" s="20">
        <v>1</v>
      </c>
      <c r="J12" s="5">
        <v>2779.9500000000003</v>
      </c>
      <c r="K12" s="14">
        <f>J12/$J$23</f>
        <v>0.02539668647674293</v>
      </c>
      <c r="L12" s="5">
        <f>J12-M12</f>
        <v>2778.807149108547</v>
      </c>
      <c r="M12" s="5">
        <f>K12*$K$23</f>
        <v>1.1428508914534319</v>
      </c>
      <c r="N12" s="21">
        <v>3864.23</v>
      </c>
      <c r="O12" s="21">
        <v>3882.9</v>
      </c>
      <c r="P12" s="21">
        <f>O12-N12</f>
        <v>18.670000000000073</v>
      </c>
      <c r="Q12" s="21">
        <f>J12*N12</f>
        <v>10742366.188500002</v>
      </c>
      <c r="R12" s="21">
        <f>L12*O12</f>
        <v>10789830.279273577</v>
      </c>
      <c r="S12" s="21">
        <f>R12-Q12</f>
        <v>47464.09077357501</v>
      </c>
      <c r="T12" t="str">
        <f>IF(O12&lt;= N12,"No Monetizar","Monetizar")</f>
        <v>Monetizar</v>
      </c>
      <c r="W12" t="str">
        <v>Remofirst One firefly  Factura # 4828</v>
      </c>
    </row>
    <row r="13" outlineLevel="1">
      <c r="B13">
        <v>11</v>
      </c>
      <c r="C13" t="str">
        <v>Remofirst Search Wizards</v>
      </c>
      <c r="D13">
        <v>4829</v>
      </c>
      <c r="E13" s="1">
        <v>45443</v>
      </c>
      <c r="F13" s="1">
        <v>45503</v>
      </c>
      <c r="G13" s="19">
        <f>F13-E13</f>
        <v>60</v>
      </c>
      <c r="H13" s="20">
        <f>IFERROR(IF(TODAY()&gt;=E13,(TODAY()-E13)/G13,0),0)</f>
        <v>11.3</v>
      </c>
      <c r="I13" s="20">
        <v>1</v>
      </c>
      <c r="J13" s="5">
        <v>1838.6499999999999</v>
      </c>
      <c r="K13" s="14">
        <f>J13/$J$23</f>
        <v>0.016797286854246796</v>
      </c>
      <c r="L13" s="5">
        <f>J13-M13</f>
        <v>1837.8941220915588</v>
      </c>
      <c r="M13" s="5">
        <f>K13*$K$23</f>
        <v>0.7558779084411058</v>
      </c>
      <c r="N13" s="21">
        <v>3864.23</v>
      </c>
      <c r="O13" s="21">
        <v>3882.9</v>
      </c>
      <c r="P13" s="21">
        <f>O13-N13</f>
        <v>18.670000000000073</v>
      </c>
      <c r="Q13" s="21">
        <f>J13*N13</f>
        <v>7104966.489499999</v>
      </c>
      <c r="R13" s="21">
        <f>L13*O13</f>
        <v>7136359.086669314</v>
      </c>
      <c r="S13" s="21">
        <f>R13-Q13</f>
        <v>31392.59716931451</v>
      </c>
      <c r="T13" t="str">
        <f>IF(O13&lt;= N13,"No Monetizar","Monetizar")</f>
        <v>Monetizar</v>
      </c>
      <c r="W13" t="str">
        <v>Remofirst Search Wizards Factura # 4829</v>
      </c>
    </row>
    <row r="14" outlineLevel="1">
      <c r="B14">
        <v>12</v>
      </c>
      <c r="C14" t="str">
        <v>Remofirst Search Insighful</v>
      </c>
      <c r="D14">
        <v>4830</v>
      </c>
      <c r="E14" s="1">
        <v>45443</v>
      </c>
      <c r="F14" s="1">
        <v>45503</v>
      </c>
      <c r="G14" s="19">
        <f>F14-E14</f>
        <v>60</v>
      </c>
      <c r="H14" s="20">
        <f>IFERROR(IF(TODAY()&gt;=E14,(TODAY()-E14)/G14,0),0)</f>
        <v>11.3</v>
      </c>
      <c r="I14" s="20">
        <v>1</v>
      </c>
      <c r="J14" s="5">
        <v>19928.19</v>
      </c>
      <c r="K14" s="14">
        <f>J14/$J$23</f>
        <v>0.18205722889942758</v>
      </c>
      <c r="L14" s="5">
        <f>J14-M14</f>
        <v>19919.997424699526</v>
      </c>
      <c r="M14" s="5">
        <f>K14*$K$23</f>
        <v>8.19257530047424</v>
      </c>
      <c r="N14" s="21">
        <v>3864.23</v>
      </c>
      <c r="O14" s="21">
        <v>3882.9</v>
      </c>
      <c r="P14" s="21">
        <f>O14-N14</f>
        <v>18.670000000000073</v>
      </c>
      <c r="Q14" s="21">
        <f>J14*N14</f>
        <v>77007109.64369999</v>
      </c>
      <c r="R14" s="21">
        <f>L14*O14</f>
        <v>77347358.0003658</v>
      </c>
      <c r="S14" s="21">
        <f>R14-Q14</f>
        <v>340248.356665805</v>
      </c>
      <c r="T14" t="str">
        <f>IF(O14&lt;= N14,"No Monetizar","Monetizar")</f>
        <v>Monetizar</v>
      </c>
      <c r="W14" t="str">
        <v>Remofirst Search Insighful Factura # 4830</v>
      </c>
    </row>
    <row r="15" outlineLevel="1">
      <c r="B15">
        <v>13</v>
      </c>
      <c r="C15" t="str">
        <v>Remofirst Search Wise Butterfly</v>
      </c>
      <c r="D15">
        <v>4831</v>
      </c>
      <c r="E15" s="1">
        <v>45443</v>
      </c>
      <c r="F15" s="1">
        <v>45503</v>
      </c>
      <c r="G15" s="19">
        <f>F15-E15</f>
        <v>60</v>
      </c>
      <c r="H15" s="20">
        <f>IFERROR(IF(TODAY()&gt;=E15,(TODAY()-E15)/G15,0),0)</f>
        <v>11.3</v>
      </c>
      <c r="I15" s="20">
        <v>1</v>
      </c>
      <c r="J15" s="5">
        <v>1774.1</v>
      </c>
      <c r="K15" s="14">
        <f>J15/$J$23</f>
        <v>0.016207579804812904</v>
      </c>
      <c r="L15" s="5">
        <f>J15-M15</f>
        <v>1773.3706589087833</v>
      </c>
      <c r="M15" s="5">
        <f>K15*$K$23</f>
        <v>0.7293410912165806</v>
      </c>
      <c r="N15" s="21">
        <v>3864.23</v>
      </c>
      <c r="O15" s="21">
        <v>3882.9</v>
      </c>
      <c r="P15" s="21">
        <f>O15-N15</f>
        <v>18.670000000000073</v>
      </c>
      <c r="Q15" s="21">
        <f>J15*N15</f>
        <v>6855530.443</v>
      </c>
      <c r="R15" s="21">
        <f>L15*O15</f>
        <v>6885820.931476915</v>
      </c>
      <c r="S15" s="21">
        <f>R15-Q15</f>
        <v>30290.488476915285</v>
      </c>
      <c r="T15" t="str">
        <f>IF(O15&lt;= N15,"No Monetizar","Monetizar")</f>
        <v>Monetizar</v>
      </c>
      <c r="W15" t="str">
        <v>Remofirst Search Wise Butterfly Factura # 4831</v>
      </c>
    </row>
    <row r="16" outlineLevel="1">
      <c r="B16">
        <v>14</v>
      </c>
      <c r="C16" t="str">
        <v>Remofirst Coop Edgar</v>
      </c>
      <c r="D16">
        <v>4832</v>
      </c>
      <c r="E16" s="1">
        <v>45443</v>
      </c>
      <c r="F16" s="1">
        <v>45503</v>
      </c>
      <c r="G16" s="19">
        <f>F16-E16</f>
        <v>60</v>
      </c>
      <c r="H16" s="20">
        <f>IFERROR(IF(TODAY()&gt;=E16,(TODAY()-E16)/G16,0),0)</f>
        <v>11.3</v>
      </c>
      <c r="I16" s="20">
        <v>1</v>
      </c>
      <c r="J16" s="5">
        <v>4054.74</v>
      </c>
      <c r="K16" s="14">
        <f>J16/$J$23</f>
        <v>0.03704273836749172</v>
      </c>
      <c r="L16" s="5">
        <f>J16-M16</f>
        <v>4053.0730767734626</v>
      </c>
      <c r="M16" s="5">
        <f>K16*$K$23</f>
        <v>1.6669232265371274</v>
      </c>
      <c r="N16" s="21">
        <v>3864.23</v>
      </c>
      <c r="O16" s="21">
        <v>3882.9</v>
      </c>
      <c r="P16" s="21">
        <f>O16-N16</f>
        <v>18.670000000000073</v>
      </c>
      <c r="Q16" s="21">
        <f>J16*N16</f>
        <v>15668447.950199999</v>
      </c>
      <c r="R16" s="21">
        <f>L16*O16</f>
        <v>15737677.449803678</v>
      </c>
      <c r="S16" s="21">
        <f>R16-Q16</f>
        <v>69229.4996036794</v>
      </c>
      <c r="T16" t="str">
        <f>IF(O16&lt;= N16,"No Monetizar","Monetizar")</f>
        <v>Monetizar</v>
      </c>
      <c r="W16" t="str">
        <v>Remofirst Coop Edgar Factura # 4832</v>
      </c>
    </row>
    <row r="17" ht="30" customHeight="1" outlineLevel="1">
      <c r="B17">
        <v>15</v>
      </c>
      <c r="C17" t="str">
        <v>Remofirst Search AMG Global Distribution</v>
      </c>
      <c r="D17">
        <v>4833</v>
      </c>
      <c r="E17" s="1">
        <v>45443</v>
      </c>
      <c r="F17" s="1">
        <v>45503</v>
      </c>
      <c r="G17" s="19">
        <f>F17-E17</f>
        <v>60</v>
      </c>
      <c r="H17" s="20">
        <f>IFERROR(IF(TODAY()&gt;=E17,(TODAY()-E17)/G17,0),0)</f>
        <v>11.3</v>
      </c>
      <c r="I17" s="20">
        <v>1</v>
      </c>
      <c r="J17" s="5">
        <f>16965.69</f>
        <v>16965.69</v>
      </c>
      <c r="K17" s="14">
        <f>J17/$J$23</f>
        <v>0.15499282713416168</v>
      </c>
      <c r="L17" s="5">
        <f>J17-M17</f>
        <v>16958.71532277896</v>
      </c>
      <c r="M17" s="5">
        <f>K17*$K$23</f>
        <v>6.974677221037275</v>
      </c>
      <c r="N17" s="21">
        <v>3864.23</v>
      </c>
      <c r="O17" s="21">
        <v>3882.9</v>
      </c>
      <c r="P17" s="21">
        <f>O17-N17</f>
        <v>18.670000000000073</v>
      </c>
      <c r="Q17" s="21">
        <f>J17*N17</f>
        <v>65559328.268699996</v>
      </c>
      <c r="R17" s="21">
        <f>L17*O17</f>
        <v>65848995.72681843</v>
      </c>
      <c r="S17" s="21">
        <f>R17-Q17</f>
        <v>289667.45811843127</v>
      </c>
      <c r="T17" t="str">
        <f>IF(O17&lt;= N17,"No Monetizar","Monetizar")</f>
        <v>Monetizar</v>
      </c>
      <c r="W17" t="str">
        <v>Remofirst Search AMG Global Distribution Factura # 4833</v>
      </c>
    </row>
    <row r="18" outlineLevel="1">
      <c r="B18">
        <v>16</v>
      </c>
      <c r="C18" t="str">
        <v>Remofirst Search Carbon better</v>
      </c>
      <c r="D18">
        <v>4834</v>
      </c>
      <c r="E18" s="1">
        <v>45443</v>
      </c>
      <c r="F18" s="1">
        <v>45503</v>
      </c>
      <c r="G18" s="19">
        <f>F18-E18</f>
        <v>60</v>
      </c>
      <c r="H18" s="20">
        <f>IFERROR(IF(TODAY()&gt;=E18,(TODAY()-E18)/G18,0),0)</f>
        <v>11.3</v>
      </c>
      <c r="I18" s="20">
        <v>1</v>
      </c>
      <c r="J18" s="5">
        <f>1712.33</f>
        <v>1712.33</v>
      </c>
      <c r="K18" s="14">
        <f>J18/$J$23</f>
        <v>0.015643269898638904</v>
      </c>
      <c r="L18" s="5">
        <f>J18-M18</f>
        <v>1711.626052854561</v>
      </c>
      <c r="M18" s="5">
        <f>K18*$K$23</f>
        <v>0.7039471454387507</v>
      </c>
      <c r="N18" s="21">
        <v>3864.23</v>
      </c>
      <c r="O18" s="21">
        <v>3882.9</v>
      </c>
      <c r="P18" s="21">
        <f>O18-N18</f>
        <v>18.670000000000073</v>
      </c>
      <c r="Q18" s="21">
        <f>J18*N18</f>
        <v>6616836.9558999995</v>
      </c>
      <c r="R18" s="21">
        <f>L18*O18</f>
        <v>6646072.800628975</v>
      </c>
      <c r="S18" s="21">
        <f>R18-Q18</f>
        <v>29235.844728975557</v>
      </c>
      <c r="T18" t="str">
        <f>IF(O18&lt;= N18,"No Monetizar","Monetizar")</f>
        <v>Monetizar</v>
      </c>
      <c r="W18" t="str">
        <v>Remofirst Search Carbon better Factura # 4834</v>
      </c>
    </row>
    <row r="19" outlineLevel="1">
      <c r="B19">
        <v>17</v>
      </c>
      <c r="C19" t="str">
        <v xml:space="preserve">Remofirst CPaT Global LLC </v>
      </c>
      <c r="D19">
        <v>4879</v>
      </c>
      <c r="E19" s="1">
        <v>45443</v>
      </c>
      <c r="F19" s="1">
        <v>45503</v>
      </c>
      <c r="G19" s="19">
        <f>F19-E19</f>
        <v>60</v>
      </c>
      <c r="H19" s="20">
        <f>IFERROR(IF(TODAY()&gt;=E19,(TODAY()-E19)/G19,0),0)</f>
        <v>11.3</v>
      </c>
      <c r="J19" s="5">
        <v>4772</v>
      </c>
      <c r="K19" s="14">
        <f>J19/$J$23</f>
        <v>0.043595384041805525</v>
      </c>
      <c r="L19" s="5">
        <f>J19-M19</f>
        <v>4770.038207718118</v>
      </c>
      <c r="M19" s="5">
        <f>K19*$K$23</f>
        <v>1.9617922818812485</v>
      </c>
      <c r="N19" s="21">
        <v>3864.23</v>
      </c>
      <c r="O19" s="21">
        <v>3882.9</v>
      </c>
      <c r="P19" s="21">
        <f>O19-N19</f>
        <v>18.670000000000073</v>
      </c>
      <c r="Q19" s="21">
        <f>J19*N19</f>
        <v>18440105.56</v>
      </c>
      <c r="R19" s="21">
        <f>L19*O19</f>
        <v>18521581.35674868</v>
      </c>
      <c r="S19" s="21">
        <f>R19-Q19</f>
        <v>81475.79674868286</v>
      </c>
      <c r="T19" t="str">
        <f>IF(O19&lt;= N19,"No Monetizar","Monetizar")</f>
        <v>Monetizar</v>
      </c>
      <c r="W19" t="str">
        <v>Remofirst CPaT Global LLC  Factura # 4879</v>
      </c>
    </row>
    <row r="20" outlineLevel="1">
      <c r="B20">
        <v>18</v>
      </c>
      <c r="C20" t="str">
        <v xml:space="preserve">Remofirst CPaT Global LLC </v>
      </c>
      <c r="D20">
        <v>4880</v>
      </c>
      <c r="E20" s="1">
        <v>45443</v>
      </c>
      <c r="F20" s="1">
        <v>45503</v>
      </c>
      <c r="G20" s="19">
        <f>F20-E20</f>
        <v>60</v>
      </c>
      <c r="H20" s="20">
        <f>IFERROR(IF(TODAY()&gt;=E20,(TODAY()-E20)/G20,0),0)</f>
        <v>11.3</v>
      </c>
      <c r="J20" s="5">
        <v>3016.51</v>
      </c>
      <c r="K20" s="14">
        <f>J20/$J$23</f>
        <v>0.027557818926225226</v>
      </c>
      <c r="L20" s="5">
        <f>J20-M20</f>
        <v>3015.26989814832</v>
      </c>
      <c r="M20" s="5">
        <f>K20*$K$23</f>
        <v>1.2401018516801352</v>
      </c>
      <c r="N20" s="21">
        <v>3864.23</v>
      </c>
      <c r="O20" s="21">
        <v>3882.9</v>
      </c>
      <c r="P20" s="21">
        <f>O20-N20</f>
        <v>18.670000000000073</v>
      </c>
      <c r="Q20" s="21">
        <f>J20*N20</f>
        <v>11656488.4373</v>
      </c>
      <c r="R20" s="21">
        <f>L20*O20</f>
        <v>11707991.487520112</v>
      </c>
      <c r="S20" s="21">
        <f>R20-Q20</f>
        <v>51503.050220111385</v>
      </c>
      <c r="T20" t="str">
        <f>IF(O20&lt;= N20,"No Monetizar","Monetizar")</f>
        <v>Monetizar</v>
      </c>
      <c r="W20" t="str">
        <v>Remofirst CPaT Global LLC  Factura # 4880</v>
      </c>
    </row>
    <row r="21" ht="15.75" customHeight="1">
      <c r="B21" t="str">
        <v>TOTAL</v>
      </c>
      <c r="J21" s="5">
        <f>SUM(J3:J20)</f>
        <v>109461.13</v>
      </c>
      <c r="L21" s="5">
        <f>SUM(L3:L20)</f>
        <v>109416.13</v>
      </c>
      <c r="M21" s="5">
        <f>SUM(M3:M20)</f>
        <v>45.00000000000001</v>
      </c>
      <c r="Q21" s="23">
        <f>SUM(Q3:Q20)</f>
        <v>422982982.3799001</v>
      </c>
      <c r="R21" s="23">
        <f>SUM(R3:R20)</f>
        <v>424851891.177</v>
      </c>
      <c r="S21" s="23">
        <f>SUM(S3:S20)</f>
        <v>1868908.7971000131</v>
      </c>
      <c r="T21" s="20">
        <f>S21/Q21</f>
        <v>0.0044184018623743635</v>
      </c>
    </row>
    <row r="22"/>
    <row r="23">
      <c r="H23" t="str">
        <v>Remotefirst</v>
      </c>
      <c r="J23" s="5">
        <f>SUM(J3:J20)</f>
        <v>109461.13</v>
      </c>
      <c r="K23" s="5">
        <v>45</v>
      </c>
    </row>
    <row r="26">
      <c r="J26" t="str">
        <v>Diferencia Cambio</v>
      </c>
    </row>
    <row r="28">
      <c r="J28" t="str">
        <v>Diferencia en cambio ( Ingreso)</v>
      </c>
      <c r="M28" s="23" t="e">
        <f>#REF!+#REF!+#REF!</f>
        <v>#REF!</v>
      </c>
    </row>
    <row r="29">
      <c r="J29" t="str">
        <v>Diferencia en cambio ( Gasto)</v>
      </c>
      <c r="M29" s="21">
        <f>S21+'MONETIZACIONES PEND'!S23</f>
        <v>-43667954.26639997</v>
      </c>
    </row>
    <row r="30">
      <c r="J30" t="str">
        <v>Balanza</v>
      </c>
      <c r="M30" s="23" t="e">
        <f>SUM(M28:M29)</f>
        <v>#REF!</v>
      </c>
    </row>
  </sheetData>
  <mergeCells count="1">
    <mergeCell ref="B21:H21"/>
  </mergeCells>
  <pageMargins left="0.7" right="0.7" top="0.75" bottom="0.75" header="0.3" footer="0.3"/>
  <ignoredErrors>
    <ignoredError numberStoredAsText="1" sqref="B1:AF3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16.0300</AppVersion>
  <Company>Hewlett-Packard Company</Company>
  <DocSecurity>0</DocSecurity>
  <HyperlinksChanged>false</HyperlinksChanged>
  <SharedDoc>false</SharedDoc>
  <LinksUpToDate>false</LinksUpToDate>
  <ScaleCrop>false</ScaleCrop>
  <HeadingPairs>
    <vt:vector size="2" baseType="variant">
      <vt:variant>
        <vt:lpstr>Worksheets</vt:lpstr>
      </vt:variant>
      <vt:variant>
        <vt:i4>14</vt:i4>
      </vt:variant>
    </vt:vector>
  </HeadingPairs>
  <TitlesOfParts>
    <vt:vector size="14" baseType="lpstr">
      <vt:lpstr>Festivos Colombia</vt:lpstr>
      <vt:lpstr>DICIEMBRE</vt:lpstr>
      <vt:lpstr>ENERO</vt:lpstr>
      <vt:lpstr>FEBRERO</vt:lpstr>
      <vt:lpstr>MARZO</vt:lpstr>
      <vt:lpstr>ABRIL</vt:lpstr>
      <vt:lpstr>DISTRIBUCIÓN</vt:lpstr>
      <vt:lpstr>MONETIZACIONES PEND</vt:lpstr>
      <vt:lpstr>DISTRIBUCIÓN (2)</vt:lpstr>
      <vt:lpstr>Balanza DF</vt:lpstr>
      <vt:lpstr>Hoja2</vt:lpstr>
      <vt:lpstr>Análisis</vt:lpstr>
      <vt:lpstr>Hoja1</vt:lpstr>
      <vt:lpstr>Proyectado Moneti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2016-04-11T14:48:28Z</dcterms:created>
  <dcterms:modified xsi:type="dcterms:W3CDTF">2026-04-09T22:18:38Z</dcterms:modified>
  <cp:lastModifiedBy>Alfonso Fonseca</cp:lastModifiedBy>
  <cp:lastPrinted>2026-02-12T17:22:47Z</cp:lastPrinted>
  <dc:creator>Sergio Romero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0x0101002E526ECBB2595046A1C872549E0FCC00</vt:lpwstr>
  </property>
</Properties>
</file>