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4.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bookViews>
    <workbookView firstSheet="2" activeTab="2"/>
  </bookViews>
  <sheets>
    <sheet name="Festivos Colombia" sheetId="1" r:id="rId1" state="hidden"/>
    <sheet name="DICIEMBRE" sheetId="2" r:id="rId2" state="hidden"/>
    <sheet name="ENERO" sheetId="3" r:id="rId3"/>
    <sheet name="FEBRERO" sheetId="4" r:id="rId4"/>
    <sheet name="MARZO" sheetId="5" r:id="rId5"/>
    <sheet name="ABRIL" sheetId="6" r:id="rId6"/>
    <sheet name="DISTRIBUCIÓN" sheetId="7" r:id="rId7"/>
    <sheet name="MONETIZACIONES PEND" sheetId="8" r:id="rId8"/>
    <sheet name="DISTRIBUCIÓN (2)" sheetId="9" r:id="rId9" state="hidden"/>
    <sheet name="Balanza DF" sheetId="10" r:id="rId10" state="hidden"/>
    <sheet name="Hoja2" sheetId="11" r:id="rId11" state="hidden"/>
    <sheet name="Análisis" sheetId="12" r:id="rId12" state="hidden"/>
    <sheet name="Hoja1" sheetId="13" r:id="rId13" state="hidden"/>
    <sheet name="Proyectado Moneti " sheetId="14" r:id="rId14" state="hidden"/>
  </sheets>
  <definedNames>
    <definedName name="_xlnm._FilterDatabase" localSheetId="5" hidden="1">'ABRIL'!C91:K202</definedName>
    <definedName name="_xlnm._FilterDatabase" localSheetId="1" hidden="1">'DICIEMBRE'!C114:K324</definedName>
    <definedName name="_xlnm._FilterDatabase" localSheetId="2" hidden="1">'ENERO'!C115:K312</definedName>
    <definedName name="_xlnm._FilterDatabase" localSheetId="3" hidden="1">'FEBRERO'!C124:K327</definedName>
    <definedName name="_xlnm._FilterDatabase" localSheetId="4" hidden="1">'MARZO'!C100:K291</definedName>
    <definedName name="_xlnm._FilterDatabase" localSheetId="7" hidden="1">'MONETIZACIONES PEND'!B31:XFC506</definedName>
    <definedName name="_xlnm._FilterDatabase" localSheetId="13" hidden="1">'Proyectado Moneti '!#REF!</definedName>
    <definedName name="_Key1" localSheetId="5" hidden="1">#REF!</definedName>
    <definedName name="_Key1" localSheetId="1" hidden="1">#REF!</definedName>
    <definedName name="_Key1" localSheetId="2" hidden="1">#REF!</definedName>
    <definedName name="_Key1" localSheetId="3" hidden="1">#REF!</definedName>
    <definedName name="_Key1" localSheetId="4" hidden="1">#REF!</definedName>
    <definedName name="_Key1" hidden="1">#REF!</definedName>
    <definedName name="_Order1" hidden="1">255</definedName>
    <definedName name="_Sort" localSheetId="5" hidden="1">#REF!</definedName>
    <definedName name="_Sort" localSheetId="1" hidden="1">#REF!</definedName>
    <definedName name="_Sort" localSheetId="2" hidden="1">#REF!</definedName>
    <definedName name="_Sort" localSheetId="3" hidden="1">#REF!</definedName>
    <definedName name="_Sort" localSheetId="4" hidden="1">#REF!</definedName>
    <definedName name="_Sort" hidden="1">#REF!</definedName>
    <definedName name="_xlnm.Print_Area" localSheetId="7">'MONETIZACIONES PEND'!$A$1:$M$23</definedName>
    <definedName name="_xlnm.Print_Area" localSheetId="13">'Proyectado Moneti '!#REF!</definedName>
    <definedName name="B" localSheetId="5" hidden="1">#REF!</definedName>
    <definedName name="B" localSheetId="1" hidden="1">#REF!</definedName>
    <definedName name="B" localSheetId="2" hidden="1">#REF!</definedName>
    <definedName name="B" localSheetId="3" hidden="1">#REF!</definedName>
    <definedName name="B" localSheetId="4" hidden="1">#REF!</definedName>
    <definedName name="B" hidden="1">#REF!</definedName>
    <definedName name="Fact" localSheetId="6">DISTRIBUCIÓN!#REF!</definedName>
    <definedName name="Fact" localSheetId="8">'DISTRIBUCIÓN (2)'!#REF!</definedName>
    <definedName name="Fact">#REF!</definedName>
    <definedName name="I" localSheetId="5" hidden="1">#REF!</definedName>
    <definedName name="I" localSheetId="1" hidden="1">#REF!</definedName>
    <definedName name="I" localSheetId="2" hidden="1">#REF!</definedName>
    <definedName name="I" localSheetId="3" hidden="1">#REF!</definedName>
    <definedName name="I" localSheetId="4" hidden="1">#REF!</definedName>
    <definedName name="I" hidden="1">#REF!</definedName>
    <definedName name="Marca">#REF!</definedName>
    <definedName name="Marca1">#REF!</definedName>
    <definedName name="Marcas">#REF!</definedName>
    <definedName name="Valor">#REF!</definedName>
    <definedName name="Value">#REF!</definedName>
    <definedName name="values">#REF!</definedName>
  </definedNames>
</workbook>
</file>

<file path=xl/comments2.xml><?xml version="1.0" encoding="utf-8"?>
<comments xmlns="http://schemas.openxmlformats.org/spreadsheetml/2006/main">
  <authors>
    <author>Alfonso Fonseca</author>
    <author>Julieth Bonilla</author>
  </authors>
  <commentList>
    <comment ref="D65" authorId="0">
      <text>
        <t xml:space="preserve">Tiene nota credito Nro 176 por valor de USD 16,62 
</t>
      </text>
    </comment>
    <comment ref="D67" authorId="0">
      <text>
        <t xml:space="preserve">Tiene nota credito Nro 176 por valor de USD 16,62 
</t>
      </text>
    </comment>
    <comment ref="E104" authorId="0">
      <text>
        <t xml:space="preserve">Alfonso Fonseca:
Se recibe mayor ingreso de lo facturado por valor de USD 501,11 debido a que se le genero una nota credito al cliente pero no la tuvo en cuenta en el pago. Por lo que este valor se tomará como anticipo</t>
      </text>
    </comment>
    <comment ref="E105" authorId="0">
      <text>
        <t xml:space="preserve">Alfonso Fonseca:
Se recibe mayor ingreso de lo facturado por valor de USD 501,11 debido a que se le genero una nota credito al cliente pero no la tuvo en cuenta en el pago. Por lo que este valor se tomará como anticipo</t>
      </text>
    </comment>
    <comment ref="E243" authorId="1">
      <text>
        <t xml:space="preserve">Julieth Bonilla:
Se descuentan 102,500 por pago duplicado de la factura 6735</t>
      </text>
    </comment>
    <comment ref="E268" authorId="0">
      <text>
        <t>Alfonso Fonseca: Incluido impuestos</t>
      </text>
    </comment>
    <comment ref="E286" authorId="0">
      <text>
        <t>Alfonso Fonseca: Incluido impuestos</t>
      </text>
    </comment>
    <comment ref="D323" authorId="0">
      <text>
        <t xml:space="preserve">Syohuo Marume $ 48.512.000 feb/23 ,
valentina Penagos $ 41.000.000 mes sep/23
</t>
      </text>
    </comment>
    <comment ref="D362" authorId="0">
      <text>
        <t xml:space="preserve">Incluido Global y PM
</t>
      </text>
    </comment>
    <comment ref="D363" authorId="0">
      <text>
        <t xml:space="preserve">Incluido Global y PM
</t>
      </text>
    </comment>
  </commentList>
</comments>
</file>

<file path=xl/comments3.xml><?xml version="1.0" encoding="utf-8"?>
<comments xmlns="http://schemas.openxmlformats.org/spreadsheetml/2006/main">
  <authors>
    <author>Alfonso Fonseca</author>
  </authors>
  <commentList>
    <comment ref="E275" authorId="0">
      <text>
        <t>Alfonso Fonseca: Incluido impuestos</t>
      </text>
    </comment>
    <comment ref="E276" authorId="0">
      <text>
        <t>Alfonso Fonseca: Incluido impuestos</t>
      </text>
    </comment>
    <comment ref="E347" authorId="0">
      <text>
        <t xml:space="preserve">Cuenta cerrada por el banco el 13 enero
</t>
      </text>
    </comment>
    <comment ref="D350" authorId="0">
      <text>
        <t xml:space="preserve">Incluido Global y PM
</t>
      </text>
    </comment>
    <comment ref="D351" authorId="0">
      <text>
        <t xml:space="preserve">Incluido Global y PM
</t>
      </text>
    </comment>
  </commentList>
</comments>
</file>

<file path=xl/comments4.xml><?xml version="1.0" encoding="utf-8"?>
<comments xmlns="http://schemas.openxmlformats.org/spreadsheetml/2006/main">
  <authors>
    <author>Alfonso Fonseca</author>
  </authors>
  <commentList>
    <comment ref="E273" authorId="0">
      <text>
        <t>Alfonso Fonseca: Incluido impuestos</t>
      </text>
    </comment>
    <comment ref="E274" authorId="0">
      <text>
        <t>Alfonso Fonseca: Incluido impuestos</t>
      </text>
    </comment>
    <comment ref="E297" authorId="0">
      <text>
        <t>Alfonso Fonseca: Incluido impuestos</t>
      </text>
    </comment>
    <comment ref="E363" authorId="0">
      <text>
        <t xml:space="preserve">Cuenta cerrada por el banco el 13 enero
</t>
      </text>
    </comment>
    <comment ref="D366" authorId="0">
      <text>
        <t xml:space="preserve">Incluido Global y PM
</t>
      </text>
    </comment>
    <comment ref="D367" authorId="0">
      <text>
        <t xml:space="preserve">Incluido Global y PM
</t>
      </text>
    </comment>
  </commentList>
</comments>
</file>

<file path=xl/comments5.xml><?xml version="1.0" encoding="utf-8"?>
<comments xmlns="http://schemas.openxmlformats.org/spreadsheetml/2006/main">
  <authors>
    <author>Alfonso Fonseca</author>
  </authors>
  <commentList>
    <comment ref="E272" authorId="0">
      <text>
        <t>Alfonso Fonseca: Incluido impuestos</t>
      </text>
    </comment>
    <comment ref="E327" authorId="0">
      <text>
        <t xml:space="preserve">Cuenta cerrada por el banco el 13 enero
</t>
      </text>
    </comment>
    <comment ref="D330" authorId="0">
      <text>
        <t xml:space="preserve">Incluido Global y PM
</t>
      </text>
    </comment>
    <comment ref="D331" authorId="0">
      <text>
        <t xml:space="preserve">Incluido Global y PM
</t>
      </text>
    </comment>
  </commentList>
</comments>
</file>

<file path=xl/comments6.xml><?xml version="1.0" encoding="utf-8"?>
<comments xmlns="http://schemas.openxmlformats.org/spreadsheetml/2006/main">
  <authors>
    <author>Alfonso Fonseca</author>
  </authors>
  <commentList>
    <comment ref="E187" authorId="0">
      <text>
        <t>Alfonso Fonseca: Incluido impuestos</t>
      </text>
    </comment>
    <comment ref="E238" authorId="0">
      <text>
        <t xml:space="preserve">Cuenta cerrada por el banco el 13 enero
</t>
      </text>
    </comment>
    <comment ref="D241" authorId="0">
      <text>
        <t xml:space="preserve">Incluido Global y PM
</t>
      </text>
    </comment>
    <comment ref="D242" authorId="0">
      <text>
        <t xml:space="preserve">Incluido Global y PM
</t>
      </text>
    </comment>
  </commentList>
</comments>
</file>

<file path=xl/comments7.xml><?xml version="1.0" encoding="utf-8"?>
<comments xmlns="http://schemas.openxmlformats.org/spreadsheetml/2006/main">
  <authors>
    <author>Alfonso Fonseca</author>
  </authors>
  <commentList>
    <comment ref="I97" authorId="0">
      <text>
        <t xml:space="preserve">Alfonso Fonseca:
Incluido impuestos</t>
      </text>
    </comment>
    <comment ref="F100" authorId="0">
      <text>
        <t xml:space="preserve">Alfonso Fonseca:
Incluido impuestos</t>
      </text>
    </comment>
  </commentList>
</comments>
</file>

<file path=xl/comments8.xml><?xml version="1.0" encoding="utf-8"?>
<comments xmlns="http://schemas.openxmlformats.org/spreadsheetml/2006/main">
  <authors>
    <author>Alfonso Fonseca</author>
  </authors>
  <commentList>
    <comment ref="C64" authorId="0">
      <text>
        <t xml:space="preserve">Tener en cuenta que el cliente envio USD 236,12 de los que se le facturo. Se toma este mayor valor como anticipo para ser cruzado con las futuras facturas.
</t>
      </text>
    </comment>
    <comment ref="K102" authorId="0">
      <text>
        <t xml:space="preserve">Nota crédito Nro 150 por valor de USD 827,72. el día 31/03/2025.
</t>
      </text>
    </comment>
    <comment ref="C148" authorId="0">
      <text>
        <t xml:space="preserve">Favor tener en cuenta que al pago de este dinero le aplicaron la NC 149 por valor de USD 1.357,06.
Las notas créditos emitidas para la factura 6015 que fue la Nro. 160 y 162 por valor de USD 1.801,05 no las aplicó el cliente. 
</t>
      </text>
    </comment>
    <comment ref="K167" authorId="0">
      <text>
        <t xml:space="preserve">Tiene NC 167 Se aplica nota crédito a la factura 6114 por ajuste en TRM por modificación en política de manejo
</t>
      </text>
    </comment>
    <comment ref="K174" authorId="0">
      <text>
        <t xml:space="preserve">El cliente aplica al pago la NC 162 por valor de USD 1.658,25
</t>
      </text>
    </comment>
    <comment ref="K175" authorId="0">
      <text>
        <t xml:space="preserve">El cliente aplica al pago la NC 161 por valor de USD 292.46
</t>
      </text>
    </comment>
    <comment ref="K201" authorId="0">
      <text>
        <t xml:space="preserve">Alfonso Fonseca:
1) Nota crédito 170 por devolución de dinero que no se le pago a Max Turner USD 19.391,52
2) Nota crédito 169 etiro de empleado  USD 502,91</t>
      </text>
    </comment>
    <comment ref="L201" authorId="0">
      <text>
        <t xml:space="preserve">Alfonso Fonseca:
1) Nota crédito 170 por devolución de dinero que no se le pago a Max Turner USD 19.391,52
2) Nota crédito 169 etiro de empleado  USD 502,91</t>
      </text>
    </comment>
    <comment ref="C340" authorId="0">
      <text>
        <t>Perú</t>
      </text>
    </comment>
  </commentList>
</comments>
</file>

<file path=xl/comments9.xml><?xml version="1.0" encoding="utf-8"?>
<comments xmlns="http://schemas.openxmlformats.org/spreadsheetml/2006/main">
  <authors>
    <author>Alfonso Fonseca</author>
  </authors>
  <commentList>
    <comment ref="M126" authorId="0">
      <text>
        <t xml:space="preserve">Alfonso Fonseca:
Incluido impuestos</t>
      </text>
    </comment>
    <comment ref="F128" authorId="0">
      <text>
        <t xml:space="preserve">Alfonso Fonseca:
Incluido impuestos</t>
      </text>
    </comment>
    <comment ref="I129" authorId="0">
      <text>
        <t xml:space="preserve">Alfonso Fonseca:
Incluido impuestos</t>
      </text>
    </comment>
  </commentList>
</comments>
</file>

<file path=xl/comments14.xml><?xml version="1.0" encoding="utf-8"?>
<comments xmlns="http://schemas.openxmlformats.org/spreadsheetml/2006/main">
  <authors>
    <author>Alfonso Fonseca</author>
  </authors>
  <commentList>
    <comment ref="K23" authorId="0">
      <text>
        <t xml:space="preserve">Banking Taxes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2">
    <numFmt numFmtId="43" formatCode="_-* #,##0.00_-;\-* #,##0.00_-;_-* &quot;-&quot;??_-;_-@_-"/>
    <numFmt numFmtId="44" formatCode="_-&quot;$&quot;\ * #,##0.00_-;\-&quot;$&quot;\ * #,##0.00_-;_-&quot;$&quot;\ * &quot;-&quot;??_-;_-@_-"/>
    <numFmt numFmtId="56" formatCode="&quot;上午/下午 &quot;hh&quot;時&quot;mm&quot;分&quot;ss&quot;秒 &quot;"/>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
    <numFmt numFmtId="169" formatCode=";\:;;"/>
    <numFmt numFmtId="170" formatCode="[$$-240A]\ #,##0"/>
    <numFmt numFmtId="171" formatCode="0.0%"/>
    <numFmt numFmtId="172" formatCode="[$USD]\ #,##0.00"/>
    <numFmt numFmtId="173" formatCode="_(&quot;$&quot;* #,##0_);_(&quot;$&quot;* \(#,##0\);_(&quot;$&quot;* &quot;-&quot;??_);_(@_)"/>
    <numFmt numFmtId="174" formatCode="_(&quot;$&quot;* #,##0.00_);_(&quot;$&quot;* \(#,##0.00\);_(&quot;$&quot;* &quot;-&quot;_);_(@_)"/>
    <numFmt numFmtId="175" formatCode="[$-F800]dddd\,\ mmmm\ dd\,\ yyyy"/>
    <numFmt numFmtId="176" formatCode="[$USD]\ #,##0.00000"/>
    <numFmt numFmtId="177" formatCode="[$S/-280A]\ #,##0.00"/>
    <numFmt numFmtId="178" formatCode="_-&quot;$&quot;\ * #,##0_-;\-&quot;$&quot;\ * #,##0_-;_-&quot;$&quot;\ * &quot;-&quot;??_-;_-@_-"/>
    <numFmt numFmtId="179" formatCode="_-* #,##0_-;\-* #,##0_-;_-* &quot;-&quot;??_-;_-@"/>
    <numFmt numFmtId="180" formatCode="[$EUR]\ #,##0.00"/>
    <numFmt numFmtId="181" formatCode="0.0000%"/>
    <numFmt numFmtId="182" formatCode="_-&quot;$&quot;\ * #,##0_-;\-&quot;$&quot;\ * #,##0_-;_-&quot;$&quot;\ *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dimension ref="A2:D35"/>
  <sheetViews>
    <sheetView workbookViewId="0" rightToLeft="0"/>
  </sheetViews>
  <sheetData>
    <row r="2">
      <c r="A2" t="str">
        <v>FESTIVOS COLOMBIA</v>
      </c>
    </row>
    <row r="3">
      <c r="A3">
        <v>46023</v>
      </c>
    </row>
    <row r="4">
      <c r="A4">
        <v>46034</v>
      </c>
    </row>
    <row r="5">
      <c r="A5">
        <v>46104</v>
      </c>
    </row>
    <row r="6">
      <c r="A6">
        <v>46110</v>
      </c>
    </row>
    <row r="7">
      <c r="A7">
        <v>46114</v>
      </c>
    </row>
    <row r="8">
      <c r="A8">
        <v>46115</v>
      </c>
    </row>
    <row r="9">
      <c r="A9">
        <v>46117</v>
      </c>
    </row>
    <row r="10">
      <c r="A10">
        <v>46143</v>
      </c>
    </row>
    <row r="11">
      <c r="A11">
        <v>46160</v>
      </c>
    </row>
    <row r="12">
      <c r="A12">
        <v>46181</v>
      </c>
    </row>
    <row r="13">
      <c r="A13">
        <v>46188</v>
      </c>
    </row>
    <row r="14">
      <c r="A14">
        <v>46202</v>
      </c>
    </row>
    <row r="15">
      <c r="A15">
        <v>46223</v>
      </c>
    </row>
    <row r="16">
      <c r="A16">
        <v>46241</v>
      </c>
    </row>
    <row r="17">
      <c r="A17">
        <v>46251</v>
      </c>
    </row>
    <row r="18">
      <c r="A18">
        <v>46307</v>
      </c>
    </row>
    <row r="19">
      <c r="A19">
        <v>46328</v>
      </c>
    </row>
    <row r="20">
      <c r="A20">
        <v>46342</v>
      </c>
    </row>
    <row r="21">
      <c r="A21">
        <v>46364</v>
      </c>
    </row>
    <row r="22">
      <c r="A22">
        <v>46381</v>
      </c>
    </row>
  </sheetData>
  <pageMargins left="0.7" right="0.7" top="0.75" bottom="0.75" header="0.3" footer="0.3"/>
  <ignoredErrors>
    <ignoredError numberStoredAsText="1" sqref="A2:D35"/>
  </ignoredErrors>
</worksheet>
</file>

<file path=xl/worksheets/sheet2.xml><?xml version="1.0" encoding="utf-8"?>
<worksheet xmlns="http://schemas.openxmlformats.org/spreadsheetml/2006/main" xmlns:r="http://schemas.openxmlformats.org/officeDocument/2006/relationships">
  <dimension ref="A1:X372"/>
  <sheetViews>
    <sheetView workbookViewId="0" rightToLeft="0"/>
  </sheetViews>
  <sheetData>
    <row r="1">
      <c r="E1">
        <v>42400</v>
      </c>
    </row>
    <row r="2">
      <c r="I2">
        <v>1</v>
      </c>
    </row>
    <row r="3">
      <c r="I3">
        <v>2</v>
      </c>
    </row>
    <row r="4">
      <c r="D4" t="str">
        <v>BANCOS</v>
      </c>
      <c r="E4">
        <f>SUBTOTAL(9,E5:E11)</f>
        <v>1339387045.6</v>
      </c>
      <c r="I4">
        <v>3</v>
      </c>
    </row>
    <row r="5">
      <c r="D5" t="str">
        <v>Bancos</v>
      </c>
      <c r="E5">
        <v>1139744261.6</v>
      </c>
      <c r="I5">
        <v>4</v>
      </c>
    </row>
    <row r="6">
      <c r="D6" t="str">
        <v>Devolucion tiquete Cristian Ferney Parada Cabrera</v>
      </c>
      <c r="E6">
        <v>139474</v>
      </c>
    </row>
    <row r="7">
      <c r="D7" t="str">
        <v>Ingreso Bancolombia Panamá Pago primas</v>
      </c>
      <c r="E7">
        <v>183919680</v>
      </c>
    </row>
    <row r="8">
      <c r="D8" t="str">
        <v>Ingreso Banco Finandina</v>
      </c>
      <c r="E8">
        <v>5000000</v>
      </c>
    </row>
    <row r="9">
      <c r="D9" t="str">
        <v>Pago intereses PM</v>
      </c>
      <c r="E9">
        <v>4808596</v>
      </c>
    </row>
    <row r="10">
      <c r="D10" t="str">
        <v>devolucion saldo caja menor</v>
      </c>
      <c r="E10">
        <v>215700</v>
      </c>
    </row>
    <row r="11">
      <c r="D11" t="str">
        <v>Suramericana Incapacidad</v>
      </c>
      <c r="E11">
        <v>5559334</v>
      </c>
    </row>
    <row r="12">
      <c r="D12" t="str">
        <v>CLIENTES</v>
      </c>
      <c r="E12">
        <f>SUBTOTAL(9,E13:E58)</f>
        <v>342202086.40769994</v>
      </c>
    </row>
    <row r="13">
      <c r="C13" t="str">
        <v>Pagado</v>
      </c>
      <c r="D13" t="str">
        <v>ACT&amp;J Consultores Factura 6472-6337-6423 y saldo Factura 6182 $ 77,525</v>
      </c>
      <c r="E13">
        <v>4524531.51</v>
      </c>
      <c r="F13" t="str">
        <v>***</v>
      </c>
    </row>
    <row r="14">
      <c r="C14" t="str">
        <v>Pagado</v>
      </c>
      <c r="D14" t="str">
        <v>ACT&amp;J Consultores Factura 6502-Noviembre Pretalires</v>
      </c>
      <c r="E14">
        <v>1549380</v>
      </c>
      <c r="F14" t="str">
        <v>***</v>
      </c>
    </row>
    <row r="15">
      <c r="C15" t="str">
        <v>Pagado</v>
      </c>
      <c r="D15" t="str">
        <v xml:space="preserve">AECID Factura # 6533-Octubre y noviembre </v>
      </c>
      <c r="E15">
        <v>51544068.98</v>
      </c>
    </row>
    <row r="16">
      <c r="C16" t="str">
        <v>Pagado</v>
      </c>
      <c r="D16" t="str">
        <v>AECID Factura #5-132-Octubre y noviembre</v>
      </c>
      <c r="E16">
        <v>5260000</v>
      </c>
    </row>
    <row r="17">
      <c r="C17" t="str">
        <v>Pagado</v>
      </c>
      <c r="D17" t="str">
        <v>AECID Factura # 6574</v>
      </c>
      <c r="E17">
        <v>34362712.65</v>
      </c>
    </row>
    <row r="18">
      <c r="C18" t="str">
        <v>Pagado</v>
      </c>
      <c r="D18" t="str">
        <v>Clarke Modet factura # 6459</v>
      </c>
      <c r="E18">
        <v>2455029.18</v>
      </c>
      <c r="F18" t="str">
        <v>***</v>
      </c>
    </row>
    <row r="19">
      <c r="C19" t="str">
        <v>Pagado</v>
      </c>
      <c r="D19" t="str">
        <v>Compassion international factura # 6542</v>
      </c>
      <c r="E19">
        <v>6563937.34</v>
      </c>
    </row>
    <row r="20">
      <c r="C20" t="str">
        <v>Pagado</v>
      </c>
      <c r="D20" t="str">
        <v>Consorcio HL-AB Factura #  6107-6205</v>
      </c>
      <c r="E20">
        <v>9784261</v>
      </c>
    </row>
    <row r="21">
      <c r="C21" t="str">
        <v>Pagado</v>
      </c>
      <c r="D21" t="str">
        <v>Consorcio HL-AB Factura #  6107-6205</v>
      </c>
      <c r="E21">
        <v>1880863</v>
      </c>
      <c r="J21">
        <f>E20+E21+E23+E40+E41+E42+E43</f>
        <v>87943892</v>
      </c>
    </row>
    <row r="22">
      <c r="C22" t="str">
        <v>Sin Pagar</v>
      </c>
      <c r="D22" t="str">
        <v>Consorcio HL-A&amp;D Factura 6478</v>
      </c>
      <c r="E22">
        <f>1341880.13*0</f>
        <v>0</v>
      </c>
    </row>
    <row r="23">
      <c r="C23" t="str">
        <v>Pagado</v>
      </c>
      <c r="D23" t="str">
        <v>Consorcio HL Gisaico Factura 6432</v>
      </c>
      <c r="E23">
        <f>605371</f>
        <v>605371</v>
      </c>
    </row>
    <row r="24">
      <c r="C24" t="str">
        <v>Pagado</v>
      </c>
      <c r="D24" t="str">
        <v>Consorcio SK-HL facturas 6422</v>
      </c>
      <c r="E24">
        <f>229392</f>
        <v>229392</v>
      </c>
      <c r="F24" t="str">
        <v>***</v>
      </c>
    </row>
    <row r="25">
      <c r="C25" t="str">
        <v>Pagado</v>
      </c>
      <c r="D25" t="str">
        <v>Consorcio SK-HL facturas 6501</v>
      </c>
      <c r="E25">
        <f>229392</f>
        <v>229392</v>
      </c>
    </row>
    <row r="26">
      <c r="C26" t="str">
        <v>Sin Pagar</v>
      </c>
      <c r="D26" t="str">
        <v>Corporación punto azul factura # 6424</v>
      </c>
      <c r="E26">
        <f>1692717.2*0</f>
        <v>0</v>
      </c>
      <c r="F26" t="str">
        <v>***</v>
      </c>
    </row>
    <row r="27">
      <c r="C27" t="str">
        <v>Sin Pagar</v>
      </c>
      <c r="D27" t="str">
        <v>Dinterweb factura # 5646-5725-5805-5892-5974-6061</v>
      </c>
      <c r="E27">
        <f>7528323*0</f>
        <v>0</v>
      </c>
    </row>
    <row r="28">
      <c r="C28" t="str">
        <v>Sin Pagar</v>
      </c>
      <c r="D28" t="str">
        <v>Distritech facturas # 6235 Llega por Panamá</v>
      </c>
      <c r="E28">
        <f>5391183.76*0</f>
        <v>0</v>
      </c>
    </row>
    <row r="29">
      <c r="C29" t="str">
        <v>Sin Pagar</v>
      </c>
      <c r="D29" t="str">
        <v>Dream Tyme resort Factura # 1-27</v>
      </c>
      <c r="E29">
        <f>9781142.24*0</f>
        <v>0</v>
      </c>
    </row>
    <row r="30">
      <c r="C30" t="str">
        <v>Sin Pagar</v>
      </c>
      <c r="D30" t="str">
        <v>Dream Tyme resort Factura #  6437</v>
      </c>
      <c r="E30">
        <f>1007999.64*0</f>
        <v>0</v>
      </c>
    </row>
    <row r="31">
      <c r="C31" t="str">
        <v>Sin Pagar</v>
      </c>
      <c r="D31" t="str">
        <v>Dream Tyme Primera y segunda quincena Diciembre</v>
      </c>
      <c r="E31">
        <f>9781142.24*2*0</f>
        <v>0</v>
      </c>
    </row>
    <row r="32">
      <c r="C32" t="str">
        <v>Sin Pagar</v>
      </c>
      <c r="D32" t="str">
        <v>Dream Tyme Primera y segunda quincena Diciembre</v>
      </c>
      <c r="E32">
        <f>4713074*0</f>
        <v>0</v>
      </c>
    </row>
    <row r="33">
      <c r="C33" t="str">
        <v>Sin Pagar</v>
      </c>
      <c r="D33" t="str">
        <v>Ecohl factura # 6373-6375</v>
      </c>
      <c r="E33">
        <f>1228866.62*0</f>
        <v>0</v>
      </c>
    </row>
    <row r="34">
      <c r="C34" t="str">
        <v>Pagado</v>
      </c>
      <c r="D34" t="str">
        <v>Gilead Scense Colombia Factura # 5-154</v>
      </c>
      <c r="E34">
        <v>821905.26</v>
      </c>
    </row>
    <row r="35">
      <c r="C35" t="str">
        <v>Pagado</v>
      </c>
      <c r="D35" t="str">
        <v>Global CS Colombia SAS -Solutions &amp; payroll-Servicio Noviembre 2025 Factura  6467</v>
      </c>
      <c r="E35">
        <v>17406803.72</v>
      </c>
      <c r="F35" t="str">
        <v>***</v>
      </c>
    </row>
    <row r="36">
      <c r="C36" t="str">
        <v>Pagado</v>
      </c>
      <c r="D36" t="str">
        <v>Global CS Colombia SAS -Solutions &amp; payroll-Factura 5-93 Reembolso Gastos Nov</v>
      </c>
      <c r="E36">
        <v>359994</v>
      </c>
      <c r="F36" t="str">
        <v>***</v>
      </c>
    </row>
    <row r="37">
      <c r="C37" t="str">
        <v>Pagado</v>
      </c>
      <c r="D37" t="str">
        <v>Global Projects service AG facturas # 6268</v>
      </c>
      <c r="E37">
        <v>2455134.4499999997</v>
      </c>
      <c r="F37">
        <v>2676010.9999999995</v>
      </c>
      <c r="G37">
        <f>(E37-F37)</f>
        <v>-220876.5499999998</v>
      </c>
    </row>
    <row r="38">
      <c r="C38" t="str">
        <v>Sin Pagar</v>
      </c>
      <c r="D38" t="str">
        <v>Global Projects service AG facturas # 6315</v>
      </c>
      <c r="E38">
        <f>2709294*0</f>
        <v>0</v>
      </c>
    </row>
    <row r="39">
      <c r="C39" t="str">
        <v>Sin Pagar</v>
      </c>
      <c r="D39" t="str">
        <v>HL Gestiones factura # 6395</v>
      </c>
      <c r="E39">
        <f>597907.31*0</f>
        <v>0</v>
      </c>
      <c r="I39">
        <v>4</v>
      </c>
    </row>
    <row r="40">
      <c r="C40" t="str">
        <v>Pagado</v>
      </c>
      <c r="D40" t="str">
        <v>HL Ingenieros factura # 6127 a 6226</v>
      </c>
      <c r="E40">
        <v>2568994</v>
      </c>
    </row>
    <row r="41">
      <c r="C41" t="str">
        <v>Pagado</v>
      </c>
      <c r="D41" t="str">
        <v>HL Ingenieros factura # 6280 a 6283</v>
      </c>
      <c r="E41">
        <v>383449</v>
      </c>
    </row>
    <row r="42">
      <c r="C42" t="str">
        <v>Pagado</v>
      </c>
      <c r="D42" t="str">
        <v>Hl Infraestructura factura # 6146-6208</v>
      </c>
      <c r="E42">
        <v>46541148</v>
      </c>
    </row>
    <row r="43">
      <c r="C43" t="str">
        <v>Pagado</v>
      </c>
      <c r="D43" t="str">
        <v>Hl Infraestructura factura # 6318</v>
      </c>
      <c r="E43">
        <v>26179806</v>
      </c>
    </row>
    <row r="44">
      <c r="C44" t="str">
        <v>Pagado</v>
      </c>
      <c r="D44" t="str">
        <v>Inversiones el Bosque factura # 6569</v>
      </c>
      <c r="E44">
        <f>1897290</f>
        <v>1897290</v>
      </c>
    </row>
    <row r="45">
      <c r="C45" t="str">
        <v>Sin Pagar</v>
      </c>
      <c r="D45" t="str">
        <v>Live Systems technology factura # 6466</v>
      </c>
      <c r="E45">
        <f>1202975.28*0</f>
        <v>0</v>
      </c>
    </row>
    <row r="46">
      <c r="C46" t="str">
        <v>Pagado</v>
      </c>
      <c r="D46" t="str">
        <v>Ortho Clinical Diagnostics # 6381</v>
      </c>
      <c r="E46">
        <f>1380793.13</f>
        <v>1380793.13</v>
      </c>
    </row>
    <row r="47">
      <c r="C47" t="str">
        <v>Pagado</v>
      </c>
      <c r="D47" t="str">
        <v>Petrobras Colombia Factura # 6474</v>
      </c>
      <c r="E47">
        <v>17383715.23</v>
      </c>
    </row>
    <row r="48">
      <c r="C48" t="str">
        <v>Pagado</v>
      </c>
      <c r="D48" t="str">
        <v>Petrobras Internacional Baspetro Factura # 6426</v>
      </c>
      <c r="E48">
        <v>6565950.06</v>
      </c>
    </row>
    <row r="49">
      <c r="C49" t="str">
        <v>Pagado</v>
      </c>
      <c r="D49" t="str">
        <v>Safeguard por identificar  Deel</v>
      </c>
      <c r="E49">
        <v>3462300</v>
      </c>
    </row>
    <row r="50">
      <c r="C50" t="str">
        <v>Pagado</v>
      </c>
      <c r="D50" t="str">
        <v>Safeguard por identificar  Deel</v>
      </c>
      <c r="E50">
        <f>'MONETIZACIONES PEND'!$R$348+'MONETIZACIONES PEND'!$R$349+'MONETIZACIONES PEND'!$R$350+'MONETIZACIONES PEND'!$R$351</f>
        <v>90383091.25770001</v>
      </c>
    </row>
    <row r="51">
      <c r="C51" t="str">
        <v>Sin Pagar</v>
      </c>
      <c r="D51" t="str">
        <v>Safeguard Payroll LTD y LLC Julio-(vencio en septiembre)</v>
      </c>
      <c r="E51">
        <f>87111218.1195*0</f>
        <v>0</v>
      </c>
      <c r="F51">
        <v>0</v>
      </c>
      <c r="G51">
        <f>(E51-F51)*0</f>
        <v>0</v>
      </c>
      <c r="J51">
        <v>20841.55</v>
      </c>
    </row>
    <row r="52">
      <c r="C52" t="str">
        <v>Sin Pagar</v>
      </c>
      <c r="D52" t="str">
        <v>Safeguard Payroll LTD y LLC Agosto-(vencio en Octubre)</v>
      </c>
      <c r="E52">
        <f>66875205.9551*0</f>
        <v>0</v>
      </c>
      <c r="F52">
        <v>0</v>
      </c>
      <c r="G52">
        <f>(E52-F52)*0</f>
        <v>0</v>
      </c>
      <c r="J52">
        <v>16639.39</v>
      </c>
    </row>
    <row r="53">
      <c r="C53" t="str">
        <v>Sin Pagar</v>
      </c>
      <c r="D53" t="str">
        <v>Safeguard Payroll LTD y LLC Septiembre-(vencio en Noviembre)</v>
      </c>
      <c r="E53">
        <f>63738690.8265*0</f>
        <v>0</v>
      </c>
      <c r="F53">
        <v>0</v>
      </c>
      <c r="G53">
        <f>(E53-F53)*0</f>
        <v>0</v>
      </c>
      <c r="J53">
        <v>16337.849999999999</v>
      </c>
    </row>
    <row r="54">
      <c r="C54" t="str">
        <v>Sin Pagar</v>
      </c>
      <c r="D54" t="str">
        <v>Rejimetal  Factura # 4441-4524-4609-4688-4788-4865-4970-5060-5150-5272-5372-5485-5565-5642-5721-5802-588</v>
      </c>
      <c r="E54">
        <f>7370606*0</f>
        <v>0</v>
      </c>
      <c r="J54">
        <f>SUM(J51:J53)</f>
        <v>53818.79</v>
      </c>
    </row>
    <row r="55">
      <c r="C55" t="str">
        <v>Pagado</v>
      </c>
      <c r="D55" t="str">
        <v>Sinerware SAS Factura # 6392-6469-6570</v>
      </c>
      <c r="E55">
        <v>1843176</v>
      </c>
    </row>
    <row r="56">
      <c r="C56" t="str">
        <v>Sin Pagar</v>
      </c>
      <c r="D56" t="str">
        <v>Soluciones ambientales punto azul Factura #  6504</v>
      </c>
      <c r="E56">
        <f>694763.99*0</f>
        <v>0</v>
      </c>
    </row>
    <row r="57">
      <c r="C57" t="str">
        <v>Pagado</v>
      </c>
      <c r="D57" t="str">
        <v>TPL Logistics factura # 6478</v>
      </c>
      <c r="E57">
        <f>1826568.28</f>
        <v>1826568.28</v>
      </c>
    </row>
    <row r="58">
      <c r="C58" t="str">
        <v>Pagado</v>
      </c>
      <c r="D58" t="str">
        <v>TPL Logistics factura # 6568</v>
      </c>
      <c r="E58">
        <v>1753029.36</v>
      </c>
    </row>
    <row r="59">
      <c r="D59" t="str">
        <v>PE</v>
      </c>
      <c r="E59" t="e">
        <f>SUBTOTAL(9,E60:E109)</f>
        <v>#REF!</v>
      </c>
      <c r="F59">
        <v>1</v>
      </c>
    </row>
    <row r="60">
      <c r="C60" t="str">
        <v>Sin Pagar</v>
      </c>
      <c r="D60" t="str">
        <v>Advancio Factura # 5461 EO Third parties service ADVANCIO - (November)</v>
      </c>
      <c r="E60" t="e">
        <f>'MONETIZACIONES PEND'!#REF!*0</f>
        <v>#REF!</v>
      </c>
      <c r="G60" t="e">
        <f>(E60-F60)*0</f>
        <v>#REF!</v>
      </c>
    </row>
    <row r="61">
      <c r="C61" t="str">
        <v>Pagado</v>
      </c>
      <c r="D61" t="str">
        <v>Action Factura # 6561</v>
      </c>
      <c r="E61">
        <v>1265173.3499999999</v>
      </c>
      <c r="F61">
        <v>1293165.9438</v>
      </c>
      <c r="G61">
        <f>(E61-F61)</f>
        <v>-27992.593800000148</v>
      </c>
    </row>
    <row r="62">
      <c r="C62" t="str">
        <v>Pagado</v>
      </c>
      <c r="D62" t="str">
        <v>Action Factura # 5-156</v>
      </c>
      <c r="E62">
        <v>11501681.45</v>
      </c>
      <c r="F62">
        <v>11756161.910600001</v>
      </c>
      <c r="G62">
        <f>(E62-F62)</f>
        <v>-254480.46060000174</v>
      </c>
    </row>
    <row r="63">
      <c r="C63" t="str">
        <v>Pagado</v>
      </c>
      <c r="D63" t="str">
        <v>Bubble BPM Factura # 6523</v>
      </c>
      <c r="E63">
        <v>484792.18038345256</v>
      </c>
      <c r="F63">
        <v>493290.8003</v>
      </c>
      <c r="G63">
        <f>(E63-F63)</f>
        <v>-8498.619916547439</v>
      </c>
    </row>
    <row r="64">
      <c r="C64" t="str">
        <v>Pagado</v>
      </c>
      <c r="D64" t="str">
        <v>Bubble BPM Factura # 5-136</v>
      </c>
      <c r="E64">
        <v>4407288.838116547</v>
      </c>
      <c r="F64">
        <v>4484550.5478</v>
      </c>
      <c r="G64">
        <f>(E64-F64)</f>
        <v>-77261.70968345273</v>
      </c>
    </row>
    <row r="65">
      <c r="C65" t="str">
        <v>Pagado</v>
      </c>
      <c r="D65" t="str">
        <v>Edrington  Factura # 6363 Octubre</v>
      </c>
      <c r="E65">
        <v>2235488.0954</v>
      </c>
      <c r="F65">
        <v>2228468.5282</v>
      </c>
      <c r="G65">
        <f>(E65-F65)</f>
        <v>7019.567199999932</v>
      </c>
    </row>
    <row r="66">
      <c r="C66" t="str">
        <v>Pagado</v>
      </c>
      <c r="D66" t="str">
        <v>Edrington  Factura # 5-84 Octubre</v>
      </c>
      <c r="E66">
        <v>40644342.782400005</v>
      </c>
      <c r="F66">
        <v>40516717.0992</v>
      </c>
      <c r="G66">
        <f>(E66-F66)</f>
        <v>127625.68320000172</v>
      </c>
    </row>
    <row r="67">
      <c r="C67" t="str">
        <v>Pagado</v>
      </c>
      <c r="D67" t="str">
        <v>Edrington  Factura #  6527 Diciembre</v>
      </c>
      <c r="E67">
        <v>1621642.8</v>
      </c>
      <c r="F67">
        <v>1615169.928</v>
      </c>
      <c r="G67">
        <f>(E67-F67)</f>
        <v>6472.871999999974</v>
      </c>
    </row>
    <row r="68">
      <c r="C68" t="str">
        <v>Pagado</v>
      </c>
      <c r="D68" t="str">
        <v>Edrington  Factura # 5-139 Diciembre</v>
      </c>
      <c r="E68">
        <v>29484466.2</v>
      </c>
      <c r="F68">
        <v>29366777.412</v>
      </c>
      <c r="G68">
        <f>(E68-F68)</f>
        <v>117688.78799999878</v>
      </c>
    </row>
    <row r="69">
      <c r="C69" t="str">
        <v>Pagado</v>
      </c>
      <c r="D69" t="str">
        <v>EPDM Factura # 6541</v>
      </c>
      <c r="E69">
        <v>1004663</v>
      </c>
      <c r="G69">
        <f>(E69-F69)*0</f>
        <v>0</v>
      </c>
    </row>
    <row r="70">
      <c r="C70" t="str">
        <v>Pagado</v>
      </c>
      <c r="D70" t="str">
        <v>EPDM Factura # 5-146</v>
      </c>
      <c r="E70">
        <v>10046625</v>
      </c>
      <c r="G70">
        <f>(E70-F70)*0</f>
        <v>0</v>
      </c>
    </row>
    <row r="71">
      <c r="C71" t="str">
        <v>Pagado</v>
      </c>
      <c r="D71" t="str">
        <v>Equus Global Expansion, LLC Factura # 6524</v>
      </c>
      <c r="E71">
        <v>676247.25</v>
      </c>
      <c r="F71">
        <v>670058.655</v>
      </c>
      <c r="G71">
        <f>(E71-F71)</f>
        <v>6188.594999999972</v>
      </c>
    </row>
    <row r="72">
      <c r="C72" t="str">
        <v>Pagado</v>
      </c>
      <c r="D72" t="str">
        <v>Equus Global Expansion, LLC Factura # 5-137</v>
      </c>
      <c r="E72">
        <v>5928055.375</v>
      </c>
      <c r="F72">
        <v>5873805.4925</v>
      </c>
      <c r="G72">
        <f>(E72-F72)</f>
        <v>54249.8825000003</v>
      </c>
    </row>
    <row r="73">
      <c r="C73" t="str">
        <v>Pagado</v>
      </c>
      <c r="D73" t="str">
        <v>Europortage Factura # 6525</v>
      </c>
      <c r="E73">
        <v>3109612.8003479433</v>
      </c>
      <c r="F73">
        <v>3100513.4268</v>
      </c>
      <c r="G73">
        <f>(E73-F73)</f>
        <v>9099.373547943309</v>
      </c>
    </row>
    <row r="74">
      <c r="C74" t="str">
        <v>Pagado</v>
      </c>
      <c r="D74" t="str">
        <v>Europortage Factura # 5-138</v>
      </c>
      <c r="E74">
        <v>53099097.010852054</v>
      </c>
      <c r="F74">
        <v>52943718.0136</v>
      </c>
      <c r="G74">
        <f>(E74-F74)</f>
        <v>155378.9972520545</v>
      </c>
    </row>
    <row r="75">
      <c r="C75" t="str">
        <v>Sin Pagar</v>
      </c>
      <c r="D75" t="str">
        <v>Hemmebarsch GMBH &amp; Co KG , factura # 6447 Diciembre</v>
      </c>
      <c r="E75">
        <f>683895.328*0</f>
        <v>0</v>
      </c>
      <c r="G75">
        <f>(E75-F75)*0</f>
        <v>0</v>
      </c>
    </row>
    <row r="76">
      <c r="C76" t="str">
        <v>Sin Pagar</v>
      </c>
      <c r="D76" t="str">
        <v>Hemmebarsch GMBH &amp; Co KG , factura # 5-104 Diciembre</v>
      </c>
      <c r="E76">
        <f>6838916.456*0</f>
        <v>0</v>
      </c>
      <c r="G76">
        <f>(E76-F76)*0</f>
        <v>0</v>
      </c>
    </row>
    <row r="77">
      <c r="C77" t="str">
        <v>Sin Pagar</v>
      </c>
      <c r="D77" t="str">
        <v>Hemmebarsch GMBH &amp; Co KG , factura # 6448 Diciembre</v>
      </c>
      <c r="E77">
        <f>427452.992*0</f>
        <v>0</v>
      </c>
      <c r="G77">
        <f>(E77-F77)*0</f>
        <v>0</v>
      </c>
    </row>
    <row r="78">
      <c r="C78" t="str">
        <v>Sin Pagar</v>
      </c>
      <c r="D78" t="str">
        <v>Hemmebarsch GMBH &amp; Co KG , factura # 5-105 Diciembre</v>
      </c>
      <c r="E78">
        <f>4274640.392*0</f>
        <v>0</v>
      </c>
      <c r="G78">
        <f>(E78-F78)*0</f>
        <v>0</v>
      </c>
    </row>
    <row r="79">
      <c r="C79" t="str">
        <v>Sin Pagar</v>
      </c>
      <c r="D79" t="str">
        <v>Hemmebarsch GMBH &amp; Co KG , factura # 6540 Enero</v>
      </c>
      <c r="E79">
        <f>427980.3884*0</f>
        <v>0</v>
      </c>
      <c r="G79">
        <f>(E79-F79)*0</f>
        <v>0</v>
      </c>
    </row>
    <row r="80">
      <c r="C80" t="str">
        <v>Sin Pagar</v>
      </c>
      <c r="D80" t="str">
        <v>Hemmebarsch GMBH &amp; Co KG , factura # 5-144 Enero</v>
      </c>
      <c r="E80">
        <f>4279879.4722*0</f>
        <v>0</v>
      </c>
      <c r="G80">
        <f>(E80-F80)*0</f>
        <v>0</v>
      </c>
    </row>
    <row r="81">
      <c r="C81" t="str">
        <v>Sin Pagar</v>
      </c>
      <c r="D81" t="str">
        <v>Hong kong yonyou xinfushe cloud technology co., limited Factura 6559-(Pendiente monetizar)</v>
      </c>
      <c r="E81">
        <f>2855434.869*0</f>
        <v>0</v>
      </c>
      <c r="G81">
        <f>(E81-F81)*0</f>
        <v>0</v>
      </c>
    </row>
    <row r="82">
      <c r="C82" t="str">
        <v>Sin Pagar</v>
      </c>
      <c r="D82" t="str">
        <v>Hong kong yonyou xinfushe cloud technology co., limited Factura 5-152 (Pendiente monetizar)</v>
      </c>
      <c r="E82">
        <f>53276427.2691*0</f>
        <v>0</v>
      </c>
      <c r="G82">
        <f>(E82-F82)*0</f>
        <v>0</v>
      </c>
    </row>
    <row r="83">
      <c r="C83" t="str">
        <v>Pagado</v>
      </c>
      <c r="D83" t="str">
        <v>Flexco Factura # 6558</v>
      </c>
      <c r="E83">
        <v>2230013.8633892382</v>
      </c>
      <c r="F83">
        <v>2282657.749</v>
      </c>
      <c r="G83">
        <f>(E83-F83)</f>
        <v>-52643.88561076159</v>
      </c>
    </row>
    <row r="84">
      <c r="C84" t="str">
        <v>Pagado</v>
      </c>
      <c r="D84" t="str">
        <v>Flexco Factura # 5-151</v>
      </c>
      <c r="E84">
        <v>24778064.786610764</v>
      </c>
      <c r="F84">
        <v>25362999.987999998</v>
      </c>
      <c r="G84">
        <f>(E84-F84)</f>
        <v>-584935.2013892345</v>
      </c>
    </row>
    <row r="85">
      <c r="C85" t="str">
        <v>Pagado</v>
      </c>
      <c r="D85" t="str">
        <v>Insider factura  #5-145  Prima</v>
      </c>
      <c r="E85">
        <v>144494834.04000002</v>
      </c>
      <c r="F85">
        <v>144570834.03</v>
      </c>
      <c r="G85">
        <f>(E85-F85)</f>
        <v>-75999.98999997973</v>
      </c>
    </row>
    <row r="86">
      <c r="C86" t="str">
        <v>Pagado</v>
      </c>
      <c r="D86" t="str">
        <v>Insider factura  # 159</v>
      </c>
      <c r="E86">
        <v>761389470.9</v>
      </c>
      <c r="F86">
        <v>783834187.5849999</v>
      </c>
      <c r="G86">
        <f>(E86-F86)</f>
        <v>-22444716.684999943</v>
      </c>
    </row>
    <row r="87">
      <c r="C87" t="str">
        <v>Sin Pagar</v>
      </c>
      <c r="D87" t="str">
        <v>Insider factura  # 160</v>
      </c>
      <c r="E87">
        <f>3973041.075*0</f>
        <v>0</v>
      </c>
      <c r="G87">
        <f>(E87-F87)*0</f>
        <v>0</v>
      </c>
    </row>
    <row r="88">
      <c r="C88" t="str">
        <v>Pagado</v>
      </c>
      <c r="D88" t="str">
        <v>MKD Factura # 6521</v>
      </c>
      <c r="E88">
        <v>645767.343</v>
      </c>
      <c r="F88">
        <v>640408.6512000001</v>
      </c>
      <c r="G88">
        <f>(E88-F88)</f>
        <v>5358.691799999913</v>
      </c>
    </row>
    <row r="89">
      <c r="C89" t="str">
        <v>Pagado</v>
      </c>
      <c r="D89" t="str">
        <v>MKD Factura # 5-134</v>
      </c>
      <c r="E89">
        <v>5870456.5725</v>
      </c>
      <c r="F89">
        <v>5821742.484</v>
      </c>
      <c r="G89">
        <f>(E89-F89)</f>
        <v>48714.088499999605</v>
      </c>
    </row>
    <row r="90">
      <c r="C90" t="str">
        <v>Pagado</v>
      </c>
      <c r="D90" t="str">
        <v>Nazdar Factura # 6538</v>
      </c>
      <c r="E90">
        <v>3725117.558913311</v>
      </c>
      <c r="F90">
        <v>3762553.8313999996</v>
      </c>
      <c r="G90">
        <f>(E90-F90)</f>
        <v>-37436.27248668857</v>
      </c>
    </row>
    <row r="91">
      <c r="C91" t="str">
        <v>Pagado</v>
      </c>
      <c r="D91" t="str">
        <v>Nazdar Factura # 5-142</v>
      </c>
      <c r="E91">
        <v>62084793.7410867</v>
      </c>
      <c r="F91">
        <v>62708726.602</v>
      </c>
      <c r="G91">
        <f>(E91-F91)</f>
        <v>-623932.860913299</v>
      </c>
    </row>
    <row r="92">
      <c r="C92" t="str">
        <v>Pagado</v>
      </c>
      <c r="D92" t="str">
        <v>Neo Factura # 6552</v>
      </c>
      <c r="E92">
        <v>7560646.469450439</v>
      </c>
      <c r="F92">
        <v>7531872.2035</v>
      </c>
      <c r="G92">
        <f>(E92-F92)</f>
        <v>28774.265950439498</v>
      </c>
    </row>
    <row r="93">
      <c r="C93" t="str">
        <v>Pagado</v>
      </c>
      <c r="D93" t="str">
        <v>Neo Factura # FV-5-135</v>
      </c>
      <c r="E93">
        <v>96515781.1557806</v>
      </c>
      <c r="F93">
        <v>96148461.9369</v>
      </c>
      <c r="G93">
        <f>(E93-F93)</f>
        <v>367319.2188805938</v>
      </c>
    </row>
    <row r="94">
      <c r="C94" t="str">
        <v>Pagado</v>
      </c>
      <c r="D94" t="str">
        <v>Neo Factura # 6557</v>
      </c>
      <c r="E94">
        <v>160637.12476895624</v>
      </c>
      <c r="F94">
        <v>160025.7729</v>
      </c>
      <c r="G94">
        <f>(E94-F94)</f>
        <v>611.3518689562334</v>
      </c>
    </row>
    <row r="95">
      <c r="C95" t="str">
        <v>Pagado</v>
      </c>
      <c r="D95" t="str">
        <v>Oncehub Factura # 5-31</v>
      </c>
      <c r="E95">
        <v>5028811.92</v>
      </c>
      <c r="F95">
        <v>5039027.5416</v>
      </c>
      <c r="G95">
        <f>(E95-F95)</f>
        <v>-10215.621600000188</v>
      </c>
    </row>
    <row r="96">
      <c r="C96" t="str">
        <v>Pagado</v>
      </c>
      <c r="D96" t="str">
        <v>Oncehub Factura # 6551</v>
      </c>
      <c r="E96">
        <v>1062609.6653399668</v>
      </c>
      <c r="F96">
        <v>1072405.152</v>
      </c>
      <c r="G96">
        <f>(E96-F96)</f>
        <v>-9795.486660033232</v>
      </c>
    </row>
    <row r="97">
      <c r="C97" t="str">
        <v>Pagado</v>
      </c>
      <c r="D97" t="str">
        <v>Oncehub Factura # 5-156</v>
      </c>
      <c r="E97">
        <v>11523622.317160033</v>
      </c>
      <c r="F97">
        <v>11629850.8716</v>
      </c>
      <c r="G97">
        <f>(E97-F97)</f>
        <v>-106228.5544399675</v>
      </c>
    </row>
    <row r="98">
      <c r="C98" t="str">
        <v>Sin Pagar</v>
      </c>
      <c r="D98" t="str">
        <v>Oncehub Factura # 5-160</v>
      </c>
      <c r="E98">
        <f>11287082.5151*0</f>
        <v>0</v>
      </c>
      <c r="G98">
        <f>(E98-F98)*0</f>
        <v>0</v>
      </c>
    </row>
    <row r="99">
      <c r="C99" t="str">
        <v>Sin Pagar</v>
      </c>
      <c r="D99" t="str">
        <v>Remofirst Factura # 5-60 Octubre (Pendiente monetizar)</v>
      </c>
      <c r="E99">
        <f>(3255.57*3890.28)*0</f>
        <v>0</v>
      </c>
      <c r="G99">
        <f>(E99-F99)*0</f>
        <v>0</v>
      </c>
    </row>
    <row r="100">
      <c r="C100" t="str">
        <v>Sin Pagar</v>
      </c>
      <c r="D100" t="str">
        <v>Remofirst Factura # 6338 Octubre (Pendiente monetizar)</v>
      </c>
      <c r="E100">
        <f>3333190.9*0</f>
        <v>0</v>
      </c>
      <c r="G100">
        <f>(E100-F100)*0</f>
        <v>0</v>
      </c>
    </row>
    <row r="101">
      <c r="C101" t="str">
        <v>Sin Pagar</v>
      </c>
      <c r="D101" t="str">
        <v>Remofirst Factura # 5-79 Octubre (Pendiente monetizar)</v>
      </c>
      <c r="E101">
        <f>868549.5952*0</f>
        <v>0</v>
      </c>
      <c r="G101">
        <f>(E101-F101)*0</f>
        <v>0</v>
      </c>
    </row>
    <row r="102">
      <c r="C102" t="str">
        <v>Pagado</v>
      </c>
      <c r="D102" t="str">
        <v>Remofirst Factura # 6506- Diciembre</v>
      </c>
      <c r="E102">
        <v>46700436.63600001</v>
      </c>
      <c r="F102">
        <v>46501659.036000006</v>
      </c>
      <c r="G102">
        <f>(E102-F102)</f>
        <v>198777.6000000015</v>
      </c>
    </row>
    <row r="103">
      <c r="C103" t="str">
        <v>Pagado</v>
      </c>
      <c r="D103" t="str">
        <v>Remofirst Factura # 5-129 Diciembre</v>
      </c>
      <c r="E103">
        <v>1172839274.9849</v>
      </c>
      <c r="F103">
        <v>1167847155.1449</v>
      </c>
      <c r="G103">
        <f>(E103-F103)</f>
        <v>4992119.839999914</v>
      </c>
    </row>
    <row r="104">
      <c r="C104" t="str">
        <v>Pagado</v>
      </c>
      <c r="D104" t="str">
        <v>Remofirst Factura # 6535- Diciembre</v>
      </c>
      <c r="E104">
        <v>29020404.721272483</v>
      </c>
      <c r="F104">
        <v>28765256.430600002</v>
      </c>
      <c r="G104">
        <f>(E104-F104)</f>
        <v>255148.29067248106</v>
      </c>
    </row>
    <row r="105">
      <c r="C105" t="str">
        <v>Pagado</v>
      </c>
      <c r="D105" t="str">
        <v>Remofirst Factura # 5-150 Diciembre</v>
      </c>
      <c r="E105">
        <v>2930762.2787275184</v>
      </c>
      <c r="F105">
        <v>3100513.4268</v>
      </c>
      <c r="G105">
        <f>(E105-F105)</f>
        <v>-169751.14807248162</v>
      </c>
    </row>
    <row r="106">
      <c r="C106" t="str">
        <v>Sin Pagar</v>
      </c>
      <c r="D106" t="str">
        <v>Remofirst Factura # 5-150 Diciembre</v>
      </c>
      <c r="E106">
        <f>23615660.7027*0</f>
        <v>0</v>
      </c>
      <c r="G106">
        <f>(E106-F106)*0</f>
        <v>0</v>
      </c>
    </row>
    <row r="107">
      <c r="C107" t="str">
        <v>Sin Pagar</v>
      </c>
      <c r="D107" t="str">
        <v>Remofirst Factura # 6580- Diciembre</v>
      </c>
      <c r="E107">
        <f>2672509.14*0</f>
        <v>0</v>
      </c>
      <c r="G107">
        <f>(E107-F107)*0</f>
        <v>0</v>
      </c>
    </row>
    <row r="108">
      <c r="C108" t="str">
        <v>Pagado</v>
      </c>
      <c r="D108" t="str">
        <v>Rivermate Factura # 6520</v>
      </c>
      <c r="E108">
        <v>1265349</v>
      </c>
      <c r="G108">
        <f>(E108-F108)*0</f>
        <v>0</v>
      </c>
    </row>
    <row r="109">
      <c r="C109" t="str">
        <v>Pagado</v>
      </c>
      <c r="D109" t="str">
        <v>Rivermate Factura # 5-133</v>
      </c>
      <c r="E109">
        <v>71495628</v>
      </c>
      <c r="G109">
        <f>(E109-F109)*0</f>
        <v>0</v>
      </c>
    </row>
    <row r="110">
      <c r="D110" t="str">
        <v>TOTAL INGRESOS</v>
      </c>
      <c r="E110" t="e">
        <f>SUBTOTAL(9,E4:E109)</f>
        <v>#REF!</v>
      </c>
      <c r="G110" t="e">
        <f>SUM(G13:G109)</f>
        <v>#REF!</v>
      </c>
    </row>
    <row r="113">
      <c r="C113" t="str">
        <v xml:space="preserve">CUENTAS X PAGAR MES </v>
      </c>
      <c r="E113" t="str">
        <v>DICIEMBRE</v>
      </c>
      <c r="F113" t="str">
        <v>Fecha de Elaboración:</v>
      </c>
      <c r="J113">
        <v>45992</v>
      </c>
    </row>
    <row r="114">
      <c r="C114" t="str">
        <v>Factura</v>
      </c>
      <c r="D114" t="str">
        <v>PROVEEDOR</v>
      </c>
      <c r="E114" t="str">
        <v>VALOR</v>
      </c>
      <c r="F114" t="str">
        <v>Fecha vencimiento</v>
      </c>
      <c r="G114" t="str">
        <v>Estado</v>
      </c>
      <c r="J114" t="str">
        <v>KPI</v>
      </c>
      <c r="K114" t="str">
        <v>Objeto</v>
      </c>
    </row>
    <row r="115">
      <c r="D115" t="str">
        <v>PAGOS ANTICIPADOS</v>
      </c>
      <c r="E115">
        <f>SUBTOTAL(9,E116:E120)</f>
        <v>20226326</v>
      </c>
    </row>
    <row r="116">
      <c r="A116" t="str">
        <f>G116</f>
        <v>Cancelado</v>
      </c>
      <c r="B116">
        <f>IF(I116&lt;=-1,1,IF(I116&lt;=5,2,IF(I116&lt;=15,3,IF(H116&lt;=60,4))))</f>
        <v>2</v>
      </c>
      <c r="D116" t="str">
        <v>Anticipo nómina Action</v>
      </c>
      <c r="E116">
        <f>3668594*0</f>
        <v>0</v>
      </c>
      <c r="F116">
        <v>45992</v>
      </c>
      <c r="G116" t="str">
        <v>Cancelado</v>
      </c>
      <c r="H116">
        <f>IF(OR(G116="Sin pagar",G116="Pagar"),NETWORKDAYS($J$113,F116,'Festivos Colombia'!$A$3:$A$22),0)</f>
        <v>0</v>
      </c>
      <c r="I116">
        <f>NETWORKDAYS($J$113,F116,'Festivos Colombia'!$A$3:$A$22)</f>
        <v>1</v>
      </c>
      <c r="J116">
        <f>H116</f>
        <v>0</v>
      </c>
    </row>
    <row r="117">
      <c r="A117" t="str">
        <f>G117</f>
        <v>Cancelado</v>
      </c>
      <c r="B117">
        <f>IF(I117&lt;=-1,1,IF(I117&lt;=5,2,IF(I117&lt;=15,3,IF(H117&lt;=60,4))))</f>
        <v>3</v>
      </c>
      <c r="D117" t="str">
        <v>Anticipo nómina Nazdar</v>
      </c>
      <c r="E117">
        <v>9500000</v>
      </c>
      <c r="F117">
        <v>46003</v>
      </c>
      <c r="G117" t="str">
        <v>Cancelado</v>
      </c>
      <c r="H117">
        <f>IF(OR(G117="Sin pagar",G117="Pagar"),NETWORKDAYS($J$113,F117,'Festivos Colombia'!$A$3:$A$22),0)</f>
        <v>0</v>
      </c>
      <c r="I117">
        <f>NETWORKDAYS($J$113,F117,'Festivos Colombia'!$A$3:$A$22)</f>
        <v>10</v>
      </c>
      <c r="J117">
        <f>H117</f>
        <v>0</v>
      </c>
    </row>
    <row r="118">
      <c r="A118" t="str">
        <f>G118</f>
        <v>Cancelado</v>
      </c>
      <c r="B118">
        <f>IF(I118&lt;=-1,1,IF(I118&lt;=5,2,IF(I118&lt;=15,3,IF(H118&lt;=60,4))))</f>
        <v>3</v>
      </c>
      <c r="D118" t="str">
        <v>Anticipo nómina Action</v>
      </c>
      <c r="E118">
        <v>4360000</v>
      </c>
      <c r="F118">
        <v>46003</v>
      </c>
      <c r="G118" t="str">
        <v>Cancelado</v>
      </c>
      <c r="H118">
        <f>IF(OR(G118="Sin pagar",G118="Pagar"),NETWORKDAYS($J$113,F118,'Festivos Colombia'!$A$3:$A$22),0)</f>
        <v>0</v>
      </c>
      <c r="I118">
        <f>NETWORKDAYS($J$113,F118,'Festivos Colombia'!$A$3:$A$22)</f>
        <v>10</v>
      </c>
      <c r="J118">
        <f>H118</f>
        <v>0</v>
      </c>
    </row>
    <row r="119">
      <c r="A119" t="str">
        <f>G119</f>
        <v>Cancelado</v>
      </c>
      <c r="B119">
        <f>IF(I119&lt;=-1,1,IF(I119&lt;=5,2,IF(I119&lt;=15,3,IF(H119&lt;=60,4))))</f>
        <v>3</v>
      </c>
      <c r="D119" t="str">
        <v>Anticipo nómina remofirst</v>
      </c>
      <c r="E119">
        <v>2700000</v>
      </c>
      <c r="F119">
        <v>46006</v>
      </c>
      <c r="G119" t="str">
        <v>Cancelado</v>
      </c>
      <c r="H119">
        <f>IF(OR(G119="Sin pagar",G119="Pagar"),NETWORKDAYS($J$113,F119,'Festivos Colombia'!$A$3:$A$22),0)</f>
        <v>0</v>
      </c>
      <c r="I119">
        <f>NETWORKDAYS($J$113,F119,'Festivos Colombia'!$A$3:$A$22)</f>
        <v>11</v>
      </c>
      <c r="J119">
        <f>H119</f>
        <v>0</v>
      </c>
    </row>
    <row r="120">
      <c r="A120" t="str">
        <f>G120</f>
        <v>Cancelado</v>
      </c>
      <c r="B120">
        <f>IF(I120&lt;=-1,1,IF(I120&lt;=5,2,IF(I120&lt;=15,3,IF(H120&lt;=60,4))))</f>
        <v>4</v>
      </c>
      <c r="D120" t="str">
        <v>Anticipo nómina Action</v>
      </c>
      <c r="E120">
        <v>3666326</v>
      </c>
      <c r="F120">
        <v>46024</v>
      </c>
      <c r="G120" t="str">
        <v>Cancelado</v>
      </c>
      <c r="H120">
        <f>IF(OR(G120="Sin pagar",G120="Pagar"),NETWORKDAYS($J$113,F120,'Festivos Colombia'!$A$3:$A$22),0)</f>
        <v>0</v>
      </c>
      <c r="I120">
        <f>NETWORKDAYS($J$113,F120,'Festivos Colombia'!$A$3:$A$22)</f>
        <v>24</v>
      </c>
      <c r="J120">
        <f>H120</f>
        <v>0</v>
      </c>
    </row>
    <row r="121">
      <c r="D121" t="str">
        <v xml:space="preserve">SEGURIDAD SOCIAL   </v>
      </c>
      <c r="E121">
        <f>SUBTOTAL(9,E122:E125)</f>
        <v>486248300</v>
      </c>
    </row>
    <row r="122">
      <c r="A122" t="str">
        <f>G122</f>
        <v>Cancelado</v>
      </c>
      <c r="B122">
        <f>IF(I122&lt;=-1,1,IF(I122&lt;=5,2,IF(I122&lt;=15,3,IF(H122&lt;=60,4))))</f>
        <v>2</v>
      </c>
      <c r="C122">
        <v>176206200</v>
      </c>
      <c r="D122" t="str">
        <v>Seguridad social -planilla N- liquidación del señor José Sepúlveda</v>
      </c>
      <c r="E122">
        <v>269400</v>
      </c>
      <c r="F122">
        <v>45995</v>
      </c>
      <c r="G122" t="str">
        <v>Cancelado</v>
      </c>
      <c r="H122">
        <f>IF(OR(G122="Sin pagar",G122="Pagar"),NETWORKDAYS($J$113,F122,'Festivos Colombia'!$A$3:$A$22),0)</f>
        <v>0</v>
      </c>
      <c r="I122">
        <f>NETWORKDAYS($J$113,F122,'Festivos Colombia'!$A$3:$A$22)</f>
        <v>4</v>
      </c>
      <c r="J122">
        <f>H122</f>
        <v>0</v>
      </c>
    </row>
    <row r="123">
      <c r="A123" t="str">
        <f>G123</f>
        <v>Cancelado</v>
      </c>
      <c r="B123">
        <f>IF(I123&lt;=-1,1,IF(I123&lt;=5,2,IF(I123&lt;=15,3,IF(H123&lt;=60,4))))</f>
        <v>3</v>
      </c>
      <c r="C123">
        <v>176206200</v>
      </c>
      <c r="D123" t="str">
        <v xml:space="preserve">Seguridad social </v>
      </c>
      <c r="E123">
        <v>485971400</v>
      </c>
      <c r="F123">
        <v>46002</v>
      </c>
      <c r="G123" t="str">
        <v>Cancelado</v>
      </c>
      <c r="H123">
        <f>IF(OR(G123="Sin pagar",G123="Pagar"),NETWORKDAYS($J$113,F123,'Festivos Colombia'!$A$3:$A$22),0)</f>
        <v>0</v>
      </c>
      <c r="I123">
        <f>NETWORKDAYS($J$113,F123,'Festivos Colombia'!$A$3:$A$22)</f>
        <v>9</v>
      </c>
      <c r="J123">
        <f>H123</f>
        <v>0</v>
      </c>
    </row>
    <row r="124">
      <c r="A124" t="str">
        <f>G124</f>
        <v>Cancelado</v>
      </c>
      <c r="B124">
        <f>IF(I124&lt;=-1,1,IF(I124&lt;=5,2,IF(I124&lt;=15,3,IF(H124&lt;=60,4))))</f>
        <v>3</v>
      </c>
      <c r="C124">
        <v>176206200</v>
      </c>
      <c r="D124" t="str">
        <v>Seguridad social -K</v>
      </c>
      <c r="E124">
        <v>7500</v>
      </c>
      <c r="F124">
        <v>46002</v>
      </c>
      <c r="G124" t="str">
        <v>Cancelado</v>
      </c>
      <c r="H124">
        <f>IF(OR(G124="Sin pagar",G124="Pagar"),NETWORKDAYS($J$113,F124,'Festivos Colombia'!$A$3:$A$22),0)</f>
        <v>0</v>
      </c>
      <c r="I124">
        <f>NETWORKDAYS($J$113,F124,'Festivos Colombia'!$A$3:$A$22)</f>
        <v>9</v>
      </c>
      <c r="J124">
        <f>H124</f>
        <v>0</v>
      </c>
    </row>
    <row r="125">
      <c r="A125" t="str">
        <f>G125</f>
        <v>Cancelado</v>
      </c>
      <c r="B125">
        <f>IF(I125&lt;=-1,1,IF(I125&lt;=5,2,IF(I125&lt;=15,3,IF(H125&lt;=60,4))))</f>
        <v>4</v>
      </c>
      <c r="C125">
        <v>176206200</v>
      </c>
      <c r="D125" t="str">
        <v xml:space="preserve">Seguridad social  Dream Tyme resort </v>
      </c>
      <c r="E125">
        <f>3999300*0</f>
        <v>0</v>
      </c>
      <c r="F125">
        <v>46021</v>
      </c>
      <c r="G125" t="str">
        <v>Cancelado</v>
      </c>
      <c r="H125">
        <f>IF(OR(G125="Sin pagar",G125="Pagar"),NETWORKDAYS($J$113,F125,'Festivos Colombia'!$A$3:$A$22),0)</f>
        <v>0</v>
      </c>
      <c r="I125">
        <f>NETWORKDAYS($J$113,F125,'Festivos Colombia'!$A$3:$A$22)</f>
        <v>22</v>
      </c>
      <c r="J125">
        <f>H125</f>
        <v>0</v>
      </c>
    </row>
    <row r="126">
      <c r="D126" t="str">
        <v>AFC´S</v>
      </c>
      <c r="E126">
        <f>SUBTOTAL(9,E127:E129)</f>
        <v>18358500</v>
      </c>
    </row>
    <row r="127">
      <c r="A127" t="str">
        <f>G127</f>
        <v>Cancelado</v>
      </c>
      <c r="B127">
        <f>IF(I127&lt;=-1,1,IF(I127&lt;=5,2,IF(I127&lt;=15,3,IF(H127&lt;=60,4))))</f>
        <v>4</v>
      </c>
      <c r="D127" t="str">
        <v xml:space="preserve">AFC Dafuturo cheque </v>
      </c>
      <c r="E127">
        <v>1000000</v>
      </c>
      <c r="F127">
        <v>46020</v>
      </c>
      <c r="G127" t="str">
        <v>Cancelado</v>
      </c>
      <c r="H127">
        <f>IF(OR(G127="Sin pagar",G127="Pagar"),NETWORKDAYS($J$113,F127,'Festivos Colombia'!$A$3:$A$22),0)</f>
        <v>0</v>
      </c>
      <c r="I127">
        <f>NETWORKDAYS($J$113,F127,'Festivos Colombia'!$A$3:$A$22)</f>
        <v>21</v>
      </c>
      <c r="J127">
        <f>H127</f>
        <v>0</v>
      </c>
    </row>
    <row r="128">
      <c r="A128" t="str">
        <f>G128</f>
        <v>Cancelado</v>
      </c>
      <c r="B128">
        <f>IF(I128&lt;=-1,1,IF(I128&lt;=5,2,IF(I128&lt;=15,3,IF(H128&lt;=60,4))))</f>
        <v>4</v>
      </c>
      <c r="D128" t="str">
        <v xml:space="preserve">AFC OER electronico </v>
      </c>
      <c r="E128">
        <v>15159000</v>
      </c>
      <c r="F128">
        <v>46017</v>
      </c>
      <c r="G128" t="str">
        <v>Cancelado</v>
      </c>
      <c r="H128">
        <f>IF(OR(G128="Sin pagar",G128="Pagar"),NETWORKDAYS($J$113,F128,'Festivos Colombia'!$A$3:$A$22),0)</f>
        <v>0</v>
      </c>
      <c r="I128">
        <f>NETWORKDAYS($J$113,F128,'Festivos Colombia'!$A$3:$A$22)</f>
        <v>20</v>
      </c>
      <c r="J128">
        <f>H128</f>
        <v>0</v>
      </c>
    </row>
    <row r="129">
      <c r="A129" t="str">
        <f>G129</f>
        <v>Cancelado</v>
      </c>
      <c r="B129">
        <f>IF(I129&lt;=-1,1,IF(I129&lt;=5,2,IF(I129&lt;=15,3,IF(H129&lt;=60,4))))</f>
        <v>4</v>
      </c>
      <c r="D129" t="str">
        <v xml:space="preserve">AFC Edward Forero electronico </v>
      </c>
      <c r="E129">
        <v>2199500</v>
      </c>
      <c r="F129">
        <v>46017</v>
      </c>
      <c r="G129" t="str">
        <v>Cancelado</v>
      </c>
      <c r="H129">
        <f>IF(OR(G129="Sin pagar",G129="Pagar"),NETWORKDAYS($J$113,F129,'Festivos Colombia'!$A$3:$A$22),0)</f>
        <v>0</v>
      </c>
      <c r="I129">
        <f>NETWORKDAYS($J$113,F129,'Festivos Colombia'!$A$3:$A$22)</f>
        <v>20</v>
      </c>
      <c r="J129">
        <f>H129</f>
        <v>0</v>
      </c>
    </row>
    <row r="130">
      <c r="D130" t="str">
        <v xml:space="preserve">IMPUESTOS </v>
      </c>
      <c r="E130">
        <f>SUBTOTAL(9,E131:E132)</f>
        <v>145791000</v>
      </c>
      <c r="J130">
        <f>H130</f>
        <v>0</v>
      </c>
    </row>
    <row r="131">
      <c r="A131" t="str">
        <f>G131</f>
        <v>Cancelado</v>
      </c>
      <c r="B131">
        <f>IF(I131&lt;=-1,1,IF(I131&lt;=5,2,IF(I131&lt;=15,3,IF(H131&lt;=60,4))))</f>
        <v>3</v>
      </c>
      <c r="D131" t="str">
        <v xml:space="preserve">RETENCIÓN EN LA FUENTE </v>
      </c>
      <c r="E131">
        <v>145619000</v>
      </c>
      <c r="F131">
        <v>46007</v>
      </c>
      <c r="G131" t="str">
        <v>Cancelado</v>
      </c>
      <c r="H131">
        <f>IF(OR(G131="Sin pagar",G131="Pagar"),NETWORKDAYS($J$113,F131,'Festivos Colombia'!$A$3:$A$22),0)</f>
        <v>0</v>
      </c>
      <c r="I131">
        <f>NETWORKDAYS($J$113,F131,'Festivos Colombia'!$A$3:$A$22)</f>
        <v>12</v>
      </c>
      <c r="J131">
        <f>H131</f>
        <v>0</v>
      </c>
    </row>
    <row r="132">
      <c r="D132" t="str">
        <v>Retención de IVA</v>
      </c>
      <c r="E132">
        <v>172000</v>
      </c>
      <c r="F132">
        <v>46007</v>
      </c>
      <c r="G132" t="str">
        <v>Cancelado</v>
      </c>
      <c r="H132">
        <f>IF(OR(G132="Sin pagar",G132="Pagar"),NETWORKDAYS($J$113,F132,'Festivos Colombia'!$A$3:$A$22),0)</f>
        <v>0</v>
      </c>
      <c r="I132">
        <f>NETWORKDAYS($J$113,F132,'Festivos Colombia'!$A$3:$A$22)</f>
        <v>12</v>
      </c>
      <c r="J132">
        <f>H132</f>
        <v>0</v>
      </c>
    </row>
    <row r="133">
      <c r="D133" t="str">
        <v>ARRIENDO, INTERNET, TELEFONIA Y GASTOS DE OFICINA</v>
      </c>
      <c r="E133">
        <f>SUBTOTAL(9,E134:E150)</f>
        <v>8068546.45</v>
      </c>
      <c r="J133">
        <f>H133</f>
        <v>0</v>
      </c>
    </row>
    <row r="134">
      <c r="A134" t="str">
        <f>G134</f>
        <v>Cancelado</v>
      </c>
      <c r="B134">
        <f>IF(I134&lt;=-1,1,IF(I134&lt;=5,2,IF(I134&lt;=15,3,IF(H134&lt;=60,4))))</f>
        <v>2</v>
      </c>
      <c r="C134">
        <v>189</v>
      </c>
      <c r="D134" t="str">
        <v>Reembolso caja menor</v>
      </c>
      <c r="E134">
        <f>140000</f>
        <v>140000</v>
      </c>
      <c r="F134">
        <v>45994</v>
      </c>
      <c r="G134" t="str">
        <v>Cancelado</v>
      </c>
      <c r="H134">
        <f>IF(OR(G134="Sin pagar",G134="Pagar"),NETWORKDAYS($J$113,F134,'Festivos Colombia'!$A$3:$A$22),0)</f>
        <v>0</v>
      </c>
      <c r="I134">
        <f>NETWORKDAYS($J$113,F134,'Festivos Colombia'!$A$3:$A$22)</f>
        <v>3</v>
      </c>
      <c r="J134">
        <f>H134</f>
        <v>0</v>
      </c>
    </row>
    <row r="135">
      <c r="A135" t="str">
        <f>G135</f>
        <v>Cancelado</v>
      </c>
      <c r="B135">
        <f>IF(I135&lt;=-1,1,IF(I135&lt;=5,2,IF(I135&lt;=15,3,IF(H135&lt;=60,4))))</f>
        <v>2</v>
      </c>
      <c r="C135" t="str">
        <v>FE-51380</v>
      </c>
      <c r="D135" t="str">
        <v>BUK colombia SAS-Sucricpión Noviembre</v>
      </c>
      <c r="E135">
        <f>1178285.75</f>
        <v>1178285.75</v>
      </c>
      <c r="F135">
        <v>45995</v>
      </c>
      <c r="G135" t="str">
        <v>Cancelado</v>
      </c>
      <c r="H135">
        <f>IF(OR(G135="Sin pagar",G135="Pagar"),NETWORKDAYS($J$113,F135,'Festivos Colombia'!$A$3:$A$22),0)</f>
        <v>0</v>
      </c>
      <c r="I135">
        <f>NETWORKDAYS($J$113,F135,'Festivos Colombia'!$A$3:$A$22)</f>
        <v>4</v>
      </c>
      <c r="J135">
        <f>H135</f>
        <v>0</v>
      </c>
    </row>
    <row r="136">
      <c r="A136" t="str">
        <f>G136</f>
        <v>Cancelado</v>
      </c>
      <c r="B136">
        <f>IF(I136&lt;=-1,1,IF(I136&lt;=5,2,IF(I136&lt;=15,3,IF(H136&lt;=60,4))))</f>
        <v>2</v>
      </c>
      <c r="C136">
        <v>31</v>
      </c>
      <c r="D136" t="str">
        <v>Dario Mendez</v>
      </c>
      <c r="E136">
        <v>815000</v>
      </c>
      <c r="F136">
        <v>45995</v>
      </c>
      <c r="G136" t="str">
        <v>Cancelado</v>
      </c>
      <c r="H136">
        <f>IF(OR(G136="Sin pagar",G136="Pagar"),NETWORKDAYS($J$113,F136,'Festivos Colombia'!$A$3:$A$22),0)</f>
        <v>0</v>
      </c>
      <c r="I136">
        <f>NETWORKDAYS($J$113,F136,'Festivos Colombia'!$A$3:$A$22)</f>
        <v>4</v>
      </c>
      <c r="J136">
        <f>H136</f>
        <v>0</v>
      </c>
    </row>
    <row r="137">
      <c r="A137" t="str">
        <f>G137</f>
        <v>Cancelado</v>
      </c>
      <c r="B137">
        <f>IF(I137&lt;=-1,1,IF(I137&lt;=5,2,IF(I137&lt;=15,3,IF(H137&lt;=60,4))))</f>
        <v>2</v>
      </c>
      <c r="C137" t="str">
        <v>FV-2-6278</v>
      </c>
      <c r="D137" t="str">
        <v>WORKPLACE SOLUTIONS GROUP SAS (SPACIO)</v>
      </c>
      <c r="E137">
        <f>313593.5</f>
        <v>313593.5</v>
      </c>
      <c r="F137">
        <v>45995</v>
      </c>
      <c r="G137" t="str">
        <v>Cancelado</v>
      </c>
      <c r="H137">
        <f>IF(OR(G137="Sin pagar",G137="Pagar"),NETWORKDAYS($J$113,F137,'Festivos Colombia'!$A$3:$A$22),0)</f>
        <v>0</v>
      </c>
      <c r="I137">
        <f>NETWORKDAYS($J$113,F137,'Festivos Colombia'!$A$3:$A$22)</f>
        <v>4</v>
      </c>
      <c r="J137">
        <f>H137</f>
        <v>0</v>
      </c>
    </row>
    <row r="138">
      <c r="A138" t="str">
        <f>G138</f>
        <v>Cancelado</v>
      </c>
      <c r="B138">
        <f>IF(I138&lt;=-1,1,IF(I138&lt;=5,2,IF(I138&lt;=15,3,IF(H138&lt;=60,4))))</f>
        <v>3</v>
      </c>
      <c r="C138" t="str">
        <v>580831386734</v>
      </c>
      <c r="D138" t="str">
        <v>Movistar Office 365</v>
      </c>
      <c r="E138">
        <v>359333</v>
      </c>
      <c r="F138">
        <v>46001</v>
      </c>
      <c r="G138" t="str">
        <v>Cancelado</v>
      </c>
      <c r="H138">
        <f>IF(OR(G138="Sin pagar",G138="Pagar"),NETWORKDAYS($J$113,F138,'Festivos Colombia'!$A$3:$A$22),0)</f>
        <v>0</v>
      </c>
      <c r="I138">
        <f>NETWORKDAYS($J$113,F138,'Festivos Colombia'!$A$3:$A$22)</f>
        <v>8</v>
      </c>
      <c r="J138">
        <f>H138</f>
        <v>0</v>
      </c>
      <c r="K138" t="str">
        <v xml:space="preserve">Pendiente por conseguir factura </v>
      </c>
    </row>
    <row r="139">
      <c r="A139" t="str">
        <f>G139</f>
        <v>Cancelado</v>
      </c>
      <c r="B139">
        <f>IF(I139&lt;=-1,1,IF(I139&lt;=5,2,IF(I139&lt;=15,3,IF(H139&lt;=60,4))))</f>
        <v>3</v>
      </c>
      <c r="C139" t="str">
        <v>FV-2-6355</v>
      </c>
      <c r="D139" t="str">
        <v>WORKPLACE SOLUTIONS GROUP SAS (SPACIO)</v>
      </c>
      <c r="E139">
        <v>376312.2</v>
      </c>
      <c r="F139">
        <v>46007</v>
      </c>
      <c r="G139" t="str">
        <v>Cancelado</v>
      </c>
      <c r="H139">
        <f>IF(OR(G139="Sin pagar",G139="Pagar"),NETWORKDAYS($J$113,F139,'Festivos Colombia'!$A$3:$A$22),0)</f>
        <v>0</v>
      </c>
      <c r="I139">
        <f>NETWORKDAYS($J$113,F139,'Festivos Colombia'!$A$3:$A$22)</f>
        <v>12</v>
      </c>
      <c r="J139">
        <f>H139</f>
        <v>0</v>
      </c>
    </row>
    <row r="140">
      <c r="A140" t="str">
        <f>G140</f>
        <v>Cancelado</v>
      </c>
      <c r="B140">
        <f>IF(I140&lt;=-1,1,IF(I140&lt;=5,2,IF(I140&lt;=15,3,IF(H140&lt;=60,4))))</f>
        <v>3</v>
      </c>
      <c r="C140">
        <v>61</v>
      </c>
      <c r="D140" t="str">
        <v>Rafael Mier (arriendo Bodega para S&amp;P)</v>
      </c>
      <c r="E140">
        <v>180000</v>
      </c>
      <c r="F140">
        <v>46010</v>
      </c>
      <c r="G140" t="str">
        <v>Cancelado</v>
      </c>
      <c r="H140">
        <f>IF(OR(G140="Sin pagar",G140="Pagar"),NETWORKDAYS($J$113,F140,'Festivos Colombia'!$A$3:$A$22),0)</f>
        <v>0</v>
      </c>
      <c r="I140">
        <f>NETWORKDAYS($J$113,F140,'Festivos Colombia'!$A$3:$A$22)</f>
        <v>15</v>
      </c>
      <c r="J140">
        <f>H140</f>
        <v>0</v>
      </c>
    </row>
    <row r="141">
      <c r="A141" t="str">
        <f>G141</f>
        <v>Cancelado</v>
      </c>
      <c r="B141">
        <f>IF(I141&lt;=-1,1,IF(I141&lt;=5,2,IF(I141&lt;=15,3,IF(H141&lt;=60,4))))</f>
        <v>3</v>
      </c>
      <c r="C141">
        <v>1</v>
      </c>
      <c r="D141" t="str">
        <v xml:space="preserve">Giovanna Guio-Reembolso de gastos </v>
      </c>
      <c r="E141">
        <v>706000</v>
      </c>
      <c r="F141">
        <v>46007</v>
      </c>
      <c r="G141" t="str">
        <v>Cancelado</v>
      </c>
      <c r="H141">
        <f>IF(OR(G141="Sin pagar",G141="Pagar"),NETWORKDAYS($J$113,F141,'Festivos Colombia'!$A$3:$A$22),0)</f>
        <v>0</v>
      </c>
      <c r="I141">
        <f>NETWORKDAYS($J$113,F141,'Festivos Colombia'!$A$3:$A$22)</f>
        <v>12</v>
      </c>
      <c r="J141">
        <f>H141</f>
        <v>0</v>
      </c>
    </row>
    <row r="142">
      <c r="A142" t="str">
        <f>G142</f>
        <v>Cancelado</v>
      </c>
      <c r="B142">
        <f>IF(I142&lt;=-1,1,IF(I142&lt;=5,2,IF(I142&lt;=15,3,IF(H142&lt;=60,4))))</f>
        <v>3</v>
      </c>
      <c r="C142">
        <v>26558</v>
      </c>
      <c r="D142" t="str">
        <v>Parking remofirst</v>
      </c>
      <c r="E142">
        <v>896050</v>
      </c>
      <c r="F142">
        <v>46007</v>
      </c>
      <c r="G142" t="str">
        <v>Cancelado</v>
      </c>
      <c r="H142">
        <f>IF(OR(G142="Sin pagar",G142="Pagar"),NETWORKDAYS($J$113,F142,'Festivos Colombia'!$A$3:$A$22),0)</f>
        <v>0</v>
      </c>
      <c r="I142">
        <f>NETWORKDAYS($J$113,F142,'Festivos Colombia'!$A$3:$A$22)</f>
        <v>12</v>
      </c>
      <c r="J142">
        <f>H142</f>
        <v>0</v>
      </c>
    </row>
    <row r="143">
      <c r="A143" t="str">
        <f>G143</f>
        <v>Cancelado</v>
      </c>
      <c r="B143">
        <f>IF(I143&lt;=-1,1,IF(I143&lt;=5,2,IF(I143&lt;=15,3,IF(H143&lt;=60,4))))</f>
        <v>3</v>
      </c>
      <c r="C143" t="str">
        <v>EMPR56826</v>
      </c>
      <c r="D143" t="str">
        <v>Bienestar a la carta compensar mes de Septiembre</v>
      </c>
      <c r="E143">
        <v>50000</v>
      </c>
      <c r="F143">
        <v>46010</v>
      </c>
      <c r="G143" t="str">
        <v>Cancelado</v>
      </c>
      <c r="H143">
        <f>IF(OR(G143="Sin pagar",G143="Pagar"),NETWORKDAYS($J$113,F143,'Festivos Colombia'!$A$3:$A$22),0)</f>
        <v>0</v>
      </c>
      <c r="I143">
        <f>NETWORKDAYS($J$113,F143,'Festivos Colombia'!$A$3:$A$22)</f>
        <v>15</v>
      </c>
      <c r="J143">
        <f>H143</f>
        <v>0</v>
      </c>
    </row>
    <row r="144">
      <c r="A144" t="str">
        <f>G144</f>
        <v>Cancelado</v>
      </c>
      <c r="B144">
        <f>IF(I144&lt;=-1,1,IF(I144&lt;=5,2,IF(I144&lt;=15,3,IF(H144&lt;=60,4))))</f>
        <v>3</v>
      </c>
      <c r="C144" t="str">
        <v>EMPR57401</v>
      </c>
      <c r="D144" t="str">
        <v>Bienestar a la carta compensar mes de octubre</v>
      </c>
      <c r="E144">
        <f>44200</f>
        <v>44200</v>
      </c>
      <c r="F144">
        <v>46010</v>
      </c>
      <c r="G144" t="str">
        <v>Cancelado</v>
      </c>
      <c r="H144">
        <f>IF(OR(G144="Sin pagar",G144="Pagar"),NETWORKDAYS($J$113,F144,'Festivos Colombia'!$A$3:$A$22),0)</f>
        <v>0</v>
      </c>
      <c r="I144">
        <f>NETWORKDAYS($J$113,F144,'Festivos Colombia'!$A$3:$A$22)</f>
        <v>15</v>
      </c>
      <c r="J144">
        <f>H144</f>
        <v>0</v>
      </c>
    </row>
    <row r="145">
      <c r="A145" t="str">
        <f>G145</f>
        <v>Cancelado</v>
      </c>
      <c r="B145">
        <f>IF(I145&lt;=-1,1,IF(I145&lt;=5,2,IF(I145&lt;=15,3,IF(H145&lt;=60,4))))</f>
        <v>4</v>
      </c>
      <c r="C145" t="str">
        <v>003 - 292423302</v>
      </c>
      <c r="D145" t="str">
        <v>Claro Office 365</v>
      </c>
      <c r="E145">
        <v>1359863</v>
      </c>
      <c r="F145">
        <v>46013</v>
      </c>
      <c r="G145" t="str">
        <v>Cancelado</v>
      </c>
      <c r="H145">
        <f>IF(OR(G145="Sin pagar",G145="Pagar"),NETWORKDAYS($J$113,F145,'Festivos Colombia'!$A$3:$A$22),0)</f>
        <v>0</v>
      </c>
      <c r="I145">
        <f>NETWORKDAYS($J$113,F145,'Festivos Colombia'!$A$3:$A$22)</f>
        <v>16</v>
      </c>
      <c r="J145">
        <f>H145</f>
        <v>0</v>
      </c>
    </row>
    <row r="146">
      <c r="A146" t="str">
        <f>G146</f>
        <v>Cancelado</v>
      </c>
      <c r="B146">
        <f>IF(I146&lt;=-1,1,IF(I146&lt;=5,2,IF(I146&lt;=15,3,IF(H146&lt;=60,4))))</f>
        <v>4</v>
      </c>
      <c r="C146" t="str">
        <v>E6006315618</v>
      </c>
      <c r="D146" t="str">
        <v xml:space="preserve">Claro-Telefonia </v>
      </c>
      <c r="E146">
        <v>793271</v>
      </c>
      <c r="F146">
        <v>46014</v>
      </c>
      <c r="G146" t="str">
        <v>Cancelado</v>
      </c>
      <c r="H146">
        <f>IF(OR(G146="Sin pagar",G146="Pagar"),NETWORKDAYS($J$113,F146,'Festivos Colombia'!$A$3:$A$22),0)</f>
        <v>0</v>
      </c>
      <c r="I146">
        <f>NETWORKDAYS($J$113,F146,'Festivos Colombia'!$A$3:$A$22)</f>
        <v>17</v>
      </c>
      <c r="J146">
        <f>H146</f>
        <v>0</v>
      </c>
    </row>
    <row r="147">
      <c r="A147" t="str">
        <f>G147</f>
        <v>Cancelado</v>
      </c>
      <c r="B147">
        <f>IF(I147&lt;=-1,1,IF(I147&lt;=5,2,IF(I147&lt;=15,3,IF(H147&lt;=60,4))))</f>
        <v>4</v>
      </c>
      <c r="C147" t="str">
        <v>BEC492415026</v>
      </c>
      <c r="D147" t="str">
        <v>Movistar telefonía</v>
      </c>
      <c r="E147">
        <v>856638</v>
      </c>
      <c r="F147">
        <v>46020</v>
      </c>
      <c r="G147" t="str">
        <v>Cancelado</v>
      </c>
      <c r="H147">
        <f>IF(OR(G147="Sin pagar",G147="Pagar"),NETWORKDAYS($J$113,F147,'Festivos Colombia'!$A$3:$A$22),0)</f>
        <v>0</v>
      </c>
      <c r="I147">
        <f>NETWORKDAYS($J$113,F147,'Festivos Colombia'!$A$3:$A$22)</f>
        <v>21</v>
      </c>
      <c r="J147">
        <f>H147</f>
        <v>0</v>
      </c>
      <c r="K147" t="str">
        <v>Sin radicar</v>
      </c>
    </row>
    <row r="148">
      <c r="A148" t="str">
        <f>G148</f>
        <v>Cancelado</v>
      </c>
      <c r="B148">
        <f>IF(I148&lt;=-1,1,IF(I148&lt;=5,2,IF(I148&lt;=15,3,IF(H148&lt;=60,4))))</f>
        <v>4</v>
      </c>
      <c r="C148">
        <v>16</v>
      </c>
      <c r="D148" t="str">
        <v>Edgar Rafael Obrador Borja</v>
      </c>
      <c r="E148">
        <f>1015098.5*0</f>
        <v>0</v>
      </c>
      <c r="F148">
        <v>46020</v>
      </c>
      <c r="G148" t="str">
        <v>Cancelado</v>
      </c>
      <c r="H148">
        <f>IF(OR(G148="Sin pagar",G148="Pagar"),NETWORKDAYS($J$113,F148,'Festivos Colombia'!$A$3:$A$22),0)</f>
        <v>0</v>
      </c>
      <c r="I148">
        <f>NETWORKDAYS($J$113,F148,'Festivos Colombia'!$A$3:$A$22)</f>
        <v>21</v>
      </c>
      <c r="J148">
        <f>H148</f>
        <v>0</v>
      </c>
    </row>
    <row r="149">
      <c r="A149" t="str">
        <f>G149</f>
        <v>Sin Pagar</v>
      </c>
      <c r="B149">
        <f>IF(I149&lt;=-1,1,IF(I149&lt;=5,2,IF(I149&lt;=15,3,IF(H149&lt;=60,4))))</f>
        <v>4</v>
      </c>
      <c r="C149" t="str">
        <v>FE-53980</v>
      </c>
      <c r="D149" t="str">
        <v>BUK colombia SAS-Sucricpión Diciembre</v>
      </c>
      <c r="E149">
        <f>1178285.75*0</f>
        <v>0</v>
      </c>
      <c r="F149">
        <v>46031</v>
      </c>
      <c r="G149" t="str">
        <v>Sin Pagar</v>
      </c>
      <c r="H149">
        <f>IF(OR(G149="Sin pagar",G149="Pagar"),NETWORKDAYS($J$113,F149,'Festivos Colombia'!$A$3:$A$22),0)</f>
        <v>29</v>
      </c>
      <c r="I149">
        <f>NETWORKDAYS($J$113,F149,'Festivos Colombia'!$A$3:$A$22)</f>
        <v>29</v>
      </c>
      <c r="J149">
        <f>H149</f>
        <v>29</v>
      </c>
    </row>
    <row r="150">
      <c r="A150" t="str">
        <f>G150</f>
        <v>Sin Pagar</v>
      </c>
      <c r="B150">
        <f>IF(I150&lt;=-1,1,IF(I150&lt;=5,2,IF(I150&lt;=15,3,IF(H150&lt;=60,4))))</f>
        <v>4</v>
      </c>
      <c r="C150" t="str">
        <v>EMPR60241</v>
      </c>
      <c r="D150" t="str">
        <v>Bienestar a la carta compensar mes de octubre</v>
      </c>
      <c r="E150">
        <f>150000*0</f>
        <v>0</v>
      </c>
      <c r="F150">
        <v>46038</v>
      </c>
      <c r="G150" t="str">
        <v>Sin Pagar</v>
      </c>
      <c r="H150">
        <f>IF(OR(G150="Sin pagar",G150="Pagar"),NETWORKDAYS($J$113,F150,'Festivos Colombia'!$A$3:$A$22),0)</f>
        <v>33</v>
      </c>
      <c r="I150">
        <f>NETWORKDAYS($J$113,F150,'Festivos Colombia'!$A$3:$A$22)</f>
        <v>33</v>
      </c>
      <c r="J150">
        <f>H150</f>
        <v>33</v>
      </c>
    </row>
    <row r="151">
      <c r="D151" t="str">
        <v>PLANES COMPLEMENTARIOS Y PREPAGADAS</v>
      </c>
      <c r="E151">
        <f>SUBTOTAL(9,E152:E154)</f>
        <v>525000</v>
      </c>
    </row>
    <row r="152">
      <c r="A152" t="str">
        <f>G152</f>
        <v>Cancelado</v>
      </c>
      <c r="B152">
        <f>IF(I152&lt;=-1,1,IF(I152&lt;=5,2,IF(I152&lt;=15,3,IF(H152&lt;=60,4))))</f>
        <v>2</v>
      </c>
      <c r="C152" t="str">
        <v>SD0116829489</v>
      </c>
      <c r="D152" t="str">
        <v>Plan complementario Eduard Forero</v>
      </c>
      <c r="E152">
        <f>525000</f>
        <v>525000</v>
      </c>
      <c r="F152">
        <v>45995</v>
      </c>
      <c r="G152" t="str">
        <v>Cancelado</v>
      </c>
      <c r="H152">
        <f>IF(OR(G152="Sin pagar",G152="Pagar"),NETWORKDAYS($J$113,F152,'Festivos Colombia'!$A$3:$A$22),0)</f>
        <v>0</v>
      </c>
      <c r="I152">
        <f>NETWORKDAYS($J$113,F152,'Festivos Colombia'!$A$3:$A$22)</f>
        <v>4</v>
      </c>
      <c r="J152">
        <f>H152</f>
        <v>0</v>
      </c>
    </row>
    <row r="153">
      <c r="A153" t="str">
        <f>G153</f>
        <v>Sin Pagar</v>
      </c>
      <c r="B153">
        <f>IF(I153&lt;=-1,1,IF(I153&lt;=5,2,IF(I153&lt;=15,3,IF(H153&lt;=60,4))))</f>
        <v>4</v>
      </c>
      <c r="C153" t="str">
        <v>219912137138</v>
      </c>
      <c r="D153" t="str">
        <v>Plan complementario Ricardo Arambulo</v>
      </c>
      <c r="E153">
        <f>804056*0</f>
        <v>0</v>
      </c>
      <c r="F153">
        <v>46024</v>
      </c>
      <c r="G153" t="str">
        <v>Sin Pagar</v>
      </c>
      <c r="H153">
        <f>IF(OR(G153="Sin pagar",G153="Pagar"),NETWORKDAYS($J$113,F153,'Festivos Colombia'!$A$3:$A$22),0)</f>
        <v>24</v>
      </c>
      <c r="I153">
        <f>NETWORKDAYS($J$113,F153,'Festivos Colombia'!$A$3:$A$22)</f>
        <v>24</v>
      </c>
      <c r="J153">
        <f>H153</f>
        <v>24</v>
      </c>
    </row>
    <row r="154">
      <c r="A154" t="str">
        <f>G154</f>
        <v>Sin Pagar</v>
      </c>
      <c r="B154">
        <f>IF(I154&lt;=-1,1,IF(I154&lt;=5,2,IF(I154&lt;=15,3,IF(H154&lt;=60,4))))</f>
        <v>4</v>
      </c>
      <c r="C154" t="str">
        <v>SD0117095702</v>
      </c>
      <c r="D154" t="str">
        <v>Plan complementario Eduard Forero</v>
      </c>
      <c r="E154">
        <f>627000*0</f>
        <v>0</v>
      </c>
      <c r="F154">
        <v>46031</v>
      </c>
      <c r="G154" t="str">
        <v>Sin Pagar</v>
      </c>
      <c r="H154">
        <f>IF(OR(G154="Sin pagar",G154="Pagar"),NETWORKDAYS($J$113,F154,'Festivos Colombia'!$A$3:$A$22),0)</f>
        <v>29</v>
      </c>
      <c r="I154">
        <f>NETWORKDAYS($J$113,F154,'Festivos Colombia'!$A$3:$A$22)</f>
        <v>29</v>
      </c>
      <c r="J154">
        <f>H154</f>
        <v>29</v>
      </c>
    </row>
    <row r="155">
      <c r="D155" t="str">
        <v>PÓLIZAS Y SEGUROS</v>
      </c>
      <c r="E155">
        <f>SUBTOTAL(9,E156:E158)</f>
        <v>8553217</v>
      </c>
    </row>
    <row r="156">
      <c r="A156" t="str">
        <f>G156</f>
        <v>Cancelado</v>
      </c>
      <c r="B156">
        <f>IF(I156&lt;=-1,1,IF(I156&lt;=5,2,IF(I156&lt;=15,3,IF(H156&lt;=60,4))))</f>
        <v>4</v>
      </c>
      <c r="C156">
        <v>20911202088</v>
      </c>
      <c r="D156" t="str">
        <v>Poliza Suramericana Póliza #  091000808492</v>
      </c>
      <c r="E156">
        <v>7725967</v>
      </c>
      <c r="F156">
        <v>46017</v>
      </c>
      <c r="G156" t="str">
        <v>Cancelado</v>
      </c>
      <c r="H156">
        <f>IF(OR(G156="Sin pagar",G156="Pagar"),NETWORKDAYS($J$113,F156,'Festivos Colombia'!$A$3:$A$22),0)</f>
        <v>0</v>
      </c>
      <c r="I156">
        <f>NETWORKDAYS($J$113,F156,'Festivos Colombia'!$A$3:$A$22)</f>
        <v>20</v>
      </c>
      <c r="J156">
        <f>H156</f>
        <v>0</v>
      </c>
    </row>
    <row r="157">
      <c r="A157" t="str">
        <f>G157</f>
        <v>Cancelado</v>
      </c>
      <c r="B157">
        <f>IF(I157&lt;=-1,1,IF(I157&lt;=5,2,IF(I157&lt;=15,3,IF(H157&lt;=60,4))))</f>
        <v>4</v>
      </c>
      <c r="C157">
        <v>20833317185</v>
      </c>
      <c r="D157" t="str">
        <v>Poliza Suramericana Póliza #  083004098664</v>
      </c>
      <c r="E157">
        <v>394705</v>
      </c>
      <c r="F157">
        <v>46017</v>
      </c>
      <c r="G157" t="str">
        <v>Cancelado</v>
      </c>
      <c r="H157">
        <f>IF(OR(G157="Sin pagar",G157="Pagar"),NETWORKDAYS($J$113,F157,'Festivos Colombia'!$A$3:$A$22),0)</f>
        <v>0</v>
      </c>
      <c r="I157">
        <f>NETWORKDAYS($J$113,F157,'Festivos Colombia'!$A$3:$A$22)</f>
        <v>20</v>
      </c>
      <c r="J157">
        <f>H157</f>
        <v>0</v>
      </c>
    </row>
    <row r="158">
      <c r="A158" t="str">
        <f>G158</f>
        <v>Cancelado</v>
      </c>
      <c r="B158">
        <f>IF(I158&lt;=-1,1,IF(I158&lt;=5,2,IF(I158&lt;=15,3,IF(H158&lt;=60,4))))</f>
        <v>4</v>
      </c>
      <c r="C158">
        <v>20911203020</v>
      </c>
      <c r="D158" t="str">
        <v>Poliza Suramericana Póliza #  091000808492</v>
      </c>
      <c r="E158">
        <v>432545</v>
      </c>
      <c r="F158">
        <v>46017</v>
      </c>
      <c r="G158" t="str">
        <v>Cancelado</v>
      </c>
      <c r="H158">
        <f>IF(OR(G158="Sin pagar",G158="Pagar"),NETWORKDAYS($J$113,F158,'Festivos Colombia'!$A$3:$A$22),0)</f>
        <v>0</v>
      </c>
      <c r="I158">
        <f>NETWORKDAYS($J$113,F158,'Festivos Colombia'!$A$3:$A$22)</f>
        <v>20</v>
      </c>
      <c r="J158">
        <f>H158</f>
        <v>0</v>
      </c>
    </row>
    <row r="159">
      <c r="D159" t="str">
        <v>SERVICIOS DE MENSAJERÍA</v>
      </c>
      <c r="E159">
        <f>SUBTOTAL(9,E160:E165)</f>
        <v>1046102</v>
      </c>
    </row>
    <row r="160">
      <c r="A160" t="str">
        <f>G160</f>
        <v>Cancelado</v>
      </c>
      <c r="B160">
        <f>IF(I160&lt;=-1,1,IF(I160&lt;=5,2,IF(I160&lt;=15,3,IF(H160&lt;=60,4))))</f>
        <v>2</v>
      </c>
      <c r="C160">
        <v>16</v>
      </c>
      <c r="D160" t="str">
        <v>Mundo express</v>
      </c>
      <c r="E160">
        <f>115000</f>
        <v>115000</v>
      </c>
      <c r="F160">
        <v>45995</v>
      </c>
      <c r="G160" t="str">
        <v>Cancelado</v>
      </c>
      <c r="H160">
        <f>IF(OR(G160="Sin pagar",G160="Pagar"),NETWORKDAYS($J$113,F160,'Festivos Colombia'!$A$3:$A$22),0)</f>
        <v>0</v>
      </c>
      <c r="I160">
        <f>NETWORKDAYS($J$113,F160,'Festivos Colombia'!$A$3:$A$22)</f>
        <v>4</v>
      </c>
      <c r="J160">
        <f>H160</f>
        <v>0</v>
      </c>
    </row>
    <row r="161">
      <c r="A161" t="str">
        <f>G161</f>
        <v>Cancelado</v>
      </c>
      <c r="B161">
        <f>IF(I161&lt;=-1,1,IF(I161&lt;=5,2,IF(I161&lt;=15,3,IF(H161&lt;=60,4))))</f>
        <v>3</v>
      </c>
      <c r="C161">
        <v>1</v>
      </c>
      <c r="D161" t="str">
        <v>Diana Marcela Hernandez</v>
      </c>
      <c r="E161">
        <v>297102</v>
      </c>
      <c r="F161">
        <v>46007</v>
      </c>
      <c r="G161" t="str">
        <v>Cancelado</v>
      </c>
      <c r="H161">
        <f>IF(OR(G161="Sin pagar",G161="Pagar"),NETWORKDAYS($J$113,F161,'Festivos Colombia'!$A$3:$A$22),0)</f>
        <v>0</v>
      </c>
      <c r="I161">
        <f>NETWORKDAYS($J$113,F161,'Festivos Colombia'!$A$3:$A$22)</f>
        <v>12</v>
      </c>
      <c r="J161">
        <f>H161</f>
        <v>0</v>
      </c>
    </row>
    <row r="162">
      <c r="A162" t="str">
        <f>G162</f>
        <v>Cancelado</v>
      </c>
      <c r="B162">
        <f>IF(I162&lt;=-1,1,IF(I162&lt;=5,2,IF(I162&lt;=15,3,IF(H162&lt;=60,4))))</f>
        <v>3</v>
      </c>
      <c r="C162">
        <v>49</v>
      </c>
      <c r="D162" t="str">
        <v>Yecid Martin</v>
      </c>
      <c r="E162">
        <v>148000</v>
      </c>
      <c r="F162">
        <v>46010</v>
      </c>
      <c r="G162" t="str">
        <v>Cancelado</v>
      </c>
      <c r="H162">
        <f>IF(OR(G162="Sin pagar",G162="Pagar"),NETWORKDAYS($J$113,F162,'Festivos Colombia'!$A$3:$A$22),0)</f>
        <v>0</v>
      </c>
      <c r="I162">
        <f>NETWORKDAYS($J$113,F162,'Festivos Colombia'!$A$3:$A$22)</f>
        <v>15</v>
      </c>
      <c r="J162">
        <f>H162</f>
        <v>0</v>
      </c>
    </row>
    <row r="163">
      <c r="A163" t="str">
        <f>G163</f>
        <v>Cancelado</v>
      </c>
      <c r="B163">
        <f>IF(I163&lt;=-1,1,IF(I163&lt;=5,2,IF(I163&lt;=15,3,IF(H163&lt;=60,4))))</f>
        <v>4</v>
      </c>
      <c r="C163">
        <v>50</v>
      </c>
      <c r="D163" t="str">
        <v>Yecid Martin</v>
      </c>
      <c r="E163">
        <v>200000</v>
      </c>
      <c r="F163">
        <v>46014</v>
      </c>
      <c r="G163" t="str">
        <v>Cancelado</v>
      </c>
      <c r="H163">
        <f>IF(OR(G163="Sin pagar",G163="Pagar"),NETWORKDAYS($J$113,F163,'Festivos Colombia'!$A$3:$A$22),0)</f>
        <v>0</v>
      </c>
      <c r="I163">
        <f>NETWORKDAYS($J$113,F163,'Festivos Colombia'!$A$3:$A$22)</f>
        <v>17</v>
      </c>
      <c r="J163">
        <f>H163</f>
        <v>0</v>
      </c>
    </row>
    <row r="164">
      <c r="A164" t="str">
        <f>G164</f>
        <v>Cancelado</v>
      </c>
      <c r="B164">
        <f>IF(I164&lt;=-1,1,IF(I164&lt;=5,2,IF(I164&lt;=15,3,IF(H164&lt;=60,4))))</f>
        <v>4</v>
      </c>
      <c r="C164">
        <v>51</v>
      </c>
      <c r="D164" t="str">
        <v>Yecid Martin</v>
      </c>
      <c r="E164">
        <v>166000</v>
      </c>
      <c r="F164">
        <v>46017</v>
      </c>
      <c r="G164" t="str">
        <v>Cancelado</v>
      </c>
      <c r="H164">
        <f>IF(OR(G164="Sin pagar",G164="Pagar"),NETWORKDAYS($J$113,F164,'Festivos Colombia'!$A$3:$A$22),0)</f>
        <v>0</v>
      </c>
      <c r="I164">
        <f>NETWORKDAYS($J$113,F164,'Festivos Colombia'!$A$3:$A$22)</f>
        <v>20</v>
      </c>
      <c r="J164">
        <f>H164</f>
        <v>0</v>
      </c>
    </row>
    <row r="165">
      <c r="A165" t="str">
        <f>G165</f>
        <v>Cancelado</v>
      </c>
      <c r="B165">
        <f>IF(I165&lt;=-1,1,IF(I165&lt;=5,2,IF(I165&lt;=15,3,IF(H165&lt;=60,4))))</f>
        <v>4</v>
      </c>
      <c r="C165">
        <v>52</v>
      </c>
      <c r="D165" t="str">
        <v>Yecid Martin</v>
      </c>
      <c r="E165">
        <v>120000</v>
      </c>
      <c r="F165">
        <v>46021</v>
      </c>
      <c r="G165" t="str">
        <v>Cancelado</v>
      </c>
      <c r="H165">
        <f>IF(OR(G165="Sin pagar",G165="Pagar"),NETWORKDAYS($J$113,F165,'Festivos Colombia'!$A$3:$A$22),0)</f>
        <v>0</v>
      </c>
      <c r="I165">
        <f>NETWORKDAYS($J$113,F165,'Festivos Colombia'!$A$3:$A$22)</f>
        <v>22</v>
      </c>
      <c r="J165">
        <f>H165</f>
        <v>0</v>
      </c>
    </row>
    <row r="166">
      <c r="D166" t="str">
        <v>REEMBOLSO SAIPEM</v>
      </c>
      <c r="E166">
        <f>SUBTOTAL(9,E167:E168)</f>
        <v>428600</v>
      </c>
    </row>
    <row r="167">
      <c r="D167" t="str">
        <v>Reembolso Augusto Sierra-Saipem</v>
      </c>
      <c r="E167">
        <v>368600</v>
      </c>
      <c r="F167">
        <v>46007</v>
      </c>
      <c r="G167" t="str">
        <v>Cancelado</v>
      </c>
      <c r="H167">
        <f>IF(OR(G167="Sin pagar",G167="Pagar"),NETWORKDAYS($J$113,F167,'Festivos Colombia'!$A$3:$A$22),0)</f>
        <v>0</v>
      </c>
      <c r="I167">
        <f>NETWORKDAYS($J$113,F167,'Festivos Colombia'!$A$3:$A$22)</f>
        <v>12</v>
      </c>
      <c r="J167">
        <f>H167</f>
        <v>0</v>
      </c>
    </row>
    <row r="168">
      <c r="D168" t="str">
        <v>Servicio de traducción</v>
      </c>
      <c r="E168">
        <v>60000</v>
      </c>
      <c r="F168">
        <v>46007</v>
      </c>
      <c r="G168" t="str">
        <v>Cancelado</v>
      </c>
      <c r="H168">
        <f>IF(OR(G168="Sin pagar",G168="Pagar"),NETWORKDAYS($J$113,F168,'Festivos Colombia'!$A$3:$A$22),0)</f>
        <v>0</v>
      </c>
      <c r="I168">
        <f>NETWORKDAYS($J$113,F168,'Festivos Colombia'!$A$3:$A$22)</f>
        <v>12</v>
      </c>
      <c r="J168">
        <f>H168</f>
        <v>0</v>
      </c>
    </row>
    <row r="169">
      <c r="D169" t="str">
        <v>EXAMENES MÉDICOS SAIPEM y OTROS</v>
      </c>
      <c r="E169">
        <f>SUBTOTAL(9,E170:E172)</f>
        <v>9861166</v>
      </c>
    </row>
    <row r="170">
      <c r="D170" t="str">
        <v>Examenes médicos de control personal Saipem</v>
      </c>
      <c r="E170">
        <v>6012906</v>
      </c>
      <c r="F170">
        <v>46002</v>
      </c>
      <c r="G170" t="str">
        <v>Cancelado</v>
      </c>
      <c r="H170">
        <f>IF(OR(G170="Sin pagar",G170="Pagar"),NETWORKDAYS($J$113,F170,'Festivos Colombia'!$A$3:$A$22),0)</f>
        <v>0</v>
      </c>
      <c r="I170">
        <f>NETWORKDAYS($J$113,F170,'Festivos Colombia'!$A$3:$A$22)</f>
        <v>9</v>
      </c>
      <c r="J170">
        <f>H170</f>
        <v>0</v>
      </c>
    </row>
    <row r="171">
      <c r="D171" t="str">
        <v>Examenes médicos de control Luis Angel Copete -  Saipem</v>
      </c>
      <c r="E171">
        <v>1843958</v>
      </c>
      <c r="F171">
        <v>46007</v>
      </c>
      <c r="G171" t="str">
        <v>Cancelado</v>
      </c>
      <c r="H171">
        <f>IF(OR(G171="Sin pagar",G171="Pagar"),NETWORKDAYS($J$113,F171,'Festivos Colombia'!$A$3:$A$22),0)</f>
        <v>0</v>
      </c>
      <c r="I171">
        <f>NETWORKDAYS($J$113,F171,'Festivos Colombia'!$A$3:$A$22)</f>
        <v>12</v>
      </c>
      <c r="J171">
        <f>H171</f>
        <v>0</v>
      </c>
    </row>
    <row r="172">
      <c r="D172" t="str">
        <v>Examenes médicos de control Armando de Jesus Hincapie -  Saipem</v>
      </c>
      <c r="E172">
        <v>2004302</v>
      </c>
      <c r="F172">
        <v>46024</v>
      </c>
      <c r="G172" t="str">
        <v>Cancelado</v>
      </c>
      <c r="H172">
        <f>IF(OR(G172="Sin pagar",G172="Pagar"),NETWORKDAYS($J$113,F172,'Festivos Colombia'!$A$3:$A$22),0)</f>
        <v>0</v>
      </c>
      <c r="I172">
        <f>NETWORKDAYS($J$113,F172,'Festivos Colombia'!$A$3:$A$22)</f>
        <v>24</v>
      </c>
      <c r="J172">
        <f>H172</f>
        <v>0</v>
      </c>
    </row>
    <row r="173">
      <c r="D173" t="str">
        <v>TIQUETES AÉREOS , HOTELES SAIPEM-AECID</v>
      </c>
      <c r="E173">
        <f>SUBTOTAL(9,E174:E181)</f>
        <v>14164743</v>
      </c>
    </row>
    <row r="174">
      <c r="D174" t="str">
        <v>Tiquete y hotel Sandra de los rios comision de servicio 10-11 Dic-AECID</v>
      </c>
      <c r="E174">
        <f>860538+560000</f>
        <v>1420538</v>
      </c>
      <c r="F174">
        <v>45995</v>
      </c>
      <c r="G174" t="str">
        <v>Cancelado</v>
      </c>
      <c r="H174">
        <f>IF(OR(G174="Sin pagar",G174="Pagar"),NETWORKDAYS($J$113,F174,'Festivos Colombia'!$A$3:$A$22),0)</f>
        <v>0</v>
      </c>
      <c r="I174">
        <f>NETWORKDAYS($J$113,F174,'Festivos Colombia'!$A$3:$A$22)</f>
        <v>4</v>
      </c>
      <c r="J174">
        <f>H174</f>
        <v>0</v>
      </c>
    </row>
    <row r="175">
      <c r="D175" t="str">
        <v>Tiquete y hotel mercedes Alvarez comision de servicio 9-11 Dic-AECID</v>
      </c>
      <c r="E175">
        <f>1164090+740000</f>
        <v>1904090</v>
      </c>
      <c r="F175">
        <v>45995</v>
      </c>
      <c r="G175" t="str">
        <v>Cancelado</v>
      </c>
      <c r="H175">
        <f>IF(OR(G175="Sin pagar",G175="Pagar"),NETWORKDAYS($J$113,F175,'Festivos Colombia'!$A$3:$A$22),0)</f>
        <v>0</v>
      </c>
      <c r="I175">
        <f>NETWORKDAYS($J$113,F175,'Festivos Colombia'!$A$3:$A$22)</f>
        <v>4</v>
      </c>
      <c r="J175">
        <f>H175</f>
        <v>0</v>
      </c>
    </row>
    <row r="176">
      <c r="D176" t="str">
        <v>Tiquete a montería Victor José Pérez Saipem</v>
      </c>
      <c r="E176">
        <v>837870</v>
      </c>
      <c r="F176">
        <v>46000</v>
      </c>
      <c r="G176" t="str">
        <v>Cancelado</v>
      </c>
      <c r="H176">
        <f>IF(OR(G176="Sin pagar",G176="Pagar"),NETWORKDAYS($J$113,F176,'Festivos Colombia'!$A$3:$A$22),0)</f>
        <v>0</v>
      </c>
      <c r="I176">
        <f>NETWORKDAYS($J$113,F176,'Festivos Colombia'!$A$3:$A$22)</f>
        <v>7</v>
      </c>
      <c r="J176">
        <f>H176</f>
        <v>0</v>
      </c>
    </row>
    <row r="177">
      <c r="D177" t="str">
        <v>Tiquetes monteria-bogotá y vsa junto Hoteles Victor José empleados de Saipem</v>
      </c>
      <c r="E177">
        <v>4392232</v>
      </c>
      <c r="F177">
        <v>46002</v>
      </c>
      <c r="G177" t="str">
        <v>Cancelado</v>
      </c>
      <c r="H177">
        <f>IF(OR(G177="Sin pagar",G177="Pagar"),NETWORKDAYS($J$113,F177,'Festivos Colombia'!$A$3:$A$22),0)</f>
        <v>0</v>
      </c>
      <c r="I177">
        <f>NETWORKDAYS($J$113,F177,'Festivos Colombia'!$A$3:$A$22)</f>
        <v>9</v>
      </c>
      <c r="J177">
        <f>H177</f>
        <v>0</v>
      </c>
    </row>
    <row r="178">
      <c r="D178" t="str">
        <v>Tiquetes monteria-bogotá y vsa junto Hoteles Luis Angel Copete - Saipem</v>
      </c>
      <c r="E178">
        <v>1675574</v>
      </c>
      <c r="F178">
        <v>46008</v>
      </c>
      <c r="G178" t="str">
        <v>Cancelado</v>
      </c>
    </row>
    <row r="179">
      <c r="D179" t="str">
        <v>Tiquetes monteria-bogotá y vsa junto Hoteles Luis Angel Copete - Saipem (cambio)</v>
      </c>
      <c r="E179">
        <v>1096264</v>
      </c>
      <c r="F179">
        <v>46013</v>
      </c>
      <c r="G179" t="str">
        <v>Cancelado</v>
      </c>
      <c r="H179">
        <f>IF(OR(G179="Sin pagar",G179="Pagar"),NETWORKDAYS($J$113,F179,'Festivos Colombia'!$A$3:$A$22),0)</f>
        <v>0</v>
      </c>
      <c r="I179">
        <f>NETWORKDAYS($J$113,F179,'Festivos Colombia'!$A$3:$A$22)</f>
        <v>16</v>
      </c>
      <c r="J179">
        <f>H179</f>
        <v>0</v>
      </c>
    </row>
    <row r="180">
      <c r="D180" t="str">
        <v xml:space="preserve">Tiquetes monteria-bogotá y vsa junto Hoteles Luis Angel Copete - Saipem </v>
      </c>
      <c r="E180">
        <v>1498325</v>
      </c>
      <c r="F180">
        <v>46021</v>
      </c>
      <c r="G180" t="str">
        <v>Cancelado</v>
      </c>
      <c r="H180">
        <f>IF(OR(G180="Sin pagar",G180="Pagar"),NETWORKDAYS($J$113,F180,'Festivos Colombia'!$A$3:$A$22),0)</f>
        <v>0</v>
      </c>
      <c r="I180">
        <f>NETWORKDAYS($J$113,F180,'Festivos Colombia'!$A$3:$A$22)</f>
        <v>22</v>
      </c>
      <c r="J180">
        <f>H180</f>
        <v>0</v>
      </c>
    </row>
    <row r="181">
      <c r="D181" t="str">
        <v xml:space="preserve">Tiquetes Medellin-bogotá y vsa junto Hoteles Armando Jesus Hincapie Vergara- Saipem </v>
      </c>
      <c r="E181">
        <v>1339850</v>
      </c>
      <c r="F181">
        <v>46027</v>
      </c>
      <c r="G181" t="str">
        <v>Cancelado</v>
      </c>
      <c r="H181">
        <f>IF(OR(G181="Sin pagar",G181="Pagar"),NETWORKDAYS($J$113,F181,'Festivos Colombia'!$A$3:$A$22),0)</f>
        <v>0</v>
      </c>
      <c r="I181">
        <f>NETWORKDAYS($J$113,F181,'Festivos Colombia'!$A$3:$A$22)</f>
        <v>25</v>
      </c>
      <c r="J181">
        <f>H181</f>
        <v>0</v>
      </c>
    </row>
    <row r="182">
      <c r="D182" t="str">
        <v>REEMBOLSOS REMOFIRST-YON YOU-AECID</v>
      </c>
      <c r="E182">
        <f>SUBTOTAL(9,E183:E200)</f>
        <v>12880330.79</v>
      </c>
      <c r="H182">
        <f>IF(OR(G182="Sin pagar",G182="Pagar"),NETWORKDAYS($J$113,F182,'Festivos Colombia'!$A$3:$A$22),0)</f>
        <v>0</v>
      </c>
      <c r="I182">
        <f>NETWORKDAYS($J$113,F182,'Festivos Colombia'!$A$3:$A$22)</f>
        <v>-32851</v>
      </c>
    </row>
    <row r="183">
      <c r="A183" t="str">
        <f>G183</f>
        <v>Cancelado</v>
      </c>
      <c r="B183">
        <f>IF(I183&lt;=-1,1,IF(I183&lt;=5,2,IF(I183&lt;=15,3,IF(H183&lt;=60,4))))</f>
        <v>2</v>
      </c>
      <c r="D183" t="str">
        <v>Reembolso Sandra Mojica comisión Santa Marta Noviembre  9 y 10 AECID</v>
      </c>
      <c r="E183">
        <v>205000</v>
      </c>
      <c r="F183">
        <v>45993</v>
      </c>
      <c r="G183" t="str">
        <v>Cancelado</v>
      </c>
      <c r="H183">
        <f>IF(OR(G183="Sin pagar",G183="Pagar"),NETWORKDAYS($J$113,F183,'Festivos Colombia'!$A$3:$A$22),0)</f>
        <v>0</v>
      </c>
      <c r="I183">
        <f>NETWORKDAYS($J$113,F183,'Festivos Colombia'!$A$3:$A$22)</f>
        <v>2</v>
      </c>
      <c r="J183">
        <f>H183</f>
        <v>0</v>
      </c>
    </row>
    <row r="184">
      <c r="A184" t="str">
        <f>G184</f>
        <v>Cancelado</v>
      </c>
      <c r="B184">
        <f>IF(I184&lt;=-1,1,IF(I184&lt;=5,2,IF(I184&lt;=15,3,IF(H184&lt;=60,4))))</f>
        <v>2</v>
      </c>
      <c r="D184" t="str">
        <v>Reembolso Sandra Mojica comisión Cali 26-26 Noviembre AECID</v>
      </c>
      <c r="E184">
        <v>205100</v>
      </c>
      <c r="F184">
        <v>45993</v>
      </c>
      <c r="G184" t="str">
        <v>Cancelado</v>
      </c>
      <c r="H184">
        <f>IF(OR(G184="Sin pagar",G184="Pagar"),NETWORKDAYS($J$113,F184,'Festivos Colombia'!$A$3:$A$22),0)</f>
        <v>0</v>
      </c>
      <c r="I184">
        <f>NETWORKDAYS($J$113,F184,'Festivos Colombia'!$A$3:$A$22)</f>
        <v>2</v>
      </c>
      <c r="J184">
        <f>H184</f>
        <v>0</v>
      </c>
    </row>
    <row r="185">
      <c r="A185" t="str">
        <f>G185</f>
        <v>Cancelado</v>
      </c>
      <c r="B185">
        <f>IF(I185&lt;=-1,1,IF(I185&lt;=5,2,IF(I185&lt;=15,3,IF(H185&lt;=60,4))))</f>
        <v>2</v>
      </c>
      <c r="D185" t="str">
        <v>Reembolso Mercedes Alvarez comisión Tumaco 27-30 OctubreAECID</v>
      </c>
      <c r="E185">
        <v>575000</v>
      </c>
      <c r="F185">
        <v>45993</v>
      </c>
      <c r="G185" t="str">
        <v>Cancelado</v>
      </c>
      <c r="H185">
        <f>IF(OR(G185="Sin pagar",G185="Pagar"),NETWORKDAYS($J$113,F185,'Festivos Colombia'!$A$3:$A$22),0)</f>
        <v>0</v>
      </c>
      <c r="I185">
        <f>NETWORKDAYS($J$113,F185,'Festivos Colombia'!$A$3:$A$22)</f>
        <v>2</v>
      </c>
      <c r="J185">
        <f>H185</f>
        <v>0</v>
      </c>
    </row>
    <row r="186">
      <c r="A186" t="str">
        <f>G186</f>
        <v>Cancelado</v>
      </c>
      <c r="B186">
        <f>IF(I186&lt;=-1,1,IF(I186&lt;=5,2,IF(I186&lt;=15,3,IF(H186&lt;=60,4))))</f>
        <v>3</v>
      </c>
      <c r="D186" t="str">
        <v>Reembolso Sandra de los Rios-Comision Bucaramanga 10-11 Diciembre-AECID</v>
      </c>
      <c r="E186">
        <v>356000</v>
      </c>
      <c r="F186">
        <v>46007</v>
      </c>
      <c r="G186" t="str">
        <v>Cancelado</v>
      </c>
      <c r="H186">
        <f>IF(OR(G186="Sin pagar",G186="Pagar"),NETWORKDAYS($J$113,F186,'Festivos Colombia'!$A$3:$A$22),0)</f>
        <v>0</v>
      </c>
      <c r="I186">
        <f>NETWORKDAYS($J$113,F186,'Festivos Colombia'!$A$3:$A$22)</f>
        <v>12</v>
      </c>
      <c r="J186">
        <f>H186</f>
        <v>0</v>
      </c>
    </row>
    <row r="187">
      <c r="A187" t="str">
        <f>G187</f>
        <v>Cancelado</v>
      </c>
      <c r="B187">
        <f>IF(I187&lt;=-1,1,IF(I187&lt;=5,2,IF(I187&lt;=15,3,IF(H187&lt;=60,4))))</f>
        <v>4</v>
      </c>
      <c r="D187" t="str">
        <v>Reembolso Mercedes Alvarez-Comision Pasto 9-11 Diciembre-AECID</v>
      </c>
      <c r="E187">
        <v>469000</v>
      </c>
      <c r="F187">
        <v>46014</v>
      </c>
      <c r="G187" t="str">
        <v>Cancelado</v>
      </c>
      <c r="H187">
        <f>IF(OR(G187="Sin pagar",G187="Pagar"),NETWORKDAYS($J$113,F187,'Festivos Colombia'!$A$3:$A$22),0)</f>
        <v>0</v>
      </c>
      <c r="I187">
        <f>NETWORKDAYS($J$113,F187,'Festivos Colombia'!$A$3:$A$22)</f>
        <v>17</v>
      </c>
      <c r="J187">
        <f>H187</f>
        <v>0</v>
      </c>
    </row>
    <row r="188">
      <c r="A188" t="str">
        <f>G188</f>
        <v>Cancelado</v>
      </c>
      <c r="B188">
        <f>IF(I188&lt;=-1,1,IF(I188&lt;=5,2,IF(I188&lt;=15,3,IF(H188&lt;=60,4))))</f>
        <v>4</v>
      </c>
      <c r="D188" t="str">
        <v>Reembolso paula alejandra moreno navarro C1052 - Yonyou</v>
      </c>
      <c r="E188">
        <v>920297</v>
      </c>
      <c r="F188">
        <v>46017</v>
      </c>
      <c r="G188" t="str">
        <v>Cancelado</v>
      </c>
      <c r="H188">
        <f>IF(OR(G188="Sin pagar",G188="Pagar"),NETWORKDAYS($J$113,F188,'Festivos Colombia'!$A$3:$A$22),0)</f>
        <v>0</v>
      </c>
      <c r="I188">
        <f>NETWORKDAYS($J$113,F188,'Festivos Colombia'!$A$3:$A$22)</f>
        <v>20</v>
      </c>
      <c r="J188">
        <f>H188</f>
        <v>0</v>
      </c>
    </row>
    <row r="189">
      <c r="A189" t="str">
        <f>G189</f>
        <v>Cancelado</v>
      </c>
      <c r="B189">
        <f>IF(I189&lt;=-1,1,IF(I189&lt;=5,2,IF(I189&lt;=15,3,IF(H189&lt;=60,4))))</f>
        <v>4</v>
      </c>
      <c r="D189" t="str">
        <v>Reembolso sonia rocio quintanilla quintero C1052 - Yonyou</v>
      </c>
      <c r="E189">
        <v>3841107.33</v>
      </c>
      <c r="F189">
        <v>46017</v>
      </c>
      <c r="G189" t="str">
        <v>Cancelado</v>
      </c>
      <c r="H189">
        <f>IF(OR(G189="Sin pagar",G189="Pagar"),NETWORKDAYS($J$113,F189,'Festivos Colombia'!$A$3:$A$22),0)</f>
        <v>0</v>
      </c>
      <c r="I189">
        <f>NETWORKDAYS($J$113,F189,'Festivos Colombia'!$A$3:$A$22)</f>
        <v>20</v>
      </c>
      <c r="J189">
        <f>H189</f>
        <v>0</v>
      </c>
    </row>
    <row r="190">
      <c r="A190" t="str">
        <f>G190</f>
        <v>Cancelado</v>
      </c>
      <c r="B190">
        <f>IF(I190&lt;=-1,1,IF(I190&lt;=5,2,IF(I190&lt;=15,3,IF(H190&lt;=60,4))))</f>
        <v>4</v>
      </c>
      <c r="D190" t="str">
        <v>Reembolso cindy carolina leguizamon clavijo 25 - Remofirst - ISLAMIC RELIEF</v>
      </c>
      <c r="E190">
        <v>12085.51</v>
      </c>
      <c r="F190">
        <v>46017</v>
      </c>
      <c r="G190" t="str">
        <v>Cancelado</v>
      </c>
      <c r="H190">
        <f>IF(OR(G190="Sin pagar",G190="Pagar"),NETWORKDAYS($J$113,F190,'Festivos Colombia'!$A$3:$A$22),0)</f>
        <v>0</v>
      </c>
      <c r="I190">
        <f>NETWORKDAYS($J$113,F190,'Festivos Colombia'!$A$3:$A$22)</f>
        <v>20</v>
      </c>
      <c r="J190">
        <f>H190</f>
        <v>0</v>
      </c>
    </row>
    <row r="191">
      <c r="A191" t="str">
        <f>G191</f>
        <v>Cancelado</v>
      </c>
      <c r="B191">
        <f>IF(I191&lt;=-1,1,IF(I191&lt;=5,2,IF(I191&lt;=15,3,IF(H191&lt;=60,4))))</f>
        <v>4</v>
      </c>
      <c r="D191" t="str">
        <v>Reembolso maria alejandra pabon aranguren 25 - Remofirst - ISLAMIC RELIEF</v>
      </c>
      <c r="E191">
        <v>508808.87</v>
      </c>
      <c r="F191">
        <v>46017</v>
      </c>
      <c r="G191" t="str">
        <v>Cancelado</v>
      </c>
      <c r="H191">
        <f>IF(OR(G191="Sin pagar",G191="Pagar"),NETWORKDAYS($J$113,F191,'Festivos Colombia'!$A$3:$A$22),0)</f>
        <v>0</v>
      </c>
      <c r="I191">
        <f>NETWORKDAYS($J$113,F191,'Festivos Colombia'!$A$3:$A$22)</f>
        <v>20</v>
      </c>
      <c r="J191">
        <f>H191</f>
        <v>0</v>
      </c>
    </row>
    <row r="192">
      <c r="A192" t="str">
        <f>G192</f>
        <v>Cancelado</v>
      </c>
      <c r="B192">
        <f>IF(I192&lt;=-1,1,IF(I192&lt;=5,2,IF(I192&lt;=15,3,IF(H192&lt;=60,4))))</f>
        <v>4</v>
      </c>
      <c r="D192" t="str">
        <v>Reembolso emma soraya rojas navarrete 25 - Remofirst - ISLAMIC RELIEF</v>
      </c>
      <c r="E192">
        <v>244583.71</v>
      </c>
      <c r="F192">
        <v>46017</v>
      </c>
      <c r="G192" t="str">
        <v>Cancelado</v>
      </c>
      <c r="H192">
        <f>IF(OR(G192="Sin pagar",G192="Pagar"),NETWORKDAYS($J$113,F192,'Festivos Colombia'!$A$3:$A$22),0)</f>
        <v>0</v>
      </c>
      <c r="I192">
        <f>NETWORKDAYS($J$113,F192,'Festivos Colombia'!$A$3:$A$22)</f>
        <v>20</v>
      </c>
      <c r="J192">
        <f>H192</f>
        <v>0</v>
      </c>
    </row>
    <row r="193">
      <c r="A193" t="str">
        <f>G193</f>
        <v>Cancelado</v>
      </c>
      <c r="B193">
        <f>IF(I193&lt;=-1,1,IF(I193&lt;=5,2,IF(I193&lt;=15,3,IF(H193&lt;=60,4))))</f>
        <v>4</v>
      </c>
      <c r="D193" t="str">
        <v>Reembolso sofia  name parada 25 - Remofirst - ISLAMIC RELIEF</v>
      </c>
      <c r="E193">
        <v>923696</v>
      </c>
      <c r="F193">
        <v>46017</v>
      </c>
      <c r="G193" t="str">
        <v>Cancelado</v>
      </c>
      <c r="H193">
        <f>IF(OR(G193="Sin pagar",G193="Pagar"),NETWORKDAYS($J$113,F193,'Festivos Colombia'!$A$3:$A$22),0)</f>
        <v>0</v>
      </c>
      <c r="I193">
        <f>NETWORKDAYS($J$113,F193,'Festivos Colombia'!$A$3:$A$22)</f>
        <v>20</v>
      </c>
      <c r="J193">
        <f>H193</f>
        <v>0</v>
      </c>
    </row>
    <row r="194">
      <c r="A194" t="str">
        <f>G194</f>
        <v>Cancelado</v>
      </c>
      <c r="B194">
        <f>IF(I194&lt;=-1,1,IF(I194&lt;=5,2,IF(I194&lt;=15,3,IF(H194&lt;=60,4))))</f>
        <v>4</v>
      </c>
      <c r="D194" t="str">
        <v>Reembolso gloria paulina corredor cifuentes 25 - Remofirst - ISLAMIC RELIEF</v>
      </c>
      <c r="E194">
        <v>512000</v>
      </c>
      <c r="F194">
        <v>46017</v>
      </c>
      <c r="G194" t="str">
        <v>Cancelado</v>
      </c>
      <c r="H194">
        <f>IF(OR(G194="Sin pagar",G194="Pagar"),NETWORKDAYS($J$113,F194,'Festivos Colombia'!$A$3:$A$22),0)</f>
        <v>0</v>
      </c>
      <c r="I194">
        <f>NETWORKDAYS($J$113,F194,'Festivos Colombia'!$A$3:$A$22)</f>
        <v>20</v>
      </c>
      <c r="J194">
        <f>H194</f>
        <v>0</v>
      </c>
    </row>
    <row r="195">
      <c r="A195" t="str">
        <f>G195</f>
        <v>Cancelado</v>
      </c>
      <c r="B195">
        <f>IF(I195&lt;=-1,1,IF(I195&lt;=5,2,IF(I195&lt;=15,3,IF(H195&lt;=60,4))))</f>
        <v>4</v>
      </c>
      <c r="D195" t="str">
        <v>Reembolso sandra lucia barrios   angulo 38 - Remofirst - Quantic Vision, S.A</v>
      </c>
      <c r="E195">
        <v>173950</v>
      </c>
      <c r="F195">
        <v>46017</v>
      </c>
      <c r="G195" t="str">
        <v>Cancelado</v>
      </c>
      <c r="H195">
        <f>IF(OR(G195="Sin pagar",G195="Pagar"),NETWORKDAYS($J$113,F195,'Festivos Colombia'!$A$3:$A$22),0)</f>
        <v>0</v>
      </c>
      <c r="I195">
        <f>NETWORKDAYS($J$113,F195,'Festivos Colombia'!$A$3:$A$22)</f>
        <v>20</v>
      </c>
      <c r="J195">
        <f>H195</f>
        <v>0</v>
      </c>
    </row>
    <row r="196">
      <c r="A196" t="str">
        <f>G196</f>
        <v>Cancelado</v>
      </c>
      <c r="B196">
        <f>IF(I196&lt;=-1,1,IF(I196&lt;=5,2,IF(I196&lt;=15,3,IF(H196&lt;=60,4))))</f>
        <v>4</v>
      </c>
      <c r="D196" t="str">
        <v xml:space="preserve">Reembolso Alejandra  carrillo cambas C1029 - Insider </v>
      </c>
      <c r="E196">
        <v>546442.08</v>
      </c>
      <c r="F196">
        <v>46021</v>
      </c>
      <c r="G196" t="str">
        <v>Cancelado</v>
      </c>
      <c r="H196">
        <f>IF(OR(G196="Sin pagar",G196="Pagar"),NETWORKDAYS($J$113,F196,'Festivos Colombia'!$A$3:$A$22),0)</f>
        <v>0</v>
      </c>
      <c r="I196">
        <f>NETWORKDAYS($J$113,F196,'Festivos Colombia'!$A$3:$A$22)</f>
        <v>22</v>
      </c>
      <c r="J196">
        <f>H196</f>
        <v>0</v>
      </c>
    </row>
    <row r="197">
      <c r="A197" t="str">
        <f>G197</f>
        <v>Cancelado</v>
      </c>
      <c r="B197">
        <f>IF(I197&lt;=-1,1,IF(I197&lt;=5,2,IF(I197&lt;=15,3,IF(H197&lt;=60,4))))</f>
        <v>4</v>
      </c>
      <c r="D197" t="str">
        <v xml:space="preserve">Reembolso David andres suta delgado C1029 - Insider </v>
      </c>
      <c r="E197">
        <v>1220777</v>
      </c>
      <c r="F197">
        <v>46021</v>
      </c>
      <c r="G197" t="str">
        <v>Cancelado</v>
      </c>
      <c r="H197">
        <f>IF(OR(G197="Sin pagar",G197="Pagar"),NETWORKDAYS($J$113,F197,'Festivos Colombia'!$A$3:$A$22),0)</f>
        <v>0</v>
      </c>
      <c r="I197">
        <f>NETWORKDAYS($J$113,F197,'Festivos Colombia'!$A$3:$A$22)</f>
        <v>22</v>
      </c>
      <c r="J197">
        <f>H197</f>
        <v>0</v>
      </c>
    </row>
    <row r="198">
      <c r="A198" t="str">
        <f>G198</f>
        <v>Cancelado</v>
      </c>
      <c r="B198">
        <f>IF(I198&lt;=-1,1,IF(I198&lt;=5,2,IF(I198&lt;=15,3,IF(H198&lt;=60,4))))</f>
        <v>4</v>
      </c>
      <c r="D198" t="str">
        <v xml:space="preserve">Reembolso Gabriela ysabel diaz correa C1029 - Insider </v>
      </c>
      <c r="E198">
        <v>723763.94</v>
      </c>
      <c r="F198">
        <v>46021</v>
      </c>
      <c r="G198" t="str">
        <v>Cancelado</v>
      </c>
      <c r="H198">
        <f>IF(OR(G198="Sin pagar",G198="Pagar"),NETWORKDAYS($J$113,F198,'Festivos Colombia'!$A$3:$A$22),0)</f>
        <v>0</v>
      </c>
      <c r="I198">
        <f>NETWORKDAYS($J$113,F198,'Festivos Colombia'!$A$3:$A$22)</f>
        <v>22</v>
      </c>
      <c r="J198">
        <f>H198</f>
        <v>0</v>
      </c>
    </row>
    <row r="199">
      <c r="A199" t="str">
        <f>G199</f>
        <v>Cancelado</v>
      </c>
      <c r="B199">
        <f>IF(I199&lt;=-1,1,IF(I199&lt;=5,2,IF(I199&lt;=15,3,IF(H199&lt;=60,4))))</f>
        <v>4</v>
      </c>
      <c r="D199" t="str">
        <v xml:space="preserve">Reembolso Nathali  fandiño ruiz C1029 - Insider </v>
      </c>
      <c r="E199">
        <v>491492</v>
      </c>
      <c r="F199">
        <v>46021</v>
      </c>
      <c r="G199" t="str">
        <v>Cancelado</v>
      </c>
      <c r="H199">
        <f>IF(OR(G199="Sin pagar",G199="Pagar"),NETWORKDAYS($J$113,F199,'Festivos Colombia'!$A$3:$A$22),0)</f>
        <v>0</v>
      </c>
      <c r="I199">
        <f>NETWORKDAYS($J$113,F199,'Festivos Colombia'!$A$3:$A$22)</f>
        <v>22</v>
      </c>
      <c r="J199">
        <f>H199</f>
        <v>0</v>
      </c>
    </row>
    <row r="200">
      <c r="A200" t="str">
        <f>G200</f>
        <v>Cancelado</v>
      </c>
      <c r="B200">
        <f>IF(I200&lt;=-1,1,IF(I200&lt;=5,2,IF(I200&lt;=15,3,IF(H200&lt;=60,4))))</f>
        <v>4</v>
      </c>
      <c r="D200" t="str">
        <v xml:space="preserve">Reembolso Sebastian  tellez zuluaga C1029 - Insider </v>
      </c>
      <c r="E200">
        <v>951227.35</v>
      </c>
      <c r="F200">
        <v>46021</v>
      </c>
      <c r="G200" t="str">
        <v>Cancelado</v>
      </c>
      <c r="H200">
        <f>IF(OR(G200="Sin pagar",G200="Pagar"),NETWORKDAYS($J$113,F200,'Festivos Colombia'!$A$3:$A$22),0)</f>
        <v>0</v>
      </c>
      <c r="I200">
        <f>NETWORKDAYS($J$113,F200,'Festivos Colombia'!$A$3:$A$22)</f>
        <v>22</v>
      </c>
      <c r="J200">
        <f>H200</f>
        <v>0</v>
      </c>
    </row>
    <row r="201">
      <c r="D201" t="str">
        <v>REEMBOLSOS INSIDER</v>
      </c>
      <c r="E201">
        <f>SUBTOTAL(9,E202:E202)</f>
        <v>0</v>
      </c>
    </row>
    <row r="202">
      <c r="A202" t="str">
        <f>G202</f>
        <v>Cancelado</v>
      </c>
      <c r="B202">
        <f>IF(I202&lt;=-1,1,IF(I202&lt;=5,2,IF(I202&lt;=15,3,IF(H202&lt;=60,4))))</f>
        <v>4</v>
      </c>
      <c r="D202" t="str">
        <v>Reembolso previsto Insider</v>
      </c>
      <c r="E202">
        <v>0</v>
      </c>
      <c r="F202">
        <v>46021</v>
      </c>
      <c r="G202" t="str">
        <v>Cancelado</v>
      </c>
      <c r="H202">
        <f>IF(OR(G202="Sin pagar",G202="Pagar"),NETWORKDAYS($J$113,F202,'Festivos Colombia'!$A$3:$A$22),0)</f>
        <v>0</v>
      </c>
      <c r="I202">
        <f>NETWORKDAYS($J$113,F202,'Festivos Colombia'!$A$3:$A$22)</f>
        <v>22</v>
      </c>
      <c r="J202">
        <f>H202</f>
        <v>0</v>
      </c>
    </row>
    <row r="203">
      <c r="D203" t="str">
        <v>ASESORÍAS</v>
      </c>
      <c r="E203">
        <f>SUBTOTAL(9,E204:E230)</f>
        <v>27337427.5241</v>
      </c>
    </row>
    <row r="204">
      <c r="A204" t="str">
        <f>G204</f>
        <v>Cancelado</v>
      </c>
      <c r="B204">
        <f>IF(I204&lt;=-1,1,IF(I204&lt;=5,2,IF(I204&lt;=15,3,IF(H204&lt;=60,4))))</f>
        <v>2</v>
      </c>
      <c r="C204">
        <v>7</v>
      </c>
      <c r="D204" t="str">
        <v xml:space="preserve">Luis ernesto Solano </v>
      </c>
      <c r="E204">
        <f>1147042*0</f>
        <v>0</v>
      </c>
      <c r="F204">
        <v>45992</v>
      </c>
      <c r="G204" t="str">
        <v>Cancelado</v>
      </c>
      <c r="H204">
        <f>IF(OR(G204="Sin pagar",G204="Pagar"),NETWORKDAYS($J$113,F204,'Festivos Colombia'!$A$3:$A$22),0)</f>
        <v>0</v>
      </c>
      <c r="I204">
        <f>NETWORKDAYS($J$113,F204,'Festivos Colombia'!$A$3:$A$22)</f>
        <v>1</v>
      </c>
      <c r="J204">
        <f>H204</f>
        <v>0</v>
      </c>
    </row>
    <row r="205">
      <c r="A205" t="str">
        <f>G205</f>
        <v>Cancelado</v>
      </c>
      <c r="B205">
        <f>IF(I205&lt;=-1,1,IF(I205&lt;=5,2,IF(I205&lt;=15,3,IF(H205&lt;=60,4))))</f>
        <v>2</v>
      </c>
      <c r="C205" t="str">
        <v>FENI-11149</v>
      </c>
      <c r="D205" t="str">
        <v xml:space="preserve">Nixcom Servicio Seqrite endpoint security premium on cloud </v>
      </c>
      <c r="E205">
        <f>97139</f>
        <v>97139</v>
      </c>
      <c r="F205">
        <v>45995</v>
      </c>
      <c r="G205" t="str">
        <v>Cancelado</v>
      </c>
      <c r="H205">
        <f>IF(OR(G205="Sin pagar",G205="Pagar"),NETWORKDAYS($J$113,F205,'Festivos Colombia'!$A$3:$A$22),0)</f>
        <v>0</v>
      </c>
      <c r="I205">
        <f>NETWORKDAYS($J$113,F205,'Festivos Colombia'!$A$3:$A$22)</f>
        <v>4</v>
      </c>
      <c r="J205">
        <f>H205</f>
        <v>0</v>
      </c>
    </row>
    <row r="206">
      <c r="A206" t="str">
        <f>G206</f>
        <v>Cancelado</v>
      </c>
      <c r="B206">
        <f>IF(I206&lt;=-1,1,IF(I206&lt;=5,2,IF(I206&lt;=15,3,IF(H206&lt;=60,4))))</f>
        <v>2</v>
      </c>
      <c r="C206" t="str">
        <v>12-25</v>
      </c>
      <c r="D206" t="str">
        <v>Yadira Pineda- servicios Noviembre y mensajeria service Panamá -Pago por Panamá</v>
      </c>
      <c r="E206">
        <f>600*0</f>
        <v>0</v>
      </c>
      <c r="F206">
        <v>45995</v>
      </c>
      <c r="G206" t="str">
        <v>Cancelado</v>
      </c>
      <c r="H206">
        <f>IF(OR(G206="Sin pagar",G206="Pagar"),NETWORKDAYS($J$113,F206,'Festivos Colombia'!$A$3:$A$22),0)</f>
        <v>0</v>
      </c>
      <c r="I206">
        <f>NETWORKDAYS($J$113,F206,'Festivos Colombia'!$A$3:$A$22)</f>
        <v>4</v>
      </c>
      <c r="J206">
        <f>H206</f>
        <v>0</v>
      </c>
    </row>
    <row r="207">
      <c r="A207" t="str">
        <f>G207</f>
        <v>Cancelado</v>
      </c>
      <c r="B207">
        <f>IF(I207&lt;=-1,1,IF(I207&lt;=5,2,IF(I207&lt;=15,3,IF(H207&lt;=60,4))))</f>
        <v>2</v>
      </c>
      <c r="C207" t="str">
        <v>FE-15568</v>
      </c>
      <c r="D207" t="str">
        <v xml:space="preserve">Itticol-Pago de saldo </v>
      </c>
      <c r="E207">
        <v>1283605</v>
      </c>
      <c r="F207">
        <v>45995</v>
      </c>
      <c r="G207" t="str">
        <v>Cancelado</v>
      </c>
      <c r="H207">
        <f>IF(OR(G207="Sin pagar",G207="Pagar"),NETWORKDAYS($J$113,F207,'Festivos Colombia'!$A$3:$A$22),0)</f>
        <v>0</v>
      </c>
      <c r="I207">
        <f>NETWORKDAYS($J$113,F207,'Festivos Colombia'!$A$3:$A$22)</f>
        <v>4</v>
      </c>
      <c r="J207">
        <f>H207</f>
        <v>0</v>
      </c>
    </row>
    <row r="208">
      <c r="A208" t="str">
        <f>G208</f>
        <v>Cancelado</v>
      </c>
      <c r="B208">
        <f>IF(I208&lt;=-1,1,IF(I208&lt;=5,2,IF(I208&lt;=15,3,IF(H208&lt;=60,4))))</f>
        <v>3</v>
      </c>
      <c r="C208">
        <v>7</v>
      </c>
      <c r="D208" t="str">
        <v>Sebastían Romero Espitia</v>
      </c>
      <c r="E208">
        <v>640000</v>
      </c>
      <c r="F208">
        <v>46002</v>
      </c>
      <c r="G208" t="str">
        <v>Cancelado</v>
      </c>
      <c r="H208">
        <f>IF(OR(G208="Sin pagar",G208="Pagar"),NETWORKDAYS($J$113,F208,'Festivos Colombia'!$A$3:$A$22),0)</f>
        <v>0</v>
      </c>
      <c r="I208">
        <f>NETWORKDAYS($J$113,F208,'Festivos Colombia'!$A$3:$A$22)</f>
        <v>9</v>
      </c>
      <c r="J208">
        <f>H208</f>
        <v>0</v>
      </c>
    </row>
    <row r="209">
      <c r="A209" t="str">
        <f>G209</f>
        <v>Sin Pagar</v>
      </c>
      <c r="B209">
        <f>IF(I209&lt;=-1,1,IF(I209&lt;=5,2,IF(I209&lt;=15,3,IF(H209&lt;=60,4))))</f>
        <v>4</v>
      </c>
      <c r="C209" t="str">
        <v>01-26</v>
      </c>
      <c r="D209" t="str">
        <v>Yadira Pineda- servicios Agosto  y mensajeria service Panamá -Pago por Panamá</v>
      </c>
      <c r="E209">
        <f>600*0</f>
        <v>0</v>
      </c>
      <c r="F209">
        <v>46037</v>
      </c>
      <c r="G209" t="str">
        <v>Sin Pagar</v>
      </c>
      <c r="H209">
        <f>IF(OR(G209="Sin pagar",G209="Pagar"),NETWORKDAYS($J$113,F209,'Festivos Colombia'!$A$3:$A$22),0)</f>
        <v>32</v>
      </c>
      <c r="I209">
        <f>NETWORKDAYS($J$113,F209,'Festivos Colombia'!$A$3:$A$22)</f>
        <v>32</v>
      </c>
      <c r="J209">
        <f>H209</f>
        <v>32</v>
      </c>
    </row>
    <row r="210">
      <c r="A210" t="str">
        <f>G210</f>
        <v>Cancelado</v>
      </c>
      <c r="B210">
        <f>IF(I210&lt;=-1,1,IF(I210&lt;=5,2,IF(I210&lt;=15,3,IF(H210&lt;=60,4))))</f>
        <v>3</v>
      </c>
      <c r="C210" t="str">
        <v>BOGA105432300</v>
      </c>
      <c r="D210" t="str">
        <v>Carvajal</v>
      </c>
      <c r="E210">
        <v>73640</v>
      </c>
      <c r="F210">
        <v>46002</v>
      </c>
      <c r="G210" t="str">
        <v>Cancelado</v>
      </c>
      <c r="H210">
        <f>IF(OR(G210="Sin pagar",G210="Pagar"),NETWORKDAYS($J$113,F210,'Festivos Colombia'!$A$3:$A$22),0)</f>
        <v>0</v>
      </c>
      <c r="I210">
        <f>NETWORKDAYS($J$113,F210,'Festivos Colombia'!$A$3:$A$22)</f>
        <v>9</v>
      </c>
      <c r="J210">
        <f>H210</f>
        <v>0</v>
      </c>
    </row>
    <row r="211">
      <c r="A211" t="str">
        <f>G211</f>
        <v>Cancelado</v>
      </c>
      <c r="B211">
        <f>IF(I211&lt;=-1,1,IF(I211&lt;=5,2,IF(I211&lt;=15,3,IF(H211&lt;=60,4))))</f>
        <v>3</v>
      </c>
      <c r="C211">
        <v>251201</v>
      </c>
      <c r="D211" t="str">
        <v xml:space="preserve">Analia Lorena Di Nicola </v>
      </c>
      <c r="E211">
        <v>475363.2</v>
      </c>
      <c r="F211">
        <v>46002</v>
      </c>
      <c r="G211" t="str">
        <v>Cancelado</v>
      </c>
      <c r="H211">
        <f>IF(OR(G211="Sin pagar",G211="Pagar"),NETWORKDAYS($J$113,F211,'Festivos Colombia'!$A$3:$A$22),0)</f>
        <v>0</v>
      </c>
      <c r="I211">
        <f>NETWORKDAYS($J$113,F211,'Festivos Colombia'!$A$3:$A$22)</f>
        <v>9</v>
      </c>
      <c r="J211">
        <f>H211</f>
        <v>0</v>
      </c>
    </row>
    <row r="212">
      <c r="A212" t="str">
        <f>G212</f>
        <v>Cancelado</v>
      </c>
      <c r="B212">
        <f>IF(I212&lt;=-1,1,IF(I212&lt;=5,2,IF(I212&lt;=15,3,IF(H212&lt;=60,4))))</f>
        <v>3</v>
      </c>
      <c r="C212">
        <v>24</v>
      </c>
      <c r="D212" t="str">
        <v xml:space="preserve">Edward Felipe Forero Osorio </v>
      </c>
      <c r="E212">
        <v>1287442</v>
      </c>
      <c r="F212">
        <v>46010</v>
      </c>
      <c r="G212" t="str">
        <v>Cancelado</v>
      </c>
      <c r="H212">
        <f>IF(OR(G212="Sin pagar",G212="Pagar"),NETWORKDAYS($J$113,F212,'Festivos Colombia'!$A$3:$A$22),0)</f>
        <v>0</v>
      </c>
      <c r="I212">
        <f>NETWORKDAYS($J$113,F212,'Festivos Colombia'!$A$3:$A$22)</f>
        <v>15</v>
      </c>
      <c r="J212">
        <f>H212</f>
        <v>0</v>
      </c>
    </row>
    <row r="213">
      <c r="A213" t="str">
        <f>G213</f>
        <v>Cancelado</v>
      </c>
      <c r="B213">
        <f>IF(I213&lt;=-1,1,IF(I213&lt;=5,2,IF(I213&lt;=15,3,IF(H213&lt;=60,4))))</f>
        <v>3</v>
      </c>
      <c r="C213">
        <v>16</v>
      </c>
      <c r="D213" t="str">
        <v xml:space="preserve">Sara Forero Osorio </v>
      </c>
      <c r="E213">
        <v>1287442</v>
      </c>
      <c r="F213">
        <v>46010</v>
      </c>
      <c r="G213" t="str">
        <v>Cancelado</v>
      </c>
      <c r="H213">
        <f>IF(OR(G213="Sin pagar",G213="Pagar"),NETWORKDAYS($J$113,F213,'Festivos Colombia'!$A$3:$A$22),0)</f>
        <v>0</v>
      </c>
      <c r="I213">
        <f>NETWORKDAYS($J$113,F213,'Festivos Colombia'!$A$3:$A$22)</f>
        <v>15</v>
      </c>
      <c r="J213">
        <f>H213</f>
        <v>0</v>
      </c>
    </row>
    <row r="214">
      <c r="A214" t="str">
        <f>G214</f>
        <v>Cancelado</v>
      </c>
      <c r="B214">
        <f>IF(I214&lt;=-1,1,IF(I214&lt;=5,2,IF(I214&lt;=15,3,IF(H214&lt;=60,4))))</f>
        <v>4</v>
      </c>
      <c r="C214" t="str">
        <v>FEV-1-93</v>
      </c>
      <c r="D214" t="str">
        <v>Yoana Forero Servicios profesionales -Costa Rica</v>
      </c>
      <c r="E214">
        <v>774025</v>
      </c>
      <c r="F214">
        <v>46013</v>
      </c>
      <c r="G214" t="str">
        <v>Cancelado</v>
      </c>
      <c r="H214">
        <f>IF(OR(G214="Sin pagar",G214="Pagar"),NETWORKDAYS($J$113,F214,'Festivos Colombia'!$A$3:$A$22),0)</f>
        <v>0</v>
      </c>
      <c r="I214">
        <f>NETWORKDAYS($J$113,F214,'Festivos Colombia'!$A$3:$A$22)</f>
        <v>16</v>
      </c>
      <c r="J214">
        <f>H214</f>
        <v>0</v>
      </c>
    </row>
    <row r="215">
      <c r="A215" t="str">
        <f>G215</f>
        <v>Cancelado</v>
      </c>
      <c r="B215">
        <f>IF(I215&lt;=-1,1,IF(I215&lt;=5,2,IF(I215&lt;=15,3,IF(H215&lt;=60,4))))</f>
        <v>4</v>
      </c>
      <c r="C215" t="str">
        <v xml:space="preserve"> FES8588</v>
      </c>
      <c r="D215" t="str">
        <v>Simbolo Group</v>
      </c>
      <c r="E215">
        <f>2618000*0</f>
        <v>0</v>
      </c>
      <c r="F215">
        <v>46017</v>
      </c>
      <c r="G215" t="str">
        <v>Cancelado</v>
      </c>
      <c r="H215">
        <f>IF(OR(G215="Sin pagar",G215="Pagar"),NETWORKDAYS($J$113,F215,'Festivos Colombia'!$A$3:$A$22),0)</f>
        <v>0</v>
      </c>
      <c r="I215">
        <f>NETWORKDAYS($J$113,F215,'Festivos Colombia'!$A$3:$A$22)</f>
        <v>20</v>
      </c>
      <c r="J215">
        <f>H215</f>
        <v>0</v>
      </c>
      <c r="K215" t="str">
        <v xml:space="preserve">no se paga el proveedor debe generar NC ya que se canceló el contrato </v>
      </c>
    </row>
    <row r="216">
      <c r="A216" t="str">
        <f>G216</f>
        <v>Cancelado</v>
      </c>
      <c r="B216">
        <f>IF(I216&lt;=-1,1,IF(I216&lt;=5,2,IF(I216&lt;=15,3,IF(H216&lt;=60,4))))</f>
        <v>4</v>
      </c>
      <c r="C216">
        <v>1</v>
      </c>
      <c r="D216" t="str">
        <v>Jorge Mauricio Gomez</v>
      </c>
      <c r="E216">
        <v>247835</v>
      </c>
      <c r="F216">
        <v>46014</v>
      </c>
      <c r="G216" t="str">
        <v>Cancelado</v>
      </c>
      <c r="H216">
        <f>IF(OR(G216="Sin pagar",G216="Pagar"),NETWORKDAYS($J$113,F216,'Festivos Colombia'!$A$3:$A$22),0)</f>
        <v>0</v>
      </c>
      <c r="I216">
        <f>NETWORKDAYS($J$113,F216,'Festivos Colombia'!$A$3:$A$22)</f>
        <v>17</v>
      </c>
      <c r="J216">
        <f>H216</f>
        <v>0</v>
      </c>
    </row>
    <row r="217">
      <c r="A217" t="str">
        <f>G217</f>
        <v>Cancelado</v>
      </c>
      <c r="B217">
        <f>IF(I217&lt;=-1,1,IF(I217&lt;=5,2,IF(I217&lt;=15,3,IF(H217&lt;=60,4))))</f>
        <v>4</v>
      </c>
      <c r="C217" t="str">
        <v>FE-386</v>
      </c>
      <c r="D217" t="str">
        <v>ACT&amp;J Consultores  S&amp;P</v>
      </c>
      <c r="E217">
        <v>3343958.5</v>
      </c>
      <c r="F217">
        <v>46014</v>
      </c>
      <c r="G217" t="str">
        <v>Cancelado</v>
      </c>
      <c r="H217">
        <f>IF(OR(G217="Sin pagar",G217="Pagar"),NETWORKDAYS($J$113,F217,'Festivos Colombia'!$A$3:$A$22),0)</f>
        <v>0</v>
      </c>
      <c r="I217">
        <f>NETWORKDAYS($J$113,F217,'Festivos Colombia'!$A$3:$A$22)</f>
        <v>17</v>
      </c>
      <c r="J217">
        <f>H217</f>
        <v>0</v>
      </c>
    </row>
    <row r="218">
      <c r="A218" t="str">
        <f>G218</f>
        <v>Cancelado</v>
      </c>
      <c r="B218">
        <f>IF(I218&lt;=-1,1,IF(I218&lt;=5,2,IF(I218&lt;=15,3,IF(H218&lt;=60,4))))</f>
        <v>4</v>
      </c>
      <c r="C218" t="str">
        <v>FE-387</v>
      </c>
      <c r="D218" t="str">
        <v>ACT&amp;J Consultores  Global</v>
      </c>
      <c r="E218">
        <v>3665694</v>
      </c>
      <c r="F218">
        <v>46014</v>
      </c>
      <c r="G218" t="str">
        <v>Cancelado</v>
      </c>
      <c r="H218">
        <f>IF(OR(G218="Sin pagar",G218="Pagar"),NETWORKDAYS($J$113,F218,'Festivos Colombia'!$A$3:$A$22),0)</f>
        <v>0</v>
      </c>
      <c r="I218">
        <f>NETWORKDAYS($J$113,F218,'Festivos Colombia'!$A$3:$A$22)</f>
        <v>17</v>
      </c>
      <c r="J218">
        <f>H218</f>
        <v>0</v>
      </c>
    </row>
    <row r="219">
      <c r="A219" t="str">
        <f>G219</f>
        <v>Cancelado</v>
      </c>
      <c r="B219">
        <f>IF(I219&lt;=-1,1,IF(I219&lt;=5,2,IF(I219&lt;=15,3,IF(H219&lt;=60,4))))</f>
        <v>4</v>
      </c>
      <c r="C219" t="str">
        <v>FED-59</v>
      </c>
      <c r="D219" t="str">
        <v>Innovate SAS-Servicio en la nube mes de Diciembre</v>
      </c>
      <c r="E219">
        <v>754578</v>
      </c>
      <c r="F219">
        <v>46014</v>
      </c>
      <c r="G219" t="str">
        <v>Cancelado</v>
      </c>
      <c r="H219">
        <f>IF(OR(G219="Sin pagar",G219="Pagar"),NETWORKDAYS($J$113,F219,'Festivos Colombia'!$A$3:$A$22),0)</f>
        <v>0</v>
      </c>
      <c r="I219">
        <f>NETWORKDAYS($J$113,F219,'Festivos Colombia'!$A$3:$A$22)</f>
        <v>17</v>
      </c>
      <c r="J219">
        <f>H219</f>
        <v>0</v>
      </c>
    </row>
    <row r="220">
      <c r="A220" t="str">
        <f>G220</f>
        <v>Cancelado</v>
      </c>
      <c r="B220">
        <f>IF(I220&lt;=-1,1,IF(I220&lt;=5,2,IF(I220&lt;=15,3,IF(H220&lt;=60,4))))</f>
        <v>4</v>
      </c>
      <c r="C220">
        <v>7</v>
      </c>
      <c r="D220" t="str">
        <v>José Joaquín Salcedo Duran ( Consultoria en seguridad información)</v>
      </c>
      <c r="E220">
        <f>3100000</f>
        <v>3100000</v>
      </c>
      <c r="F220">
        <v>46014</v>
      </c>
      <c r="G220" t="str">
        <v>Cancelado</v>
      </c>
      <c r="H220">
        <f>IF(OR(G220="Sin pagar",G220="Pagar"),NETWORKDAYS($J$113,F220,'Festivos Colombia'!$A$3:$A$22),0)</f>
        <v>0</v>
      </c>
      <c r="I220">
        <f>NETWORKDAYS($J$113,F220,'Festivos Colombia'!$A$3:$A$22)</f>
        <v>17</v>
      </c>
      <c r="J220">
        <f>H220</f>
        <v>0</v>
      </c>
    </row>
    <row r="221">
      <c r="A221" t="str">
        <f>G221</f>
        <v>Cancelado</v>
      </c>
      <c r="B221">
        <f>IF(I221&lt;=-1,1,IF(I221&lt;=5,2,IF(I221&lt;=15,3,IF(H221&lt;=60,4))))</f>
        <v>4</v>
      </c>
      <c r="C221" t="str">
        <v>2025-012</v>
      </c>
      <c r="D221" t="str">
        <v xml:space="preserve">Pedro Pablo oviedo Cutiva- Cuenta Ricardo Arambulo </v>
      </c>
      <c r="E221">
        <v>1181616</v>
      </c>
      <c r="F221">
        <v>46017</v>
      </c>
      <c r="G221" t="str">
        <v>Cancelado</v>
      </c>
      <c r="H221">
        <f>IF(OR(G221="Sin pagar",G221="Pagar"),NETWORKDAYS($J$113,F221,'Festivos Colombia'!$A$3:$A$22),0)</f>
        <v>0</v>
      </c>
      <c r="I221">
        <f>NETWORKDAYS($J$113,F221,'Festivos Colombia'!$A$3:$A$22)</f>
        <v>20</v>
      </c>
      <c r="J221">
        <f>H221</f>
        <v>0</v>
      </c>
    </row>
    <row r="222">
      <c r="A222" t="str">
        <f>G222</f>
        <v>Cancelado</v>
      </c>
      <c r="B222">
        <f>IF(I222&lt;=-1,1,IF(I222&lt;=5,2,IF(I222&lt;=15,3,IF(H222&lt;=60,4))))</f>
        <v>4</v>
      </c>
      <c r="C222" t="str">
        <v>FENI-11265</v>
      </c>
      <c r="D222" t="str">
        <v>Nixcom Servicio técnico mensual</v>
      </c>
      <c r="E222">
        <v>1186369.8241</v>
      </c>
      <c r="F222">
        <v>46014</v>
      </c>
      <c r="G222" t="str">
        <v>Cancelado</v>
      </c>
      <c r="H222">
        <f>IF(OR(G222="Sin pagar",G222="Pagar"),NETWORKDAYS($J$113,F222,'Festivos Colombia'!$A$3:$A$22),0)</f>
        <v>0</v>
      </c>
      <c r="I222">
        <f>NETWORKDAYS($J$113,F222,'Festivos Colombia'!$A$3:$A$22)</f>
        <v>17</v>
      </c>
      <c r="J222">
        <f>H222</f>
        <v>0</v>
      </c>
    </row>
    <row r="223">
      <c r="A223" t="str">
        <f>G223</f>
        <v>Cancelado</v>
      </c>
      <c r="B223">
        <f>IF(I223&lt;=-1,1,IF(I223&lt;=5,2,IF(I223&lt;=15,3,IF(H223&lt;=60,4))))</f>
        <v>4</v>
      </c>
      <c r="C223">
        <v>8</v>
      </c>
      <c r="D223" t="str">
        <v xml:space="preserve">Luis ernesto Solano </v>
      </c>
      <c r="E223">
        <v>3770892</v>
      </c>
      <c r="F223">
        <v>46021</v>
      </c>
      <c r="G223" t="str">
        <v>Cancelado</v>
      </c>
      <c r="H223">
        <f>IF(OR(G223="Sin pagar",G223="Pagar"),NETWORKDAYS($J$113,F223,'Festivos Colombia'!$A$3:$A$22),0)</f>
        <v>0</v>
      </c>
      <c r="I223">
        <f>NETWORKDAYS($J$113,F223,'Festivos Colombia'!$A$3:$A$22)</f>
        <v>22</v>
      </c>
      <c r="J223">
        <f>H223</f>
        <v>0</v>
      </c>
    </row>
    <row r="224">
      <c r="A224" t="str">
        <f>G224</f>
        <v>Cancelado</v>
      </c>
      <c r="B224">
        <f>IF(I224&lt;=-1,1,IF(I224&lt;=5,2,IF(I224&lt;=15,3,IF(H224&lt;=60,4))))</f>
        <v>4</v>
      </c>
      <c r="C224">
        <v>1</v>
      </c>
      <c r="D224" t="str">
        <v>Erika Julieth Mier Forero</v>
      </c>
      <c r="E224">
        <v>1389276</v>
      </c>
      <c r="F224">
        <v>46021</v>
      </c>
      <c r="G224" t="str">
        <v>Cancelado</v>
      </c>
      <c r="H224">
        <f>IF(OR(G224="Sin pagar",G224="Pagar"),NETWORKDAYS($J$113,F224,'Festivos Colombia'!$A$3:$A$22),0)</f>
        <v>0</v>
      </c>
      <c r="I224">
        <f>NETWORKDAYS($J$113,F224,'Festivos Colombia'!$A$3:$A$22)</f>
        <v>22</v>
      </c>
      <c r="J224">
        <f>H224</f>
        <v>0</v>
      </c>
    </row>
    <row r="225">
      <c r="A225" t="str">
        <f>G225</f>
        <v>Cancelado</v>
      </c>
      <c r="B225">
        <f>IF(I225&lt;=-1,1,IF(I225&lt;=5,2,IF(I225&lt;=15,3,IF(H225&lt;=60,4))))</f>
        <v>4</v>
      </c>
      <c r="C225">
        <v>1</v>
      </c>
      <c r="D225" t="str">
        <v>Martiza Forero Benavides</v>
      </c>
      <c r="E225">
        <v>1389276</v>
      </c>
      <c r="F225">
        <v>46021</v>
      </c>
      <c r="G225" t="str">
        <v>Cancelado</v>
      </c>
      <c r="H225">
        <f>IF(OR(G225="Sin pagar",G225="Pagar"),NETWORKDAYS($J$113,F225,'Festivos Colombia'!$A$3:$A$22),0)</f>
        <v>0</v>
      </c>
      <c r="I225">
        <f>NETWORKDAYS($J$113,F225,'Festivos Colombia'!$A$3:$A$22)</f>
        <v>22</v>
      </c>
      <c r="J225">
        <f>H225</f>
        <v>0</v>
      </c>
    </row>
    <row r="226">
      <c r="A226" t="str">
        <f>G226</f>
        <v>Cancelado</v>
      </c>
      <c r="B226">
        <f>IF(I226&lt;=-1,1,IF(I226&lt;=5,2,IF(I226&lt;=15,3,IF(H226&lt;=60,4))))</f>
        <v>4</v>
      </c>
      <c r="C226">
        <v>1</v>
      </c>
      <c r="D226" t="str">
        <v>Steven Rafael Mier Forero</v>
      </c>
      <c r="E226">
        <v>1389276</v>
      </c>
      <c r="F226">
        <v>46021</v>
      </c>
      <c r="G226" t="str">
        <v>Cancelado</v>
      </c>
      <c r="H226">
        <f>IF(OR(G226="Sin pagar",G226="Pagar"),NETWORKDAYS($J$113,F226,'Festivos Colombia'!$A$3:$A$22),0)</f>
        <v>0</v>
      </c>
      <c r="I226">
        <f>NETWORKDAYS($J$113,F226,'Festivos Colombia'!$A$3:$A$22)</f>
        <v>22</v>
      </c>
      <c r="J226">
        <f>H226</f>
        <v>0</v>
      </c>
    </row>
    <row r="227">
      <c r="A227" t="str">
        <f>G227</f>
        <v>Sin Pagar</v>
      </c>
      <c r="B227">
        <f>IF(I227&lt;=-1,1,IF(I227&lt;=5,2,IF(I227&lt;=15,3,IF(H227&lt;=60,4))))</f>
        <v>4</v>
      </c>
      <c r="C227" t="str">
        <v>FENI-11342</v>
      </c>
      <c r="D227" t="str">
        <v>Nixcom -renovación de 50 licencias con vigencia anual.</v>
      </c>
      <c r="E227">
        <f>5025723*0</f>
        <v>0</v>
      </c>
      <c r="F227">
        <v>46031</v>
      </c>
      <c r="G227" t="str">
        <v>Sin Pagar</v>
      </c>
      <c r="H227">
        <f>IF(OR(G227="Sin pagar",G227="Pagar"),NETWORKDAYS($J$113,F227,'Festivos Colombia'!$A$3:$A$22),0)</f>
        <v>29</v>
      </c>
      <c r="I227">
        <f>NETWORKDAYS($J$113,F227,'Festivos Colombia'!$A$3:$A$22)</f>
        <v>29</v>
      </c>
      <c r="J227">
        <f>H227</f>
        <v>29</v>
      </c>
    </row>
    <row r="228">
      <c r="A228" t="str">
        <f>G228</f>
        <v>Sin Pagar</v>
      </c>
      <c r="B228">
        <f>IF(I228&lt;=-1,1,IF(I228&lt;=5,2,IF(I228&lt;=15,3,IF(H228&lt;=60,4))))</f>
        <v>4</v>
      </c>
      <c r="C228" t="str">
        <v>BPA 6578</v>
      </c>
      <c r="D228" t="str">
        <v>Barrera Palacios</v>
      </c>
      <c r="E228">
        <f>1525052.49*0</f>
        <v>0</v>
      </c>
      <c r="F228">
        <v>46031</v>
      </c>
      <c r="G228" t="str">
        <v>Sin Pagar</v>
      </c>
      <c r="H228">
        <f>IF(OR(G228="Sin pagar",G228="Pagar"),NETWORKDAYS($J$113,F228,'Festivos Colombia'!$A$3:$A$22),0)</f>
        <v>29</v>
      </c>
      <c r="I228">
        <f>NETWORKDAYS($J$113,F228,'Festivos Colombia'!$A$3:$A$22)</f>
        <v>29</v>
      </c>
      <c r="J228">
        <f>H228</f>
        <v>29</v>
      </c>
    </row>
    <row r="229">
      <c r="A229" t="str">
        <f>G229</f>
        <v>Sin Pagar</v>
      </c>
      <c r="B229">
        <f>IF(I229&lt;=-1,1,IF(I229&lt;=5,2,IF(I229&lt;=15,3,IF(H229&lt;=60,4))))</f>
        <v>4</v>
      </c>
      <c r="C229" t="str">
        <v>FENI-11345</v>
      </c>
      <c r="D229" t="str">
        <v>Nixcom Servicio técnico mensual</v>
      </c>
      <c r="E229">
        <f>833000*0</f>
        <v>0</v>
      </c>
      <c r="F229">
        <v>46031</v>
      </c>
      <c r="G229" t="str">
        <v>Sin Pagar</v>
      </c>
      <c r="H229">
        <f>IF(OR(G229="Sin pagar",G229="Pagar"),NETWORKDAYS($J$113,F229,'Festivos Colombia'!$A$3:$A$22),0)</f>
        <v>29</v>
      </c>
      <c r="I229">
        <f>NETWORKDAYS($J$113,F229,'Festivos Colombia'!$A$3:$A$22)</f>
        <v>29</v>
      </c>
      <c r="J229">
        <f>H229</f>
        <v>29</v>
      </c>
    </row>
    <row r="230">
      <c r="A230" t="str">
        <f>G230</f>
        <v>Sin Pagar</v>
      </c>
      <c r="B230">
        <f>IF(I230&lt;=-1,1,IF(I230&lt;=5,2,IF(I230&lt;=15,3,IF(H230&lt;=60,4))))</f>
        <v>4</v>
      </c>
      <c r="C230" t="str">
        <v>fe-2064</v>
      </c>
      <c r="D230" t="str">
        <v>Plurum 80% escuela de liderazgo</v>
      </c>
      <c r="E230">
        <f>41353724*0</f>
        <v>0</v>
      </c>
      <c r="F230">
        <v>46051</v>
      </c>
      <c r="G230" t="str">
        <v>Sin Pagar</v>
      </c>
      <c r="H230">
        <f>IF(OR(G230="Sin pagar",G230="Pagar"),NETWORKDAYS($J$113,F230,'Festivos Colombia'!$A$3:$A$22),0)</f>
        <v>42</v>
      </c>
      <c r="I230">
        <f>NETWORKDAYS($J$113,F230,'Festivos Colombia'!$A$3:$A$22)</f>
        <v>42</v>
      </c>
      <c r="J230">
        <f>H230</f>
        <v>42</v>
      </c>
    </row>
    <row r="231">
      <c r="D231" t="str">
        <v xml:space="preserve">COSTOS FINANCIEROS </v>
      </c>
      <c r="E231">
        <f>SUBTOTAL(9,E232:E232)</f>
        <v>24665110.43</v>
      </c>
    </row>
    <row r="232">
      <c r="A232" t="str">
        <f>G232</f>
        <v>Cancelado</v>
      </c>
      <c r="B232">
        <f>IF(I232&lt;=-1,1,IF(I232&lt;=5,2,IF(I232&lt;=15,3,IF(H232&lt;=60,4))))</f>
        <v>4</v>
      </c>
      <c r="D232" t="str">
        <v>Costos financieros (Cuentas S&amp;P)</v>
      </c>
      <c r="E232">
        <f>15189196.43+987990+8487924</f>
        <v>24665110.43</v>
      </c>
      <c r="F232">
        <v>46022</v>
      </c>
      <c r="G232" t="str">
        <v>Cancelado</v>
      </c>
      <c r="H232">
        <f>IF(OR(G232="Sin pagar",G232="Pagar"),NETWORKDAYS($J$113,F232,'Festivos Colombia'!$A$3:$A$22),0)</f>
        <v>0</v>
      </c>
      <c r="I232">
        <f>NETWORKDAYS($J$113,F232,'Festivos Colombia'!$A$3:$A$22)</f>
        <v>23</v>
      </c>
      <c r="J232">
        <f>H232</f>
        <v>0</v>
      </c>
    </row>
    <row r="233">
      <c r="D233" t="str">
        <v>CRÉDITOS-LIBRANZAS</v>
      </c>
      <c r="E233">
        <f>SUBTOTAL(9,E234:E235)</f>
        <v>1713185</v>
      </c>
    </row>
    <row r="234">
      <c r="A234" t="str">
        <f>G234</f>
        <v>Cancelado</v>
      </c>
      <c r="B234">
        <f>IF(I234&lt;=-1,1,IF(I234&lt;=5,2,IF(I234&lt;=15,3,IF(H234&lt;=60,4))))</f>
        <v>4</v>
      </c>
      <c r="D234" t="str">
        <v>Libranza Compensar-BBVA</v>
      </c>
      <c r="E234">
        <v>1174362</v>
      </c>
      <c r="F234">
        <v>46020</v>
      </c>
      <c r="G234" t="str">
        <v>Cancelado</v>
      </c>
      <c r="H234">
        <f>IF(OR(G234="Sin pagar",G234="Pagar"),NETWORKDAYS($J$113,F234,'Festivos Colombia'!$A$3:$A$22),0)</f>
        <v>0</v>
      </c>
      <c r="I234">
        <f>NETWORKDAYS($J$113,F234,'Festivos Colombia'!$A$3:$A$22)</f>
        <v>21</v>
      </c>
      <c r="J234">
        <f>H234</f>
        <v>0</v>
      </c>
    </row>
    <row r="235">
      <c r="A235" t="str">
        <f>G235</f>
        <v>Cancelado</v>
      </c>
      <c r="B235">
        <f>IF(I235&lt;=-1,1,IF(I235&lt;=5,2,IF(I235&lt;=15,3,IF(H235&lt;=60,4))))</f>
        <v>4</v>
      </c>
      <c r="D235" t="str">
        <v>Libranza Comfenalco Lisset Franco REMOFIRST -BBVA</v>
      </c>
      <c r="E235">
        <v>538823</v>
      </c>
      <c r="F235">
        <v>46020</v>
      </c>
      <c r="G235" t="str">
        <v>Cancelado</v>
      </c>
      <c r="H235">
        <f>IF(OR(G235="Sin pagar",G235="Pagar"),NETWORKDAYS($J$113,F235,'Festivos Colombia'!$A$3:$A$22),0)</f>
        <v>0</v>
      </c>
      <c r="I235">
        <f>NETWORKDAYS($J$113,F235,'Festivos Colombia'!$A$3:$A$22)</f>
        <v>21</v>
      </c>
      <c r="J235">
        <f>H235</f>
        <v>0</v>
      </c>
    </row>
    <row r="236">
      <c r="D236" t="str">
        <v>TARJETAS DE CRÉDITO</v>
      </c>
      <c r="E236">
        <f>SUBTOTAL(9,E237:E240)</f>
        <v>24670254.35</v>
      </c>
    </row>
    <row r="237">
      <c r="A237" t="str">
        <f>G237</f>
        <v>Cancelado</v>
      </c>
      <c r="B237">
        <f>IF(I237&lt;=-1,1,IF(I237&lt;=5,2,IF(I237&lt;=15,3,IF(H237&lt;=60,4))))</f>
        <v>2</v>
      </c>
      <c r="D237" t="str">
        <v>TC Bancolombia TC 4853</v>
      </c>
      <c r="E237">
        <f>(1988066+(58*3784.43))*0</f>
        <v>0</v>
      </c>
      <c r="F237">
        <v>45993</v>
      </c>
      <c r="G237" t="str">
        <v>Cancelado</v>
      </c>
      <c r="H237">
        <f>IF(OR(G237="Sin pagar",G237="Pagar"),NETWORKDAYS($J$113,F237,'Festivos Colombia'!$A$3:$A$22),0)</f>
        <v>0</v>
      </c>
      <c r="I237">
        <f>NETWORKDAYS($J$113,F237,'Festivos Colombia'!$A$3:$A$22)</f>
        <v>2</v>
      </c>
      <c r="J237">
        <f>H237</f>
        <v>0</v>
      </c>
    </row>
    <row r="238">
      <c r="A238" t="str">
        <f>G238</f>
        <v>Cancelado</v>
      </c>
      <c r="B238">
        <f>IF(I238&lt;=-1,1,IF(I238&lt;=5,2,IF(I238&lt;=15,3,IF(H238&lt;=60,4))))</f>
        <v>3</v>
      </c>
      <c r="D238" t="str">
        <v>TC Bancolombia-Ramon Esteban Cardona Salazar TC 5996</v>
      </c>
      <c r="E238">
        <v>21583393</v>
      </c>
      <c r="F238">
        <v>46007</v>
      </c>
      <c r="G238" t="str">
        <v>Cancelado</v>
      </c>
      <c r="H238">
        <f>IF(OR(G238="Sin pagar",G238="Pagar"),NETWORKDAYS($J$113,F238,'Festivos Colombia'!$A$3:$A$22),0)</f>
        <v>0</v>
      </c>
      <c r="I238">
        <f>NETWORKDAYS($J$113,F238,'Festivos Colombia'!$A$3:$A$22)</f>
        <v>12</v>
      </c>
      <c r="J238">
        <f>H238</f>
        <v>0</v>
      </c>
    </row>
    <row r="239">
      <c r="A239" t="str">
        <f>G239</f>
        <v>Cancelado</v>
      </c>
      <c r="B239">
        <f>IF(I239&lt;=-1,1,IF(I239&lt;=5,2,IF(I239&lt;=15,3,IF(H239&lt;=60,4))))</f>
        <v>4</v>
      </c>
      <c r="D239" t="str">
        <v>TC Bancolombia TC 4853</v>
      </c>
      <c r="E239">
        <f>(2878369+(55*3790.77))</f>
        <v>3086861.35</v>
      </c>
      <c r="F239">
        <v>46027</v>
      </c>
      <c r="G239" t="str">
        <v>Cancelado</v>
      </c>
      <c r="H239">
        <f>IF(OR(G239="Sin pagar",G239="Pagar"),NETWORKDAYS($J$113,F239,'Festivos Colombia'!$A$3:$A$22),0)</f>
        <v>0</v>
      </c>
      <c r="I239">
        <f>NETWORKDAYS($J$113,F239,'Festivos Colombia'!$A$3:$A$22)</f>
        <v>25</v>
      </c>
      <c r="J239">
        <f>H239</f>
        <v>0</v>
      </c>
    </row>
    <row r="240">
      <c r="A240" t="str">
        <f>G240</f>
        <v>Sin Pagar</v>
      </c>
      <c r="B240">
        <f>IF(I240&lt;=-1,1,IF(I240&lt;=5,2,IF(I240&lt;=15,3,IF(H240&lt;=60,4))))</f>
        <v>4</v>
      </c>
      <c r="D240" t="str">
        <v>TC Bancolombia-Ramon Esteban Cardona Salazar TC 5996</v>
      </c>
      <c r="E240">
        <f>33736718*0</f>
        <v>0</v>
      </c>
      <c r="F240">
        <v>46041</v>
      </c>
      <c r="G240" t="str">
        <v>Sin Pagar</v>
      </c>
      <c r="H240">
        <f>IF(OR(G240="Sin pagar",G240="Pagar"),NETWORKDAYS($J$113,F240,'Festivos Colombia'!$A$3:$A$22),0)</f>
        <v>34</v>
      </c>
      <c r="I240">
        <f>NETWORKDAYS($J$113,F240,'Festivos Colombia'!$A$3:$A$22)</f>
        <v>34</v>
      </c>
      <c r="J240">
        <f>H240</f>
        <v>34</v>
      </c>
    </row>
    <row r="241">
      <c r="D241" t="str">
        <v>ESTUDIOS DE SEGURIDAD Y EXAMENES OCUPACIONALES</v>
      </c>
      <c r="E241">
        <f>SUBTOTAL(9,E242:E251)</f>
        <v>2887000</v>
      </c>
    </row>
    <row r="242">
      <c r="A242" t="str">
        <f>G242</f>
        <v>Cancelado</v>
      </c>
      <c r="B242">
        <f>IF(I242&lt;=-1,1,IF(I242&lt;=5,2,IF(I242&lt;=15,3,IF(H242&lt;=60,4))))</f>
        <v>3</v>
      </c>
      <c r="C242">
        <v>6787</v>
      </c>
      <c r="D242" t="str">
        <v xml:space="preserve">EMASOC </v>
      </c>
      <c r="E242">
        <v>615000</v>
      </c>
      <c r="F242">
        <v>46002</v>
      </c>
      <c r="G242" t="str">
        <v>Cancelado</v>
      </c>
      <c r="H242">
        <f>IF(OR(G242="Sin pagar",G242="Pagar"),NETWORKDAYS($J$113,F242,'Festivos Colombia'!$A$3:$A$22),0)</f>
        <v>0</v>
      </c>
      <c r="I242">
        <f>NETWORKDAYS($J$113,F242,'Festivos Colombia'!$A$3:$A$22)</f>
        <v>9</v>
      </c>
      <c r="J242">
        <f>H242</f>
        <v>0</v>
      </c>
    </row>
    <row r="243">
      <c r="A243" t="str">
        <f>G243</f>
        <v>Cancelado</v>
      </c>
      <c r="B243">
        <f>IF(I243&lt;=-1,1,IF(I243&lt;=5,2,IF(I243&lt;=15,3,IF(H243&lt;=60,4))))</f>
        <v>4</v>
      </c>
      <c r="C243">
        <v>6791</v>
      </c>
      <c r="D243" t="str">
        <v xml:space="preserve">EMASOC </v>
      </c>
      <c r="E243">
        <f>1371000-102500</f>
        <v>1268500</v>
      </c>
      <c r="F243">
        <v>46014</v>
      </c>
      <c r="G243" t="str">
        <v>Cancelado</v>
      </c>
      <c r="H243">
        <f>IF(OR(G243="Sin pagar",G243="Pagar"),NETWORKDAYS($J$113,F243,'Festivos Colombia'!$A$3:$A$22),0)</f>
        <v>0</v>
      </c>
      <c r="I243">
        <f>NETWORKDAYS($J$113,F243,'Festivos Colombia'!$A$3:$A$22)</f>
        <v>17</v>
      </c>
      <c r="J243">
        <f>H243</f>
        <v>0</v>
      </c>
    </row>
    <row r="244">
      <c r="A244" t="str">
        <f>G244</f>
        <v>Cancelado</v>
      </c>
      <c r="B244">
        <f>IF(I244&lt;=-1,1,IF(I244&lt;=5,2,IF(I244&lt;=15,3,IF(H244&lt;=60,4))))</f>
        <v>4</v>
      </c>
      <c r="C244">
        <v>6811</v>
      </c>
      <c r="D244" t="str">
        <v xml:space="preserve">EMASOC </v>
      </c>
      <c r="E244">
        <f>411000</f>
        <v>411000</v>
      </c>
      <c r="F244">
        <v>46014</v>
      </c>
      <c r="G244" t="str">
        <v>Cancelado</v>
      </c>
      <c r="H244">
        <f>IF(OR(G244="Sin pagar",G244="Pagar"),NETWORKDAYS($J$113,F244,'Festivos Colombia'!$A$3:$A$22),0)</f>
        <v>0</v>
      </c>
      <c r="I244">
        <f>NETWORKDAYS($J$113,F244,'Festivos Colombia'!$A$3:$A$22)</f>
        <v>17</v>
      </c>
      <c r="J244">
        <f>H244</f>
        <v>0</v>
      </c>
    </row>
    <row r="245">
      <c r="A245" t="str">
        <f>G245</f>
        <v>Cancelado</v>
      </c>
      <c r="B245">
        <f>IF(I245&lt;=-1,1,IF(I245&lt;=5,2,IF(I245&lt;=15,3,IF(H245&lt;=60,4))))</f>
        <v>4</v>
      </c>
      <c r="C245">
        <v>6821</v>
      </c>
      <c r="D245" t="str">
        <v xml:space="preserve">EMASOC </v>
      </c>
      <c r="E245">
        <f>311500</f>
        <v>311500</v>
      </c>
      <c r="F245">
        <v>46014</v>
      </c>
      <c r="G245" t="str">
        <v>Cancelado</v>
      </c>
      <c r="H245">
        <f>IF(OR(G245="Sin pagar",G245="Pagar"),NETWORKDAYS($J$113,F245,'Festivos Colombia'!$A$3:$A$22),0)</f>
        <v>0</v>
      </c>
      <c r="I245">
        <f>NETWORKDAYS($J$113,F245,'Festivos Colombia'!$A$3:$A$22)</f>
        <v>17</v>
      </c>
      <c r="J245">
        <f>H245</f>
        <v>0</v>
      </c>
    </row>
    <row r="246">
      <c r="A246" t="str">
        <f>G246</f>
        <v>Cancelado</v>
      </c>
      <c r="B246">
        <f>IF(I246&lt;=-1,1,IF(I246&lt;=5,2,IF(I246&lt;=15,3,IF(H246&lt;=60,4))))</f>
        <v>4</v>
      </c>
      <c r="C246">
        <v>6829</v>
      </c>
      <c r="D246" t="str">
        <v xml:space="preserve">EMASOC </v>
      </c>
      <c r="E246">
        <f>281000</f>
        <v>281000</v>
      </c>
      <c r="F246">
        <v>46014</v>
      </c>
      <c r="G246" t="str">
        <v>Cancelado</v>
      </c>
      <c r="H246">
        <f>IF(OR(G246="Sin pagar",G246="Pagar"),NETWORKDAYS($J$113,F246,'Festivos Colombia'!$A$3:$A$22),0)</f>
        <v>0</v>
      </c>
      <c r="I246">
        <f>NETWORKDAYS($J$113,F246,'Festivos Colombia'!$A$3:$A$22)</f>
        <v>17</v>
      </c>
      <c r="J246">
        <f>H246</f>
        <v>0</v>
      </c>
    </row>
    <row r="247">
      <c r="A247" t="str">
        <f>G247</f>
        <v>Sin Pagar</v>
      </c>
      <c r="B247">
        <f>IF(I247&lt;=-1,1,IF(I247&lt;=5,2,IF(I247&lt;=15,3,IF(H247&lt;=60,4))))</f>
        <v>4</v>
      </c>
      <c r="C247">
        <v>6837</v>
      </c>
      <c r="D247" t="str">
        <v xml:space="preserve">EMASOC </v>
      </c>
      <c r="E247">
        <f>359000*0</f>
        <v>0</v>
      </c>
      <c r="F247">
        <v>46031</v>
      </c>
      <c r="G247" t="str">
        <v>Sin Pagar</v>
      </c>
      <c r="H247">
        <f>IF(OR(G247="Sin pagar",G247="Pagar"),NETWORKDAYS($J$113,F247,'Festivos Colombia'!$A$3:$A$22),0)</f>
        <v>29</v>
      </c>
      <c r="I247">
        <f>NETWORKDAYS($J$113,F247,'Festivos Colombia'!$A$3:$A$22)</f>
        <v>29</v>
      </c>
      <c r="J247">
        <f>H247</f>
        <v>29</v>
      </c>
    </row>
    <row r="248">
      <c r="A248" t="str">
        <f>G248</f>
        <v>Sin Pagar</v>
      </c>
      <c r="B248">
        <f>IF(I248&lt;=-1,1,IF(I248&lt;=5,2,IF(I248&lt;=15,3,IF(H248&lt;=60,4))))</f>
        <v>4</v>
      </c>
      <c r="C248">
        <v>6846</v>
      </c>
      <c r="D248" t="str">
        <v xml:space="preserve">EMASOC </v>
      </c>
      <c r="E248">
        <f>517000*0</f>
        <v>0</v>
      </c>
      <c r="F248">
        <v>46033</v>
      </c>
      <c r="G248" t="str">
        <v>Sin Pagar</v>
      </c>
      <c r="H248">
        <f>IF(OR(G248="Sin pagar",G248="Pagar"),NETWORKDAYS($J$113,F248,'Festivos Colombia'!$A$3:$A$22),0)</f>
        <v>29</v>
      </c>
      <c r="I248">
        <f>NETWORKDAYS($J$113,F248,'Festivos Colombia'!$A$3:$A$22)</f>
        <v>29</v>
      </c>
      <c r="J248">
        <f>H248</f>
        <v>29</v>
      </c>
    </row>
    <row r="249">
      <c r="A249" t="str">
        <f>G249</f>
        <v>Sin Pagar</v>
      </c>
      <c r="B249">
        <f>IF(I249&lt;=-1,1,IF(I249&lt;=5,2,IF(I249&lt;=15,3,IF(H249&lt;=60,4))))</f>
        <v>4</v>
      </c>
      <c r="C249">
        <v>6855</v>
      </c>
      <c r="D249" t="str">
        <v xml:space="preserve">EMASOC </v>
      </c>
      <c r="E249">
        <f>499900*0</f>
        <v>0</v>
      </c>
      <c r="F249">
        <v>46039</v>
      </c>
      <c r="G249" t="str">
        <v>Sin Pagar</v>
      </c>
      <c r="H249">
        <f>IF(OR(G249="Sin pagar",G249="Pagar"),NETWORKDAYS($J$113,F249,'Festivos Colombia'!$A$3:$A$22),0)</f>
        <v>33</v>
      </c>
      <c r="I249">
        <f>NETWORKDAYS($J$113,F249,'Festivos Colombia'!$A$3:$A$22)</f>
        <v>33</v>
      </c>
      <c r="J249">
        <f>H249</f>
        <v>33</v>
      </c>
    </row>
    <row r="250">
      <c r="A250" t="str">
        <f>G250</f>
        <v>Sin Pagar</v>
      </c>
      <c r="B250">
        <f>IF(I250&lt;=-1,1,IF(I250&lt;=5,2,IF(I250&lt;=15,3,IF(H250&lt;=60,4))))</f>
        <v>4</v>
      </c>
      <c r="C250">
        <v>6861</v>
      </c>
      <c r="D250" t="str">
        <v xml:space="preserve">EMASOC </v>
      </c>
      <c r="E250">
        <f>499900*0</f>
        <v>0</v>
      </c>
      <c r="F250">
        <v>46041</v>
      </c>
      <c r="G250" t="str">
        <v>Sin Pagar</v>
      </c>
      <c r="H250">
        <f>IF(OR(G250="Sin pagar",G250="Pagar"),NETWORKDAYS($J$113,F250,'Festivos Colombia'!$A$3:$A$22),0)</f>
        <v>34</v>
      </c>
      <c r="I250">
        <f>NETWORKDAYS($J$113,F250,'Festivos Colombia'!$A$3:$A$22)</f>
        <v>34</v>
      </c>
      <c r="J250">
        <f>H250</f>
        <v>34</v>
      </c>
    </row>
    <row r="251">
      <c r="A251" t="str">
        <f>G251</f>
        <v>Sin Pagar</v>
      </c>
      <c r="B251">
        <f>IF(I251&lt;=-1,1,IF(I251&lt;=5,2,IF(I251&lt;=15,3,IF(H251&lt;=60,4))))</f>
        <v>4</v>
      </c>
      <c r="C251" t="str">
        <v>FE3074</v>
      </c>
      <c r="D251" t="str">
        <v>Prosinte</v>
      </c>
      <c r="E251">
        <f>573506.15*0</f>
        <v>0</v>
      </c>
      <c r="F251">
        <v>46038</v>
      </c>
      <c r="G251" t="str">
        <v>Sin Pagar</v>
      </c>
      <c r="H251">
        <f>IF(OR(G251="Sin pagar",G251="Pagar"),NETWORKDAYS($J$113,F251,'Festivos Colombia'!$A$3:$A$22),0)</f>
        <v>33</v>
      </c>
      <c r="I251">
        <f>NETWORKDAYS($J$113,F251,'Festivos Colombia'!$A$3:$A$22)</f>
        <v>33</v>
      </c>
      <c r="J251">
        <f>H251</f>
        <v>33</v>
      </c>
    </row>
    <row r="252">
      <c r="D252" t="str">
        <v>SOFTWARE NÓMINA</v>
      </c>
      <c r="E252">
        <f>SUBTOTAL(9,E253:E263)</f>
        <v>17044396.01024</v>
      </c>
    </row>
    <row r="253">
      <c r="A253" t="str">
        <f>G253</f>
        <v>Cancelado</v>
      </c>
      <c r="B253">
        <f>IF(I253&lt;=-1,1,IF(I253&lt;=5,2,IF(I253&lt;=15,3,IF(H253&lt;=60,4))))</f>
        <v>3</v>
      </c>
      <c r="C253">
        <v>43436</v>
      </c>
      <c r="D253" t="str">
        <v>Práxedes nómina electronica-Transmisión nómina eléctronica Octubre</v>
      </c>
      <c r="E253">
        <v>240031.19448</v>
      </c>
      <c r="F253">
        <v>46002</v>
      </c>
      <c r="G253" t="str">
        <v>Cancelado</v>
      </c>
      <c r="H253">
        <f>IF(OR(G253="Sin pagar",G253="Pagar"),NETWORKDAYS($J$113,F253,'Festivos Colombia'!$A$3:$A$22),0)</f>
        <v>0</v>
      </c>
      <c r="I253">
        <f>NETWORKDAYS($J$113,F253,'Festivos Colombia'!$A$3:$A$22)</f>
        <v>9</v>
      </c>
      <c r="J253">
        <f>H253</f>
        <v>0</v>
      </c>
    </row>
    <row r="254">
      <c r="A254" t="str">
        <f>G254</f>
        <v>Cancelado</v>
      </c>
      <c r="B254">
        <f>IF(I254&lt;=-1,1,IF(I254&lt;=5,2,IF(I254&lt;=15,3,IF(H254&lt;=60,4))))</f>
        <v>3</v>
      </c>
      <c r="C254">
        <v>43426</v>
      </c>
      <c r="D254" t="str">
        <v>Práxedes nómina electronica-Servidores hosting y/o Computación en la nuble Cloud Octubre</v>
      </c>
      <c r="E254">
        <v>1596529.81576</v>
      </c>
      <c r="F254">
        <v>46002</v>
      </c>
      <c r="G254" t="str">
        <v>Cancelado</v>
      </c>
      <c r="H254">
        <f>IF(OR(G254="Sin pagar",G254="Pagar"),NETWORKDAYS($J$113,F254,'Festivos Colombia'!$A$3:$A$22),0)</f>
        <v>0</v>
      </c>
      <c r="I254">
        <f>NETWORKDAYS($J$113,F254,'Festivos Colombia'!$A$3:$A$22)</f>
        <v>9</v>
      </c>
      <c r="J254">
        <f>H254</f>
        <v>0</v>
      </c>
    </row>
    <row r="255">
      <c r="A255" t="str">
        <f>G255</f>
        <v>Sin Pagar</v>
      </c>
      <c r="B255">
        <f>IF(I255&lt;=-1,1,IF(I255&lt;=5,2,IF(I255&lt;=15,3,IF(H255&lt;=60,4))))</f>
        <v>4</v>
      </c>
      <c r="C255">
        <v>43845</v>
      </c>
      <c r="D255" t="str">
        <v>Práxedes nómina electronica-Servidores hosting y/o Computación en la nuble Cloud Noviembre</v>
      </c>
      <c r="E255">
        <f>1567608*0</f>
        <v>0</v>
      </c>
      <c r="F255">
        <v>46031</v>
      </c>
      <c r="G255" t="str">
        <v>Sin Pagar</v>
      </c>
      <c r="H255">
        <f>IF(OR(G255="Sin pagar",G255="Pagar"),NETWORKDAYS($J$113,F255,'Festivos Colombia'!$A$3:$A$22),0)</f>
        <v>29</v>
      </c>
      <c r="I255">
        <f>NETWORKDAYS($J$113,F255,'Festivos Colombia'!$A$3:$A$22)</f>
        <v>29</v>
      </c>
      <c r="J255">
        <f>H255</f>
        <v>29</v>
      </c>
    </row>
    <row r="256">
      <c r="A256" t="str">
        <f>G256</f>
        <v>Sin Pagar</v>
      </c>
      <c r="B256">
        <f>IF(I256&lt;=-1,1,IF(I256&lt;=5,2,IF(I256&lt;=15,3,IF(H256&lt;=60,4))))</f>
        <v>4</v>
      </c>
      <c r="C256">
        <v>43984</v>
      </c>
      <c r="D256" t="str">
        <v>Práxedes nómina electronica-Transmisión nómina eléctronica Noviembre</v>
      </c>
      <c r="E256">
        <f>240031.19448*0</f>
        <v>0</v>
      </c>
      <c r="F256">
        <v>46039</v>
      </c>
      <c r="G256" t="str">
        <v>Sin Pagar</v>
      </c>
      <c r="H256">
        <f>IF(OR(G256="Sin pagar",G256="Pagar"),NETWORKDAYS($J$113,F256,'Festivos Colombia'!$A$3:$A$22),0)</f>
        <v>33</v>
      </c>
      <c r="I256">
        <f>NETWORKDAYS($J$113,F256,'Festivos Colombia'!$A$3:$A$22)</f>
        <v>33</v>
      </c>
      <c r="J256">
        <f>H256</f>
        <v>33</v>
      </c>
    </row>
    <row r="257">
      <c r="A257" t="str">
        <f>G257</f>
        <v>Sin Pagar</v>
      </c>
      <c r="B257">
        <f>IF(I257&lt;=-1,1,IF(I257&lt;=5,2,IF(I257&lt;=15,3,IF(H257&lt;=60,4))))</f>
        <v>4</v>
      </c>
      <c r="C257">
        <v>43846</v>
      </c>
      <c r="D257" t="str">
        <v>Práxedes nómina electronica-Servidores hosting y/o Computación en la nuble Cloud Noviembre</v>
      </c>
      <c r="E257">
        <f>1567608*0</f>
        <v>0</v>
      </c>
      <c r="F257">
        <v>46043</v>
      </c>
      <c r="G257" t="str">
        <v>Sin Pagar</v>
      </c>
      <c r="H257">
        <f>IF(OR(G257="Sin pagar",G257="Pagar"),NETWORKDAYS($J$113,F257,'Festivos Colombia'!$A$3:$A$22),0)</f>
        <v>36</v>
      </c>
      <c r="I257">
        <f>NETWORKDAYS($J$113,F257,'Festivos Colombia'!$A$3:$A$22)</f>
        <v>36</v>
      </c>
      <c r="J257">
        <f>H257</f>
        <v>36</v>
      </c>
    </row>
    <row r="258">
      <c r="A258" t="str">
        <f>G258</f>
        <v>Cancelado</v>
      </c>
      <c r="B258">
        <f>IF(I258&lt;=-1,1,IF(I258&lt;=5,2,IF(I258&lt;=15,3,IF(H258&lt;=60,4))))</f>
        <v>3</v>
      </c>
      <c r="C258" t="str">
        <v>GFE56876</v>
      </c>
      <c r="D258" t="str">
        <v>Novasoft-Horas de personalización</v>
      </c>
      <c r="E258">
        <f>448529</f>
        <v>448529</v>
      </c>
      <c r="F258">
        <v>46002</v>
      </c>
      <c r="G258" t="str">
        <v>Cancelado</v>
      </c>
      <c r="H258">
        <f>IF(OR(G258="Sin pagar",G258="Pagar"),NETWORKDAYS($J$113,F258,'Festivos Colombia'!$A$3:$A$22),0)</f>
        <v>0</v>
      </c>
      <c r="I258">
        <f>NETWORKDAYS($J$113,F258,'Festivos Colombia'!$A$3:$A$22)</f>
        <v>9</v>
      </c>
      <c r="J258">
        <f>H258</f>
        <v>0</v>
      </c>
    </row>
    <row r="259">
      <c r="A259" t="str">
        <f>G259</f>
        <v>Cancelado</v>
      </c>
      <c r="B259">
        <f>IF(I259&lt;=-1,1,IF(I259&lt;=5,2,IF(I259&lt;=15,3,IF(H259&lt;=60,4))))</f>
        <v>4</v>
      </c>
      <c r="C259" t="str">
        <v>GFE57081</v>
      </c>
      <c r="D259" t="str">
        <v>Novasoft-Servicio hosting Web-19 Usuarios-27 Bases de datos Noviembre</v>
      </c>
      <c r="E259">
        <f>5188351</f>
        <v>5188351</v>
      </c>
      <c r="F259">
        <v>46014</v>
      </c>
      <c r="G259" t="str">
        <v>Cancelado</v>
      </c>
      <c r="H259">
        <f>IF(OR(G259="Sin pagar",G259="Pagar"),NETWORKDAYS($J$113,F259,'Festivos Colombia'!$A$3:$A$22),0)</f>
        <v>0</v>
      </c>
      <c r="I259">
        <f>NETWORKDAYS($J$113,F259,'Festivos Colombia'!$A$3:$A$22)</f>
        <v>17</v>
      </c>
      <c r="J259">
        <f>H259</f>
        <v>0</v>
      </c>
    </row>
    <row r="260">
      <c r="A260" t="str">
        <f>G260</f>
        <v>Cancelado</v>
      </c>
      <c r="B260">
        <f>IF(I260&lt;=-1,1,IF(I260&lt;=5,2,IF(I260&lt;=15,3,IF(H260&lt;=60,4))))</f>
        <v>4</v>
      </c>
      <c r="C260" t="str">
        <v>GFE57309</v>
      </c>
      <c r="D260" t="str">
        <v>Novasoft-Derecho de uso de nómina, Derecho de uso portal , nómina electrónica, Habilitación y emisión de comprobantes Octubre 2025</v>
      </c>
      <c r="E260">
        <f>8721110</f>
        <v>8721110</v>
      </c>
      <c r="F260">
        <v>46014</v>
      </c>
      <c r="G260" t="str">
        <v>Cancelado</v>
      </c>
      <c r="H260">
        <f>IF(OR(G260="Sin pagar",G260="Pagar"),NETWORKDAYS($J$113,F260,'Festivos Colombia'!$A$3:$A$22),0)</f>
        <v>0</v>
      </c>
      <c r="I260">
        <f>NETWORKDAYS($J$113,F260,'Festivos Colombia'!$A$3:$A$22)</f>
        <v>17</v>
      </c>
      <c r="J260">
        <f>H260</f>
        <v>0</v>
      </c>
    </row>
    <row r="261">
      <c r="A261" t="str">
        <f>G261</f>
        <v>Cancelado</v>
      </c>
      <c r="B261">
        <f>IF(I261&lt;=-1,1,IF(I261&lt;=5,2,IF(I261&lt;=15,3,IF(H261&lt;=60,4))))</f>
        <v>4</v>
      </c>
      <c r="C261" t="str">
        <v>GFE57129</v>
      </c>
      <c r="D261" t="str">
        <v>Novasoft-Servicio Consultoria Web según reporte de servicio Nro 243409 DEL 16/07/2025 , Consultor Angie Smith Vargas</v>
      </c>
      <c r="E261">
        <f>849845</f>
        <v>849845</v>
      </c>
      <c r="F261">
        <v>46014</v>
      </c>
      <c r="G261" t="str">
        <v>Cancelado</v>
      </c>
      <c r="H261">
        <f>IF(OR(G261="Sin pagar",G261="Pagar"),NETWORKDAYS($J$113,F261,'Festivos Colombia'!$A$3:$A$22),0)</f>
        <v>0</v>
      </c>
      <c r="I261">
        <f>NETWORKDAYS($J$113,F261,'Festivos Colombia'!$A$3:$A$22)</f>
        <v>17</v>
      </c>
      <c r="J261">
        <f>H261</f>
        <v>0</v>
      </c>
    </row>
    <row r="262">
      <c r="A262" t="str">
        <f>G262</f>
        <v>Sin Pagar</v>
      </c>
      <c r="B262">
        <f>IF(I262&lt;=-1,1,IF(I262&lt;=5,2,IF(I262&lt;=15,3,IF(H262&lt;=60,4))))</f>
        <v>4</v>
      </c>
      <c r="C262" t="str">
        <v>GFE57362</v>
      </c>
      <c r="D262" t="str">
        <v>Novasoft-Servicio hosting Web-19 Usuarios-27 Bases de datos Diciembre</v>
      </c>
      <c r="E262">
        <f>5188351*0</f>
        <v>0</v>
      </c>
      <c r="F262">
        <v>46031</v>
      </c>
      <c r="G262" t="str">
        <v>Sin Pagar</v>
      </c>
      <c r="H262">
        <f>IF(OR(G262="Sin pagar",G262="Pagar"),NETWORKDAYS($J$113,F262,'Festivos Colombia'!$A$3:$A$22),0)</f>
        <v>29</v>
      </c>
      <c r="I262">
        <f>NETWORKDAYS($J$113,F262,'Festivos Colombia'!$A$3:$A$22)</f>
        <v>29</v>
      </c>
      <c r="J262">
        <f>H262</f>
        <v>29</v>
      </c>
    </row>
    <row r="263">
      <c r="A263" t="str">
        <f>G263</f>
        <v>Sin Pagar</v>
      </c>
      <c r="B263">
        <f>IF(I263&lt;=-1,1,IF(I263&lt;=5,2,IF(I263&lt;=15,3,IF(H263&lt;=60,4))))</f>
        <v>4</v>
      </c>
      <c r="C263" t="str">
        <v>GFE58327</v>
      </c>
      <c r="D263" t="str">
        <v>Novasoft-Derecho de uso de nómina, Derecho de uso portal , nómina electrónica, Habilitación y emisión de comprobantes Noviembre</v>
      </c>
      <c r="E263">
        <f>8471343*0</f>
        <v>0</v>
      </c>
      <c r="F263">
        <v>46040</v>
      </c>
      <c r="G263" t="str">
        <v>Sin Pagar</v>
      </c>
      <c r="H263">
        <f>IF(OR(G263="Sin pagar",G263="Pagar"),NETWORKDAYS($J$113,F263,'Festivos Colombia'!$A$3:$A$22),0)</f>
        <v>33</v>
      </c>
      <c r="I263">
        <f>NETWORKDAYS($J$113,F263,'Festivos Colombia'!$A$3:$A$22)</f>
        <v>33</v>
      </c>
      <c r="J263">
        <f>H263</f>
        <v>33</v>
      </c>
    </row>
    <row r="264">
      <c r="D264" t="str">
        <v>NÓMINAS Y ABONO A TARJETAS PEOPLE PASS</v>
      </c>
      <c r="E264">
        <f>SUBTOTAL(9,E265:E289)</f>
        <v>2000052078.556</v>
      </c>
    </row>
    <row r="265">
      <c r="A265" t="str">
        <f>G265</f>
        <v>Cancelado</v>
      </c>
      <c r="B265">
        <f>IF(I265&lt;=-1,1,IF(I265&lt;=5,2,IF(I265&lt;=15,3,IF(H265&lt;=60,4))))</f>
        <v>3</v>
      </c>
      <c r="C265" t="str">
        <v>51 regsitros</v>
      </c>
      <c r="D265" t="str">
        <v>Prima S&amp;P</v>
      </c>
      <c r="E265">
        <v>76248624</v>
      </c>
      <c r="F265">
        <v>46007</v>
      </c>
      <c r="G265" t="str">
        <v>Cancelado</v>
      </c>
      <c r="H265">
        <f>IF(OR(G265="Sin pagar",G265="Pagar"),NETWORKDAYS($J$113,F265,'Festivos Colombia'!$A$3:$A$22),0)</f>
        <v>0</v>
      </c>
      <c r="I265">
        <f>NETWORKDAYS($J$113,F265,'Festivos Colombia'!$A$3:$A$22)</f>
        <v>12</v>
      </c>
      <c r="J265">
        <f>H265</f>
        <v>0</v>
      </c>
    </row>
    <row r="266">
      <c r="A266" t="str">
        <f>G266</f>
        <v>Cancelado</v>
      </c>
      <c r="B266">
        <f>IF(I266&lt;=-1,1,IF(I266&lt;=5,2,IF(I266&lt;=15,3,IF(H266&lt;=60,4))))</f>
        <v>3</v>
      </c>
      <c r="C266" t="str">
        <v xml:space="preserve">106 registros </v>
      </c>
      <c r="D266" t="str">
        <v xml:space="preserve">Prima EOR-Otros cliente </v>
      </c>
      <c r="E266">
        <v>330354459</v>
      </c>
      <c r="F266">
        <v>46007</v>
      </c>
      <c r="G266" t="str">
        <v>Cancelado</v>
      </c>
      <c r="H266">
        <f>IF(OR(G266="Sin pagar",G266="Pagar"),NETWORKDAYS($J$113,F266,'Festivos Colombia'!$A$3:$A$22),0)</f>
        <v>0</v>
      </c>
      <c r="I266">
        <f>NETWORKDAYS($J$113,F266,'Festivos Colombia'!$A$3:$A$22)</f>
        <v>12</v>
      </c>
      <c r="J266">
        <f>H266</f>
        <v>0</v>
      </c>
    </row>
    <row r="267">
      <c r="A267" t="str">
        <f>G267</f>
        <v>Cancelado</v>
      </c>
      <c r="B267">
        <f>IF(I267&lt;=-1,1,IF(I267&lt;=5,2,IF(I267&lt;=15,3,IF(H267&lt;=60,4))))</f>
        <v>3</v>
      </c>
      <c r="C267" t="str">
        <v>22 registros</v>
      </c>
      <c r="D267" t="str">
        <v>Prima EOR-Otros Insider</v>
      </c>
      <c r="E267">
        <f>144223182</f>
        <v>144223182</v>
      </c>
      <c r="F267">
        <v>46010</v>
      </c>
      <c r="G267" t="str">
        <v>Cancelado</v>
      </c>
      <c r="H267">
        <f>IF(OR(G267="Sin pagar",G267="Pagar"),NETWORKDAYS($J$113,F267,'Festivos Colombia'!$A$3:$A$22),0)</f>
        <v>0</v>
      </c>
      <c r="I267">
        <f>NETWORKDAYS($J$113,F267,'Festivos Colombia'!$A$3:$A$22)</f>
        <v>15</v>
      </c>
      <c r="J267">
        <f>H267</f>
        <v>0</v>
      </c>
    </row>
    <row r="268">
      <c r="A268" t="str">
        <f>G268</f>
        <v>Cancelado</v>
      </c>
      <c r="B268">
        <f>IF(I268&lt;=-1,1,IF(I268&lt;=5,2,IF(I268&lt;=15,3,IF(H268&lt;=60,4))))</f>
        <v>4</v>
      </c>
      <c r="C268" t="str">
        <v>FPP432457</v>
      </c>
      <c r="D268" t="str">
        <v>People Pass Dotación</v>
      </c>
      <c r="E268">
        <v>3544238</v>
      </c>
      <c r="F268">
        <v>46013</v>
      </c>
      <c r="G268" t="str">
        <v>Cancelado</v>
      </c>
      <c r="H268">
        <f>IF(OR(G268="Sin pagar",G268="Pagar"),NETWORKDAYS($J$113,F268,'Festivos Colombia'!$A$3:$A$22),0)</f>
        <v>0</v>
      </c>
      <c r="I268">
        <f>NETWORKDAYS($J$113,F268,'Festivos Colombia'!$A$3:$A$22)</f>
        <v>16</v>
      </c>
      <c r="J268">
        <f>H268</f>
        <v>0</v>
      </c>
    </row>
    <row r="269">
      <c r="A269" t="str">
        <f>G269</f>
        <v>Cancelado</v>
      </c>
      <c r="B269">
        <f>IF(I269&lt;=-1,1,IF(I269&lt;=5,2,IF(I269&lt;=15,3,IF(H269&lt;=60,4))))</f>
        <v>4</v>
      </c>
      <c r="D269" t="str">
        <v>Nomina S&amp;P</v>
      </c>
      <c r="E269">
        <v>153359759</v>
      </c>
      <c r="F269">
        <v>46017</v>
      </c>
      <c r="G269" t="str">
        <v>Cancelado</v>
      </c>
      <c r="H269">
        <f>IF(OR(G269="Sin pagar",G269="Pagar"),NETWORKDAYS($J$113,F269,'Festivos Colombia'!$A$3:$A$22),0)</f>
        <v>0</v>
      </c>
      <c r="I269">
        <f>NETWORKDAYS($J$113,F269,'Festivos Colombia'!$A$3:$A$22)</f>
        <v>20</v>
      </c>
      <c r="J269">
        <f>H269</f>
        <v>0</v>
      </c>
    </row>
    <row r="270">
      <c r="D270" t="str">
        <v>Nomina EOR-c1007 - NZD</v>
      </c>
      <c r="E270">
        <v>30816811</v>
      </c>
      <c r="F270">
        <v>46017</v>
      </c>
      <c r="G270" t="str">
        <v>Cancelado</v>
      </c>
      <c r="H270">
        <f>IF(OR(G270="Sin pagar",G270="Pagar"),NETWORKDAYS($J$113,F270,'Festivos Colombia'!$A$3:$A$22),0)</f>
        <v>0</v>
      </c>
      <c r="I270">
        <f>NETWORKDAYS($J$113,F270,'Festivos Colombia'!$A$3:$A$22)</f>
        <v>20</v>
      </c>
      <c r="J270">
        <f>H270</f>
        <v>0</v>
      </c>
    </row>
    <row r="271">
      <c r="D271" t="str">
        <v>Nomina EOR-c1024 - MKD</v>
      </c>
      <c r="E271">
        <v>3082036</v>
      </c>
      <c r="F271">
        <v>46017</v>
      </c>
      <c r="G271" t="str">
        <v>Cancelado</v>
      </c>
      <c r="H271">
        <f>IF(OR(G271="Sin pagar",G271="Pagar"),NETWORKDAYS($J$113,F271,'Festivos Colombia'!$A$3:$A$22),0)</f>
        <v>0</v>
      </c>
      <c r="I271">
        <f>NETWORKDAYS($J$113,F271,'Festivos Colombia'!$A$3:$A$22)</f>
        <v>20</v>
      </c>
      <c r="J271">
        <f>H271</f>
        <v>0</v>
      </c>
    </row>
    <row r="272">
      <c r="D272" t="str">
        <v>Nomina EOR-c1032 - Flexco</v>
      </c>
      <c r="E272">
        <v>14249491</v>
      </c>
      <c r="F272">
        <v>46017</v>
      </c>
      <c r="G272" t="str">
        <v>Cancelado</v>
      </c>
      <c r="H272">
        <f>IF(OR(G272="Sin pagar",G272="Pagar"),NETWORKDAYS($J$113,F272,'Festivos Colombia'!$A$3:$A$22),0)</f>
        <v>0</v>
      </c>
      <c r="I272">
        <f>NETWORKDAYS($J$113,F272,'Festivos Colombia'!$A$3:$A$22)</f>
        <v>20</v>
      </c>
      <c r="J272">
        <f>H272</f>
        <v>0</v>
      </c>
    </row>
    <row r="273">
      <c r="D273" t="str">
        <v>Nomina EOR-c1037 - Remofirst</v>
      </c>
      <c r="E273">
        <v>664934660</v>
      </c>
      <c r="F273">
        <v>46017</v>
      </c>
      <c r="G273" t="str">
        <v>Cancelado</v>
      </c>
      <c r="H273">
        <f>IF(OR(G273="Sin pagar",G273="Pagar"),NETWORKDAYS($J$113,F273,'Festivos Colombia'!$A$3:$A$22),0)</f>
        <v>0</v>
      </c>
      <c r="I273">
        <f>NETWORKDAYS($J$113,F273,'Festivos Colombia'!$A$3:$A$22)</f>
        <v>20</v>
      </c>
      <c r="J273">
        <f>H273</f>
        <v>0</v>
      </c>
    </row>
    <row r="274">
      <c r="D274" t="str">
        <v>Nomina EOR-c1038 - Oncehub</v>
      </c>
      <c r="E274">
        <v>9162105</v>
      </c>
      <c r="F274">
        <v>46017</v>
      </c>
      <c r="G274" t="str">
        <v>Cancelado</v>
      </c>
      <c r="H274">
        <f>IF(OR(G274="Sin pagar",G274="Pagar"),NETWORKDAYS($J$113,F274,'Festivos Colombia'!$A$3:$A$22),0)</f>
        <v>0</v>
      </c>
      <c r="I274">
        <f>NETWORKDAYS($J$113,F274,'Festivos Colombia'!$A$3:$A$22)</f>
        <v>20</v>
      </c>
      <c r="J274">
        <f>H274</f>
        <v>0</v>
      </c>
    </row>
    <row r="275">
      <c r="D275" t="str">
        <v>Nomina EOR-c1041 - Edrington</v>
      </c>
      <c r="E275">
        <v>17197968</v>
      </c>
      <c r="F275">
        <v>46017</v>
      </c>
      <c r="G275" t="str">
        <v>Cancelado</v>
      </c>
      <c r="H275">
        <f>IF(OR(G275="Sin pagar",G275="Pagar"),NETWORKDAYS($J$113,F275,'Festivos Colombia'!$A$3:$A$22),0)</f>
        <v>0</v>
      </c>
      <c r="I275">
        <f>NETWORKDAYS($J$113,F275,'Festivos Colombia'!$A$3:$A$22)</f>
        <v>20</v>
      </c>
      <c r="J275">
        <f>H275</f>
        <v>0</v>
      </c>
    </row>
    <row r="276">
      <c r="D276" t="str">
        <v>Nomina EOR-c1042 - EPDM</v>
      </c>
      <c r="E276">
        <v>6348420</v>
      </c>
      <c r="F276">
        <v>46017</v>
      </c>
      <c r="G276" t="str">
        <v>Cancelado</v>
      </c>
      <c r="H276">
        <f>IF(OR(G276="Sin pagar",G276="Pagar"),NETWORKDAYS($J$113,F276,'Festivos Colombia'!$A$3:$A$22),0)</f>
        <v>0</v>
      </c>
      <c r="I276">
        <f>NETWORKDAYS($J$113,F276,'Festivos Colombia'!$A$3:$A$22)</f>
        <v>20</v>
      </c>
      <c r="J276">
        <f>H276</f>
        <v>0</v>
      </c>
    </row>
    <row r="277">
      <c r="D277" t="str">
        <v>Nomina EOR-c1043 - Neo</v>
      </c>
      <c r="E277">
        <v>47381400</v>
      </c>
      <c r="F277">
        <v>46017</v>
      </c>
      <c r="G277" t="str">
        <v>Cancelado</v>
      </c>
      <c r="H277">
        <f>IF(OR(G277="Sin pagar",G277="Pagar"),NETWORKDAYS($J$113,F277,'Festivos Colombia'!$A$3:$A$22),0)</f>
        <v>0</v>
      </c>
      <c r="I277">
        <f>NETWORKDAYS($J$113,F277,'Festivos Colombia'!$A$3:$A$22)</f>
        <v>20</v>
      </c>
      <c r="J277">
        <f>H277</f>
        <v>0</v>
      </c>
    </row>
    <row r="278">
      <c r="D278" t="str">
        <v>Nomina EOR-c1050 - Hemmersbach</v>
      </c>
      <c r="E278">
        <v>7474153</v>
      </c>
      <c r="F278">
        <v>46017</v>
      </c>
      <c r="G278" t="str">
        <v>Cancelado</v>
      </c>
      <c r="H278">
        <f>IF(OR(G278="Sin pagar",G278="Pagar"),NETWORKDAYS($J$113,F278,'Festivos Colombia'!$A$3:$A$22),0)</f>
        <v>0</v>
      </c>
      <c r="I278">
        <f>NETWORKDAYS($J$113,F278,'Festivos Colombia'!$A$3:$A$22)</f>
        <v>20</v>
      </c>
      <c r="J278">
        <f>H278</f>
        <v>0</v>
      </c>
    </row>
    <row r="279">
      <c r="D279" t="str">
        <v>Nomina EOR-c1051 - Yonyou</v>
      </c>
      <c r="E279">
        <v>29239605</v>
      </c>
      <c r="F279">
        <v>46017</v>
      </c>
      <c r="G279" t="str">
        <v>Cancelado</v>
      </c>
      <c r="H279">
        <f>IF(OR(G279="Sin pagar",G279="Pagar"),NETWORKDAYS($J$113,F279,'Festivos Colombia'!$A$3:$A$22),0)</f>
        <v>0</v>
      </c>
      <c r="I279">
        <f>NETWORKDAYS($J$113,F279,'Festivos Colombia'!$A$3:$A$22)</f>
        <v>20</v>
      </c>
      <c r="J279">
        <f>H279</f>
        <v>0</v>
      </c>
    </row>
    <row r="280">
      <c r="D280" t="str">
        <v>Nomina EOR-c1052 - bubble</v>
      </c>
      <c r="E280">
        <v>3076200</v>
      </c>
      <c r="F280">
        <v>46017</v>
      </c>
      <c r="G280" t="str">
        <v>Cancelado</v>
      </c>
      <c r="H280">
        <f>IF(OR(G280="Sin pagar",G280="Pagar"),NETWORKDAYS($J$113,F280,'Festivos Colombia'!$A$3:$A$22),0)</f>
        <v>0</v>
      </c>
      <c r="I280">
        <f>NETWORKDAYS($J$113,F280,'Festivos Colombia'!$A$3:$A$22)</f>
        <v>20</v>
      </c>
      <c r="J280">
        <f>H280</f>
        <v>0</v>
      </c>
    </row>
    <row r="281">
      <c r="D281" t="str">
        <v>Nomina EOR-c1053 - Global expansion</v>
      </c>
      <c r="E281">
        <v>3840000</v>
      </c>
      <c r="F281">
        <v>46017</v>
      </c>
      <c r="G281" t="str">
        <v>Cancelado</v>
      </c>
      <c r="H281">
        <f>IF(OR(G281="Sin pagar",G281="Pagar"),NETWORKDAYS($J$113,F281,'Festivos Colombia'!$A$3:$A$22),0)</f>
        <v>0</v>
      </c>
      <c r="I281">
        <f>NETWORKDAYS($J$113,F281,'Festivos Colombia'!$A$3:$A$22)</f>
        <v>20</v>
      </c>
      <c r="J281">
        <f>H281</f>
        <v>0</v>
      </c>
    </row>
    <row r="282">
      <c r="D282" t="str">
        <v>Nomina EOR-c1055 - Rivermate</v>
      </c>
      <c r="E282">
        <v>49116885</v>
      </c>
      <c r="F282">
        <v>46017</v>
      </c>
      <c r="G282" t="str">
        <v>Cancelado</v>
      </c>
      <c r="H282">
        <f>IF(OR(G282="Sin pagar",G282="Pagar"),NETWORKDAYS($J$113,F282,'Festivos Colombia'!$A$3:$A$22),0)</f>
        <v>0</v>
      </c>
      <c r="I282">
        <f>NETWORKDAYS($J$113,F282,'Festivos Colombia'!$A$3:$A$22)</f>
        <v>20</v>
      </c>
      <c r="J282">
        <f>H282</f>
        <v>0</v>
      </c>
    </row>
    <row r="283">
      <c r="D283" t="str">
        <v>Nomina EOR-c1056 - Europortage</v>
      </c>
      <c r="E283">
        <v>31504846</v>
      </c>
      <c r="F283">
        <v>46017</v>
      </c>
      <c r="G283" t="str">
        <v>Cancelado</v>
      </c>
      <c r="H283">
        <f>IF(OR(G283="Sin pagar",G283="Pagar"),NETWORKDAYS($J$113,F283,'Festivos Colombia'!$A$3:$A$22),0)</f>
        <v>0</v>
      </c>
      <c r="I283">
        <f>NETWORKDAYS($J$113,F283,'Festivos Colombia'!$A$3:$A$22)</f>
        <v>20</v>
      </c>
      <c r="J283">
        <f>H283</f>
        <v>0</v>
      </c>
    </row>
    <row r="284">
      <c r="D284" t="str">
        <v>Nomina EOR-c1029 - Insider</v>
      </c>
      <c r="E284">
        <f>318129873</f>
        <v>318129873</v>
      </c>
      <c r="F284">
        <v>46017</v>
      </c>
      <c r="G284" t="str">
        <v>Cancelado</v>
      </c>
      <c r="H284">
        <f>IF(OR(G284="Sin pagar",G284="Pagar"),NETWORKDAYS($J$113,F284,'Festivos Colombia'!$A$3:$A$22),0)</f>
        <v>0</v>
      </c>
      <c r="I284">
        <f>NETWORKDAYS($J$113,F284,'Festivos Colombia'!$A$3:$A$22)</f>
        <v>20</v>
      </c>
      <c r="J284">
        <f>H284</f>
        <v>0</v>
      </c>
    </row>
    <row r="285">
      <c r="A285" t="str">
        <f>G285</f>
        <v>Cancelado</v>
      </c>
      <c r="B285">
        <f>IF(I285&lt;=-1,1,IF(I285&lt;=5,2,IF(I285&lt;=15,3,IF(H285&lt;=60,4))))</f>
        <v>4</v>
      </c>
      <c r="C285" t="str">
        <v>1 registro</v>
      </c>
      <c r="D285" t="str">
        <v xml:space="preserve">Embargo Fabian Morales- Banco Agrario </v>
      </c>
      <c r="E285">
        <v>998629</v>
      </c>
      <c r="F285">
        <v>46017</v>
      </c>
      <c r="G285" t="str">
        <v>Cancelado</v>
      </c>
      <c r="H285">
        <f>IF(OR(G285="Sin pagar",G285="Pagar"),NETWORKDAYS($J$113,F285,'Festivos Colombia'!$A$3:$A$22),0)</f>
        <v>0</v>
      </c>
      <c r="I285">
        <f>NETWORKDAYS($J$113,F285,'Festivos Colombia'!$A$3:$A$22)</f>
        <v>20</v>
      </c>
      <c r="J285">
        <f>H285</f>
        <v>0</v>
      </c>
    </row>
    <row r="286">
      <c r="A286" t="str">
        <f>G286</f>
        <v>Cancelado</v>
      </c>
      <c r="B286">
        <f>IF(I286&lt;=-1,1,IF(I286&lt;=5,2,IF(I286&lt;=15,3,IF(H286&lt;=60,4))))</f>
        <v>4</v>
      </c>
      <c r="C286" t="str">
        <v xml:space="preserve"> FPP433996</v>
      </c>
      <c r="D286" t="str">
        <v>People Pass bienestar, medios de transporte y alimentación</v>
      </c>
      <c r="E286">
        <v>14143501.556</v>
      </c>
      <c r="F286">
        <v>46017</v>
      </c>
      <c r="G286" t="str">
        <v>Cancelado</v>
      </c>
      <c r="H286">
        <f>IF(OR(G286="Sin pagar",G286="Pagar"),NETWORKDAYS($J$113,F286,'Festivos Colombia'!$A$3:$A$22),0)</f>
        <v>0</v>
      </c>
      <c r="I286">
        <f>NETWORKDAYS($J$113,F286,'Festivos Colombia'!$A$3:$A$22)</f>
        <v>20</v>
      </c>
      <c r="J286">
        <f>H286</f>
        <v>0</v>
      </c>
    </row>
    <row r="287">
      <c r="D287" t="str">
        <v>Prima extralegal AECID</v>
      </c>
      <c r="E287">
        <v>5713000</v>
      </c>
      <c r="F287">
        <v>46017</v>
      </c>
      <c r="G287" t="str">
        <v>Cancelado</v>
      </c>
      <c r="H287">
        <f>IF(OR(G287="Sin pagar",G287="Pagar"),NETWORKDAYS($J$113,F287,'Festivos Colombia'!$A$3:$A$22),0)</f>
        <v>0</v>
      </c>
      <c r="I287">
        <f>NETWORKDAYS($J$113,F287,'Festivos Colombia'!$A$3:$A$22)</f>
        <v>20</v>
      </c>
      <c r="J287">
        <f>H287</f>
        <v>0</v>
      </c>
    </row>
    <row r="288">
      <c r="A288" t="str">
        <f>G288</f>
        <v>Cancelado</v>
      </c>
      <c r="B288">
        <f>IF(I288&lt;=-1,1,IF(I288&lt;=5,2,IF(I288&lt;=15,3,IF(H288&lt;=60,4))))</f>
        <v>4</v>
      </c>
      <c r="C288" t="str">
        <v>6 registro</v>
      </c>
      <c r="D288" t="str">
        <v>Nomina Dream time Resort-Segunda quincena</v>
      </c>
      <c r="E288">
        <f>8724001*0</f>
        <v>0</v>
      </c>
      <c r="F288">
        <v>46021</v>
      </c>
      <c r="G288" t="str">
        <v>Cancelado</v>
      </c>
      <c r="H288">
        <f>IF(OR(G288="Sin pagar",G288="Pagar"),NETWORKDAYS($J$113,F288,'Festivos Colombia'!$A$3:$A$22),0)</f>
        <v>0</v>
      </c>
      <c r="I288">
        <f>NETWORKDAYS($J$113,F288,'Festivos Colombia'!$A$3:$A$22)</f>
        <v>22</v>
      </c>
      <c r="J288">
        <f>H288</f>
        <v>0</v>
      </c>
    </row>
    <row r="289">
      <c r="D289" t="str">
        <v>Anticipo cesantías yesela Agudelo Durango</v>
      </c>
      <c r="E289">
        <v>35912233</v>
      </c>
      <c r="F289">
        <v>46024</v>
      </c>
      <c r="G289" t="str">
        <v>Cancelado</v>
      </c>
      <c r="H289">
        <f>IF(OR(G289="Sin pagar",G289="Pagar"),NETWORKDAYS($J$113,F289,'Festivos Colombia'!$A$3:$A$22),0)</f>
        <v>0</v>
      </c>
      <c r="I289">
        <f>NETWORKDAYS($J$113,F289,'Festivos Colombia'!$A$3:$A$22)</f>
        <v>24</v>
      </c>
      <c r="J289">
        <f>H289</f>
        <v>0</v>
      </c>
    </row>
    <row r="290">
      <c r="D290" t="str">
        <v xml:space="preserve">LIQUIDACIONES </v>
      </c>
      <c r="E290">
        <f>SUBTOTAL(9,E291:E300)</f>
        <v>29726803</v>
      </c>
    </row>
    <row r="291">
      <c r="A291" t="e">
        <f>#REF!</f>
        <v>#REF!</v>
      </c>
      <c r="B291">
        <f>IF(I291&lt;=-1,1,IF(I291&lt;=5,2,IF(I291&lt;=15,3,IF(H291&lt;=60,4))))</f>
        <v>2</v>
      </c>
      <c r="D291" t="str">
        <v>Liquidación David stiven Aragon Andrade-remofirst</v>
      </c>
      <c r="E291">
        <f>2183270*0</f>
        <v>0</v>
      </c>
      <c r="F291">
        <v>45992</v>
      </c>
      <c r="G291" t="str">
        <v>Cancelado</v>
      </c>
      <c r="H291">
        <f>IF(OR(G291="Sin pagar",G291="Pagar"),NETWORKDAYS($J$113,F291,'Festivos Colombia'!$A$3:$A$22),0)</f>
        <v>0</v>
      </c>
      <c r="I291">
        <f>NETWORKDAYS($J$113,F291,'Festivos Colombia'!$A$3:$A$22)</f>
        <v>1</v>
      </c>
      <c r="J291">
        <f>H291</f>
        <v>0</v>
      </c>
    </row>
    <row r="292">
      <c r="A292" t="e">
        <f>#REF!</f>
        <v>#REF!</v>
      </c>
      <c r="B292">
        <f>IF(I292&lt;=-1,1,IF(I292&lt;=5,2,IF(I292&lt;=15,3,IF(H292&lt;=60,4))))</f>
        <v>2</v>
      </c>
      <c r="D292" t="str">
        <v>Liquidación Dany Alejandro Cabrera Vargas-remofirst</v>
      </c>
      <c r="E292">
        <f>15505265*0</f>
        <v>0</v>
      </c>
      <c r="F292">
        <v>45992</v>
      </c>
      <c r="G292" t="str">
        <v>Cancelado</v>
      </c>
      <c r="H292">
        <f>IF(OR(G292="Sin pagar",G292="Pagar"),NETWORKDAYS($J$113,F292,'Festivos Colombia'!$A$3:$A$22),0)</f>
        <v>0</v>
      </c>
      <c r="I292">
        <f>NETWORKDAYS($J$113,F292,'Festivos Colombia'!$A$3:$A$22)</f>
        <v>1</v>
      </c>
      <c r="J292">
        <f>H292</f>
        <v>0</v>
      </c>
    </row>
    <row r="293">
      <c r="A293" t="str">
        <f>G295</f>
        <v>Cancelado</v>
      </c>
      <c r="B293">
        <f>IF(I293&lt;=-1,1,IF(I293&lt;=5,2,IF(I293&lt;=15,3,IF(H293&lt;=60,4))))</f>
        <v>2</v>
      </c>
      <c r="D293" t="str">
        <v>Liquidación Jose Luis Sepulveda Forero-Neo</v>
      </c>
      <c r="E293">
        <f>21137500*0</f>
        <v>0</v>
      </c>
      <c r="F293">
        <v>45992</v>
      </c>
      <c r="G293" t="str">
        <v>Cancelado</v>
      </c>
      <c r="H293">
        <f>IF(OR(G293="Sin pagar",G293="Pagar"),NETWORKDAYS($J$113,F293,'Festivos Colombia'!$A$3:$A$22),0)</f>
        <v>0</v>
      </c>
      <c r="I293">
        <f>NETWORKDAYS($J$113,F293,'Festivos Colombia'!$A$3:$A$22)</f>
        <v>1</v>
      </c>
      <c r="J293">
        <f>H293</f>
        <v>0</v>
      </c>
    </row>
    <row r="294">
      <c r="A294" t="str">
        <f>G293</f>
        <v>Cancelado</v>
      </c>
      <c r="B294">
        <f>IF(I294&lt;=-1,1,IF(I294&lt;=5,2,IF(I294&lt;=15,3,IF(H294&lt;=60,4))))</f>
        <v>2</v>
      </c>
      <c r="D294" t="str">
        <v>Liquidación Carlos eduardo Castañeda-S&amp;P</v>
      </c>
      <c r="E294">
        <f>615735*0</f>
        <v>0</v>
      </c>
      <c r="F294">
        <v>45993</v>
      </c>
      <c r="G294" t="str">
        <v>Cancelado</v>
      </c>
      <c r="H294">
        <f>IF(OR(G294="Sin pagar",G294="Pagar"),NETWORKDAYS($J$113,F294,'Festivos Colombia'!$A$3:$A$22),0)</f>
        <v>0</v>
      </c>
      <c r="I294">
        <f>NETWORKDAYS($J$113,F294,'Festivos Colombia'!$A$3:$A$22)</f>
        <v>2</v>
      </c>
      <c r="J294">
        <f>H294</f>
        <v>0</v>
      </c>
    </row>
    <row r="295">
      <c r="A295" t="str">
        <f>G291</f>
        <v>Cancelado</v>
      </c>
      <c r="B295">
        <f>IF(I295&lt;=-1,1,IF(I295&lt;=5,2,IF(I295&lt;=15,3,IF(H295&lt;=60,4))))</f>
        <v>2</v>
      </c>
      <c r="D295" t="str">
        <v>Liquidación Jessica Tatiana Rojas-remofirst</v>
      </c>
      <c r="E295">
        <f>12528247*0</f>
        <v>0</v>
      </c>
      <c r="F295">
        <v>45994</v>
      </c>
      <c r="G295" t="str">
        <v>Cancelado</v>
      </c>
      <c r="H295">
        <f>IF(OR(G295="Sin pagar",G295="Pagar"),NETWORKDAYS($J$113,F295,'Festivos Colombia'!$A$3:$A$22),0)</f>
        <v>0</v>
      </c>
      <c r="I295">
        <f>NETWORKDAYS($J$113,F295,'Festivos Colombia'!$A$3:$A$22)</f>
        <v>3</v>
      </c>
      <c r="J295">
        <f>H295</f>
        <v>0</v>
      </c>
    </row>
    <row r="296">
      <c r="A296" t="str">
        <f>G292</f>
        <v>Cancelado</v>
      </c>
      <c r="B296">
        <f>IF(I296&lt;=-1,1,IF(I296&lt;=5,2,IF(I296&lt;=15,3,IF(H296&lt;=60,4))))</f>
        <v>3</v>
      </c>
      <c r="D296" t="str">
        <v>Liquidación Mario Alberto Serrano Velasquez -remofirst</v>
      </c>
      <c r="E296">
        <v>5452107</v>
      </c>
      <c r="F296">
        <v>46007</v>
      </c>
      <c r="G296" t="str">
        <v>Cancelado</v>
      </c>
      <c r="H296">
        <f>IF(OR(G296="Sin pagar",G296="Pagar"),NETWORKDAYS($J$113,F296,'Festivos Colombia'!$A$3:$A$22),0)</f>
        <v>0</v>
      </c>
      <c r="I296">
        <f>NETWORKDAYS($J$113,F296,'Festivos Colombia'!$A$3:$A$22)</f>
        <v>12</v>
      </c>
      <c r="J296">
        <f>H296</f>
        <v>0</v>
      </c>
    </row>
    <row r="297">
      <c r="A297" t="str">
        <f>G293</f>
        <v>Cancelado</v>
      </c>
      <c r="B297">
        <f>IF(I297&lt;=-1,1,IF(I297&lt;=5,2,IF(I297&lt;=15,3,IF(H297&lt;=60,4))))</f>
        <v>3</v>
      </c>
      <c r="D297" t="str">
        <v>Liquidación Michael Pertuz -S&amp;P</v>
      </c>
      <c r="E297">
        <v>2219210</v>
      </c>
      <c r="F297">
        <v>46010</v>
      </c>
      <c r="G297" t="str">
        <v>Cancelado</v>
      </c>
      <c r="H297">
        <f>IF(OR(G297="Sin pagar",G297="Pagar"),NETWORKDAYS($J$113,F297,'Festivos Colombia'!$A$3:$A$22),0)</f>
        <v>0</v>
      </c>
      <c r="I297">
        <f>NETWORKDAYS($J$113,F297,'Festivos Colombia'!$A$3:$A$22)</f>
        <v>15</v>
      </c>
      <c r="J297">
        <f>H297</f>
        <v>0</v>
      </c>
    </row>
    <row r="298">
      <c r="A298" t="str">
        <f>G294</f>
        <v>Cancelado</v>
      </c>
      <c r="B298">
        <f>IF(I298&lt;=-1,1,IF(I298&lt;=5,2,IF(I298&lt;=15,3,IF(H298&lt;=60,4))))</f>
        <v>4</v>
      </c>
      <c r="D298" t="str">
        <v>Liquidación Nataly Carvajal -S&amp;P</v>
      </c>
      <c r="E298">
        <v>2309494</v>
      </c>
      <c r="F298">
        <v>46020</v>
      </c>
      <c r="G298" t="str">
        <v>Cancelado</v>
      </c>
      <c r="H298">
        <f>IF(OR(G298="Sin pagar",G298="Pagar"),NETWORKDAYS($J$113,F298,'Festivos Colombia'!$A$3:$A$22),0)</f>
        <v>0</v>
      </c>
      <c r="I298">
        <f>NETWORKDAYS($J$113,F298,'Festivos Colombia'!$A$3:$A$22)</f>
        <v>21</v>
      </c>
      <c r="J298">
        <f>H298</f>
        <v>0</v>
      </c>
    </row>
    <row r="299">
      <c r="A299" t="str">
        <f>G295</f>
        <v>Cancelado</v>
      </c>
      <c r="B299">
        <f>IF(I299&lt;=-1,1,IF(I299&lt;=5,2,IF(I299&lt;=15,3,IF(H299&lt;=60,4))))</f>
        <v>4</v>
      </c>
      <c r="D299" t="str">
        <v>Liquidación Isabel Aguirre Guarin-remofirst</v>
      </c>
      <c r="E299">
        <v>11757931</v>
      </c>
      <c r="F299">
        <v>46027</v>
      </c>
      <c r="G299" t="str">
        <v>Cancelado</v>
      </c>
      <c r="H299">
        <f>IF(OR(G299="Sin pagar",G299="Pagar"),NETWORKDAYS($J$113,F299,'Festivos Colombia'!$A$3:$A$22),0)</f>
        <v>0</v>
      </c>
      <c r="I299">
        <f>NETWORKDAYS($J$113,F299,'Festivos Colombia'!$A$3:$A$22)</f>
        <v>25</v>
      </c>
      <c r="J299">
        <f>H299</f>
        <v>0</v>
      </c>
    </row>
    <row r="300">
      <c r="A300" t="str">
        <f>G296</f>
        <v>Cancelado</v>
      </c>
      <c r="B300">
        <f>IF(I300&lt;=-1,1,IF(I300&lt;=5,2,IF(I300&lt;=15,3,IF(H300&lt;=60,4))))</f>
        <v>4</v>
      </c>
      <c r="D300" t="str">
        <v>Liquidación Jonathan Novoa Cain -remofirst</v>
      </c>
      <c r="E300">
        <v>7988061</v>
      </c>
      <c r="F300">
        <v>46027</v>
      </c>
      <c r="G300" t="str">
        <v>Cancelado</v>
      </c>
      <c r="H300">
        <f>IF(OR(G300="Sin pagar",G300="Pagar"),NETWORKDAYS($J$113,F300,'Festivos Colombia'!$A$3:$A$22),0)</f>
        <v>0</v>
      </c>
      <c r="I300">
        <f>NETWORKDAYS($J$113,F300,'Festivos Colombia'!$A$3:$A$22)</f>
        <v>25</v>
      </c>
      <c r="J300">
        <f>H300</f>
        <v>0</v>
      </c>
    </row>
    <row r="301">
      <c r="D301" t="str">
        <v>IMPREVISTO</v>
      </c>
      <c r="E301">
        <f>SUBTOTAL(9,E302:E324)</f>
        <v>33033398</v>
      </c>
    </row>
    <row r="302">
      <c r="A302" t="str">
        <f>G302</f>
        <v>Cancelado</v>
      </c>
      <c r="B302">
        <f>IF(I302&lt;=-1,1,IF(I302&lt;=5,2,IF(I302&lt;=15,3,IF(H302&lt;=60,4))))</f>
        <v>2</v>
      </c>
      <c r="C302" t="str">
        <v>FPP423003</v>
      </c>
      <c r="D302" t="str">
        <v>Abono people pass Nathalie Vaquiro</v>
      </c>
      <c r="E302">
        <f>540842*0</f>
        <v>0</v>
      </c>
      <c r="F302">
        <v>45992</v>
      </c>
      <c r="G302" t="str">
        <v>Cancelado</v>
      </c>
      <c r="H302">
        <f>IF(OR(G302="Sin pagar",G302="Pagar"),NETWORKDAYS($J$113,F302,'Festivos Colombia'!$A$3:$A$22),0)</f>
        <v>0</v>
      </c>
      <c r="I302">
        <f>NETWORKDAYS($J$113,F302,'Festivos Colombia'!$A$3:$A$22)</f>
        <v>1</v>
      </c>
      <c r="J302">
        <f>H302</f>
        <v>0</v>
      </c>
    </row>
    <row r="303">
      <c r="A303" t="str">
        <f>G303</f>
        <v>Cancelado</v>
      </c>
      <c r="B303">
        <f>IF(I303&lt;=-1,1,IF(I303&lt;=5,2,IF(I303&lt;=15,3,IF(H303&lt;=60,4))))</f>
        <v>2</v>
      </c>
      <c r="D303" t="str">
        <v>Ricardo arambulo -reembolsos gastos</v>
      </c>
      <c r="E303">
        <f>2692417.88*0</f>
        <v>0</v>
      </c>
      <c r="F303">
        <v>45992</v>
      </c>
      <c r="G303" t="str">
        <v>Cancelado</v>
      </c>
      <c r="H303">
        <f>IF(OR(G303="Sin pagar",G303="Pagar"),NETWORKDAYS($J$113,F303,'Festivos Colombia'!$A$3:$A$22),0)</f>
        <v>0</v>
      </c>
      <c r="I303">
        <f>NETWORKDAYS($J$113,F303,'Festivos Colombia'!$A$3:$A$22)</f>
        <v>1</v>
      </c>
      <c r="J303">
        <f>H303</f>
        <v>0</v>
      </c>
    </row>
    <row r="304">
      <c r="A304" t="str">
        <f>G304</f>
        <v>Cancelado</v>
      </c>
      <c r="B304">
        <f>IF(I304&lt;=-1,1,IF(I304&lt;=5,2,IF(I304&lt;=15,3,IF(H304&lt;=60,4))))</f>
        <v>2</v>
      </c>
      <c r="D304" t="str">
        <v>Pago viaje Ricardo arambulo republica dominicana</v>
      </c>
      <c r="E304">
        <f>2568594*0</f>
        <v>0</v>
      </c>
      <c r="F304">
        <v>45992</v>
      </c>
      <c r="G304" t="str">
        <v>Cancelado</v>
      </c>
      <c r="H304">
        <f>IF(OR(G304="Sin pagar",G304="Pagar"),NETWORKDAYS($J$113,F304,'Festivos Colombia'!$A$3:$A$22),0)</f>
        <v>0</v>
      </c>
      <c r="I304">
        <f>NETWORKDAYS($J$113,F304,'Festivos Colombia'!$A$3:$A$22)</f>
        <v>1</v>
      </c>
      <c r="J304">
        <f>H304</f>
        <v>0</v>
      </c>
    </row>
    <row r="305">
      <c r="A305" t="str">
        <f>G305</f>
        <v>Cancelado</v>
      </c>
      <c r="B305">
        <f>IF(I305&lt;=-1,1,IF(I305&lt;=5,2,IF(I305&lt;=15,3,IF(H305&lt;=60,4))))</f>
        <v>2</v>
      </c>
      <c r="D305" t="str">
        <v>Ricardo arambulo -reembolsos gastos</v>
      </c>
      <c r="E305">
        <f>2029500*0</f>
        <v>0</v>
      </c>
      <c r="F305">
        <v>45993</v>
      </c>
      <c r="G305" t="str">
        <v>Cancelado</v>
      </c>
      <c r="H305">
        <f>IF(OR(G305="Sin pagar",G305="Pagar"),NETWORKDAYS($J$113,F305,'Festivos Colombia'!$A$3:$A$22),0)</f>
        <v>0</v>
      </c>
      <c r="I305">
        <f>NETWORKDAYS($J$113,F305,'Festivos Colombia'!$A$3:$A$22)</f>
        <v>2</v>
      </c>
      <c r="J305">
        <f>H305</f>
        <v>0</v>
      </c>
    </row>
    <row r="306">
      <c r="A306" t="str">
        <f>G306</f>
        <v>Cancelado</v>
      </c>
      <c r="B306">
        <f>IF(I306&lt;=-1,1,IF(I306&lt;=5,2,IF(I306&lt;=15,3,IF(H306&lt;=60,4))))</f>
        <v>2</v>
      </c>
      <c r="C306" t="str">
        <v>003</v>
      </c>
      <c r="D306" t="str">
        <v>Edgar Arambulo -(Ricardo arambulo -Bono)</v>
      </c>
      <c r="E306">
        <v>1386476</v>
      </c>
      <c r="F306">
        <v>45994</v>
      </c>
      <c r="G306" t="str">
        <v>Cancelado</v>
      </c>
      <c r="H306">
        <f>IF(OR(G306="Sin pagar",G306="Pagar"),NETWORKDAYS($J$113,F306,'Festivos Colombia'!$A$3:$A$22),0)</f>
        <v>0</v>
      </c>
      <c r="I306">
        <f>NETWORKDAYS($J$113,F306,'Festivos Colombia'!$A$3:$A$22)</f>
        <v>3</v>
      </c>
      <c r="J306">
        <f>H306</f>
        <v>0</v>
      </c>
    </row>
    <row r="307">
      <c r="A307" t="str">
        <f>G307</f>
        <v>Cancelado</v>
      </c>
      <c r="B307">
        <f>IF(I307&lt;=-1,1,IF(I307&lt;=5,2,IF(I307&lt;=15,3,IF(H307&lt;=60,4))))</f>
        <v>2</v>
      </c>
      <c r="C307" t="str">
        <v>1</v>
      </c>
      <c r="D307" t="str">
        <v>Saldo final Cuenta de cobro Jhon Alexander Soler Leon - Transporte despedida fin de año</v>
      </c>
      <c r="E307">
        <v>596688</v>
      </c>
      <c r="F307">
        <v>45994</v>
      </c>
      <c r="G307" t="str">
        <v>Cancelado</v>
      </c>
      <c r="H307">
        <f>IF(OR(G307="Sin pagar",G307="Pagar"),NETWORKDAYS($J$113,F307,'Festivos Colombia'!$A$3:$A$22),0)</f>
        <v>0</v>
      </c>
      <c r="I307">
        <f>NETWORKDAYS($J$113,F307,'Festivos Colombia'!$A$3:$A$22)</f>
        <v>3</v>
      </c>
      <c r="J307">
        <f>H307</f>
        <v>0</v>
      </c>
    </row>
    <row r="308">
      <c r="A308" t="str">
        <f>G308</f>
        <v>Cancelado</v>
      </c>
      <c r="B308">
        <f>IF(I308&lt;=-1,1,IF(I308&lt;=5,2,IF(I308&lt;=15,3,IF(H308&lt;=60,4))))</f>
        <v>2</v>
      </c>
      <c r="D308" t="str">
        <v>Regalos coporativos clientes  50% Saldo final -Artesanía Cattaleya.Guz</v>
      </c>
      <c r="E308">
        <f>(1056000*50%)</f>
        <v>528000</v>
      </c>
      <c r="F308">
        <v>45995</v>
      </c>
      <c r="G308" t="str">
        <v>Cancelado</v>
      </c>
      <c r="H308">
        <f>IF(OR(G308="Sin pagar",G308="Pagar"),NETWORKDAYS($J$113,F308,'Festivos Colombia'!$A$3:$A$22),0)</f>
        <v>0</v>
      </c>
      <c r="I308">
        <f>NETWORKDAYS($J$113,F308,'Festivos Colombia'!$A$3:$A$22)</f>
        <v>4</v>
      </c>
      <c r="J308">
        <f>H308</f>
        <v>0</v>
      </c>
    </row>
    <row r="309">
      <c r="A309" t="str">
        <f>G309</f>
        <v>Cancelado</v>
      </c>
      <c r="B309">
        <f>IF(I309&lt;=-1,1,IF(I309&lt;=5,2,IF(I309&lt;=15,3,IF(H309&lt;=60,4))))</f>
        <v>2</v>
      </c>
      <c r="D309" t="str">
        <v>Despedida fin año Saldo final-Fanauticos</v>
      </c>
      <c r="E309">
        <f>(7125750/2)</f>
        <v>3562875</v>
      </c>
      <c r="F309">
        <v>45995</v>
      </c>
      <c r="G309" t="str">
        <v>Cancelado</v>
      </c>
      <c r="H309">
        <f>IF(OR(G309="Sin pagar",G309="Pagar"),NETWORKDAYS($J$113,F309,'Festivos Colombia'!$A$3:$A$22),0)</f>
        <v>0</v>
      </c>
      <c r="I309">
        <f>NETWORKDAYS($J$113,F309,'Festivos Colombia'!$A$3:$A$22)</f>
        <v>4</v>
      </c>
      <c r="J309">
        <f>H309</f>
        <v>0</v>
      </c>
    </row>
    <row r="310">
      <c r="A310" t="str">
        <f>G310</f>
        <v>Cancelado</v>
      </c>
      <c r="B310">
        <f>IF(I310&lt;=-1,1,IF(I310&lt;=5,2,IF(I310&lt;=15,3,IF(H310&lt;=60,4))))</f>
        <v>2</v>
      </c>
      <c r="C310" t="str">
        <v>502C123494</v>
      </c>
      <c r="D310" t="str">
        <v>Donación para fundación de niños - Paula Forero</v>
      </c>
      <c r="E310">
        <v>1001300</v>
      </c>
      <c r="F310">
        <v>45995</v>
      </c>
      <c r="G310" t="str">
        <v>Cancelado</v>
      </c>
      <c r="H310">
        <f>IF(OR(G310="Sin pagar",G310="Pagar"),NETWORKDAYS($J$113,F310,'Festivos Colombia'!$A$3:$A$22),0)</f>
        <v>0</v>
      </c>
      <c r="I310">
        <f>NETWORKDAYS($J$113,F310,'Festivos Colombia'!$A$3:$A$22)</f>
        <v>4</v>
      </c>
      <c r="J310">
        <f>H310</f>
        <v>0</v>
      </c>
    </row>
    <row r="311">
      <c r="A311" t="str">
        <f>G311</f>
        <v>Cancelado</v>
      </c>
      <c r="B311">
        <f>IF(I311&lt;=-1,1,IF(I311&lt;=5,2,IF(I311&lt;=15,3,IF(H311&lt;=60,4))))</f>
        <v>3</v>
      </c>
      <c r="D311" t="str">
        <v>Reembolso de gastos Eduard Forero</v>
      </c>
      <c r="E311">
        <v>1569837</v>
      </c>
      <c r="F311">
        <v>46001</v>
      </c>
      <c r="G311" t="str">
        <v>Cancelado</v>
      </c>
      <c r="H311">
        <f>IF(OR(G311="Sin pagar",G311="Pagar"),NETWORKDAYS($J$113,F311,'Festivos Colombia'!$A$3:$A$22),0)</f>
        <v>0</v>
      </c>
      <c r="I311">
        <f>NETWORKDAYS($J$113,F311,'Festivos Colombia'!$A$3:$A$22)</f>
        <v>8</v>
      </c>
      <c r="J311">
        <f>H311</f>
        <v>0</v>
      </c>
    </row>
    <row r="312">
      <c r="A312" t="str">
        <f>G312</f>
        <v>Cancelado</v>
      </c>
      <c r="B312">
        <f>IF(I312&lt;=-1,1,IF(I312&lt;=5,2,IF(I312&lt;=15,3,IF(H312&lt;=60,4))))</f>
        <v>3</v>
      </c>
      <c r="D312" t="str">
        <v>Gastos asociados por el envio de los recursos a BCP Perú dinero Europortage</v>
      </c>
      <c r="E312">
        <v>2137321</v>
      </c>
      <c r="F312">
        <v>46008</v>
      </c>
      <c r="G312" t="str">
        <v>Cancelado</v>
      </c>
      <c r="H312">
        <f>IF(OR(G312="Sin pagar",G312="Pagar"),NETWORKDAYS($J$113,F312,'Festivos Colombia'!$A$3:$A$22),0)</f>
        <v>0</v>
      </c>
      <c r="I312">
        <f>NETWORKDAYS($J$113,F312,'Festivos Colombia'!$A$3:$A$22)</f>
        <v>13</v>
      </c>
      <c r="J312">
        <f>H312</f>
        <v>0</v>
      </c>
    </row>
    <row r="313">
      <c r="A313" t="str">
        <f>G313</f>
        <v>Cancelado</v>
      </c>
      <c r="B313">
        <f>IF(I313&lt;=-1,1,IF(I313&lt;=5,2,IF(I313&lt;=15,3,IF(H313&lt;=60,4))))</f>
        <v>3</v>
      </c>
      <c r="D313" t="str">
        <v>Préstamo de dinero Nathalie Vaquiro</v>
      </c>
      <c r="E313">
        <v>2700000</v>
      </c>
      <c r="F313">
        <v>46008</v>
      </c>
      <c r="G313" t="str">
        <v>Cancelado</v>
      </c>
      <c r="H313">
        <f>IF(OR(G313="Sin pagar",G313="Pagar"),NETWORKDAYS($J$113,F313,'Festivos Colombia'!$A$3:$A$22),0)</f>
        <v>0</v>
      </c>
      <c r="I313">
        <f>NETWORKDAYS($J$113,F313,'Festivos Colombia'!$A$3:$A$22)</f>
        <v>13</v>
      </c>
      <c r="J313">
        <f>H313</f>
        <v>0</v>
      </c>
    </row>
    <row r="314">
      <c r="A314" t="str">
        <f>G314</f>
        <v>Cancelado</v>
      </c>
      <c r="B314">
        <f>IF(I314&lt;=-1,1,IF(I314&lt;=5,2,IF(I314&lt;=15,3,IF(H314&lt;=60,4))))</f>
        <v>3</v>
      </c>
      <c r="D314" t="str">
        <v xml:space="preserve">Reembolso de gastos Alfonso Fonseca almuerzo líderes </v>
      </c>
      <c r="E314">
        <v>376200</v>
      </c>
      <c r="F314">
        <v>46010</v>
      </c>
      <c r="G314" t="str">
        <v>Cancelado</v>
      </c>
      <c r="H314">
        <f>IF(OR(G314="Sin pagar",G314="Pagar"),NETWORKDAYS($J$113,F314,'Festivos Colombia'!$A$3:$A$22),0)</f>
        <v>0</v>
      </c>
      <c r="I314">
        <f>NETWORKDAYS($J$113,F314,'Festivos Colombia'!$A$3:$A$22)</f>
        <v>15</v>
      </c>
      <c r="J314">
        <f>H314</f>
        <v>0</v>
      </c>
    </row>
    <row r="315">
      <c r="A315" t="str">
        <f>G315</f>
        <v>Cancelado</v>
      </c>
      <c r="B315">
        <f>IF(I315&lt;=-1,1,IF(I315&lt;=5,2,IF(I315&lt;=15,3,IF(H315&lt;=60,4))))</f>
        <v>3</v>
      </c>
      <c r="C315" t="str">
        <v>FPP431712</v>
      </c>
      <c r="D315" t="str">
        <v>Solicitud de tarjetas people pass dotación</v>
      </c>
      <c r="E315">
        <v>58905</v>
      </c>
      <c r="F315">
        <v>46010</v>
      </c>
      <c r="G315" t="str">
        <v>Cancelado</v>
      </c>
      <c r="H315">
        <f>IF(OR(G315="Sin pagar",G315="Pagar"),NETWORKDAYS($J$113,F315,'Festivos Colombia'!$A$3:$A$22),0)</f>
        <v>0</v>
      </c>
      <c r="I315">
        <f>NETWORKDAYS($J$113,F315,'Festivos Colombia'!$A$3:$A$22)</f>
        <v>15</v>
      </c>
      <c r="J315">
        <f>H315</f>
        <v>0</v>
      </c>
    </row>
    <row r="316">
      <c r="A316" t="str">
        <f>G316</f>
        <v>Cancelado</v>
      </c>
      <c r="B316">
        <f>IF(I316&lt;=-1,1,IF(I316&lt;=5,2,IF(I316&lt;=15,3,IF(H316&lt;=60,4))))</f>
        <v>3</v>
      </c>
      <c r="D316" t="str">
        <v xml:space="preserve">Reembolso de gastos Luisa Diaz actividad cazuca y pago linkedln oferta laboral </v>
      </c>
      <c r="E316">
        <v>786350</v>
      </c>
      <c r="F316">
        <v>46010</v>
      </c>
      <c r="G316" t="str">
        <v>Cancelado</v>
      </c>
      <c r="H316">
        <f>IF(OR(G316="Sin pagar",G316="Pagar"),NETWORKDAYS($J$113,F316,'Festivos Colombia'!$A$3:$A$22),0)</f>
        <v>0</v>
      </c>
      <c r="I316">
        <f>NETWORKDAYS($J$113,F316,'Festivos Colombia'!$A$3:$A$22)</f>
        <v>15</v>
      </c>
      <c r="J316">
        <f>H316</f>
        <v>0</v>
      </c>
    </row>
    <row r="317">
      <c r="A317" t="str">
        <f>G317</f>
        <v>Cancelado</v>
      </c>
      <c r="B317">
        <f>IF(I317&lt;=-1,1,IF(I317&lt;=5,2,IF(I317&lt;=15,3,IF(H317&lt;=60,4))))</f>
        <v>4</v>
      </c>
      <c r="D317" t="str">
        <v>Préstamo de dinero a Root capital para préstamo pago nóminas diciembre</v>
      </c>
      <c r="E317">
        <v>12000000</v>
      </c>
      <c r="F317">
        <v>46014</v>
      </c>
      <c r="G317" t="str">
        <v>Cancelado</v>
      </c>
      <c r="H317">
        <f>IF(OR(G317="Sin pagar",G317="Pagar"),NETWORKDAYS($J$113,F317,'Festivos Colombia'!$A$3:$A$22),0)</f>
        <v>0</v>
      </c>
      <c r="I317">
        <f>NETWORKDAYS($J$113,F317,'Festivos Colombia'!$A$3:$A$22)</f>
        <v>17</v>
      </c>
      <c r="J317">
        <f>H317</f>
        <v>0</v>
      </c>
    </row>
    <row r="318">
      <c r="A318" t="str">
        <f>G318</f>
        <v>Cancelado</v>
      </c>
      <c r="B318">
        <f>IF(I318&lt;=-1,1,IF(I318&lt;=5,2,IF(I318&lt;=15,3,IF(H318&lt;=60,4))))</f>
        <v>4</v>
      </c>
      <c r="D318" t="str">
        <v>Reembolso de gastos Desayuno líderes el 18 de diciembre( Viviana Guzman)</v>
      </c>
      <c r="E318">
        <v>287700</v>
      </c>
      <c r="F318">
        <v>46014</v>
      </c>
      <c r="G318" t="str">
        <v>Cancelado</v>
      </c>
      <c r="H318">
        <f>IF(OR(G318="Sin pagar",G318="Pagar"),NETWORKDAYS($J$113,F318,'Festivos Colombia'!$A$3:$A$22),0)</f>
        <v>0</v>
      </c>
      <c r="I318">
        <f>NETWORKDAYS($J$113,F318,'Festivos Colombia'!$A$3:$A$22)</f>
        <v>17</v>
      </c>
      <c r="J318">
        <f>H318</f>
        <v>0</v>
      </c>
    </row>
    <row r="319">
      <c r="A319" t="str">
        <f>G319</f>
        <v>Cancelado</v>
      </c>
      <c r="B319">
        <f>IF(I319&lt;=-1,1,IF(I319&lt;=5,2,IF(I319&lt;=15,3,IF(H319&lt;=60,4))))</f>
        <v>4</v>
      </c>
      <c r="D319" t="str">
        <v>Aporte voluntario institucional protección Ricardo</v>
      </c>
      <c r="E319">
        <v>5000000</v>
      </c>
      <c r="F319">
        <v>46015</v>
      </c>
      <c r="G319" t="str">
        <v>Cancelado</v>
      </c>
      <c r="H319">
        <f>IF(OR(G319="Sin pagar",G319="Pagar"),NETWORKDAYS($J$113,F319,'Festivos Colombia'!$A$3:$A$22),0)</f>
        <v>0</v>
      </c>
      <c r="I319">
        <f>NETWORKDAYS($J$113,F319,'Festivos Colombia'!$A$3:$A$22)</f>
        <v>18</v>
      </c>
      <c r="J319">
        <f>H319</f>
        <v>0</v>
      </c>
    </row>
    <row r="320">
      <c r="A320" t="str">
        <f>G320</f>
        <v>Cancelado</v>
      </c>
      <c r="B320">
        <f>IF(I320&lt;=-1,1,IF(I320&lt;=5,2,IF(I320&lt;=15,3,IF(H320&lt;=60,4))))</f>
        <v>4</v>
      </c>
      <c r="D320" t="str">
        <v>Pago Estudio Visa Halja Pilvisto</v>
      </c>
      <c r="E320">
        <v>221940</v>
      </c>
      <c r="F320">
        <v>46020</v>
      </c>
      <c r="G320" t="str">
        <v>Cancelado</v>
      </c>
      <c r="H320">
        <f>IF(OR(G320="Sin pagar",G320="Pagar"),NETWORKDAYS($J$113,F320,'Festivos Colombia'!$A$3:$A$22),0)</f>
        <v>0</v>
      </c>
      <c r="I320">
        <f>NETWORKDAYS($J$113,F320,'Festivos Colombia'!$A$3:$A$22)</f>
        <v>21</v>
      </c>
      <c r="J320">
        <f>H320</f>
        <v>0</v>
      </c>
    </row>
    <row r="321">
      <c r="A321" t="str">
        <f>G321</f>
        <v>Cancelado</v>
      </c>
      <c r="B321">
        <f>IF(I321&lt;=-1,1,IF(I321&lt;=5,2,IF(I321&lt;=15,3,IF(H321&lt;=60,4))))</f>
        <v>4</v>
      </c>
      <c r="D321" t="str">
        <v>Base refrigerante Victor Alonso Bustamante EOR</v>
      </c>
      <c r="E321">
        <v>42806</v>
      </c>
      <c r="F321">
        <v>46020</v>
      </c>
      <c r="G321" t="str">
        <v>Cancelado</v>
      </c>
      <c r="H321">
        <f>IF(OR(G321="Sin pagar",G321="Pagar"),NETWORKDAYS($J$113,F321,'Festivos Colombia'!$A$3:$A$22),0)</f>
        <v>0</v>
      </c>
      <c r="I321">
        <f>NETWORKDAYS($J$113,F321,'Festivos Colombia'!$A$3:$A$22)</f>
        <v>21</v>
      </c>
      <c r="J321">
        <f>H321</f>
        <v>0</v>
      </c>
    </row>
    <row r="322">
      <c r="A322" t="str">
        <f>G322</f>
        <v>Cancelado</v>
      </c>
      <c r="B322">
        <f>IF(I322&lt;=-1,1,IF(I322&lt;=5,2,IF(I322&lt;=15,3,IF(H322&lt;=60,4))))</f>
        <v>4</v>
      </c>
      <c r="C322" t="str">
        <v>13957925</v>
      </c>
      <c r="D322" t="str">
        <v>Pago de inscripción de documentos camara de comercio- Revisor fiscal</v>
      </c>
      <c r="E322">
        <v>777000</v>
      </c>
      <c r="F322">
        <v>46020</v>
      </c>
      <c r="G322" t="str">
        <v>Cancelado</v>
      </c>
      <c r="H322">
        <f>IF(OR(G322="Sin pagar",G322="Pagar"),NETWORKDAYS($J$113,F322,'Festivos Colombia'!$A$3:$A$22),0)</f>
        <v>0</v>
      </c>
      <c r="I322">
        <f>NETWORKDAYS($J$113,F322,'Festivos Colombia'!$A$3:$A$22)</f>
        <v>21</v>
      </c>
      <c r="J322">
        <f>H322</f>
        <v>0</v>
      </c>
    </row>
    <row r="323">
      <c r="A323" t="str">
        <f>G323</f>
        <v>Cancelado</v>
      </c>
      <c r="B323">
        <f>IF(I323&lt;=-1,1,IF(I323&lt;=5,2,IF(I323&lt;=15,3,IF(H323&lt;=60,4))))</f>
        <v>4</v>
      </c>
      <c r="D323" t="str">
        <v>Devolución de anticipo de tarjetas Endrignton-Primer Giro</v>
      </c>
      <c r="E323">
        <f>((48512000+41000000))*0</f>
        <v>0</v>
      </c>
      <c r="F323">
        <v>46022</v>
      </c>
      <c r="G323" t="str">
        <v>Cancelado</v>
      </c>
      <c r="H323">
        <f>IF(OR(G323="Sin pagar",G323="Pagar"),NETWORKDAYS($J$113,F323,'Festivos Colombia'!$A$3:$A$22),0)</f>
        <v>0</v>
      </c>
      <c r="I323">
        <f>NETWORKDAYS($J$113,F323,'Festivos Colombia'!$A$3:$A$22)</f>
        <v>23</v>
      </c>
      <c r="J323">
        <f>H323</f>
        <v>0</v>
      </c>
    </row>
    <row r="324">
      <c r="A324" t="str">
        <f>G324</f>
        <v>Cancelado</v>
      </c>
      <c r="B324">
        <f>IF(I324&lt;=-1,1,IF(I324&lt;=5,2,IF(I324&lt;=15,3,IF(H324&lt;=60,4))))</f>
        <v>4</v>
      </c>
      <c r="D324" t="str">
        <v>Fondeo dinero honduras</v>
      </c>
      <c r="E324">
        <f>20000000*0</f>
        <v>0</v>
      </c>
      <c r="F324">
        <v>46022</v>
      </c>
      <c r="G324" t="str">
        <v>Cancelado</v>
      </c>
      <c r="H324">
        <f>IF(OR(G324="Sin pagar",G324="Pagar"),NETWORKDAYS($J$113,F324,'Festivos Colombia'!$A$3:$A$22),0)</f>
        <v>0</v>
      </c>
      <c r="I324">
        <f>NETWORKDAYS($J$113,F324,'Festivos Colombia'!$A$3:$A$22)</f>
        <v>23</v>
      </c>
      <c r="J324">
        <f>H324</f>
        <v>0</v>
      </c>
    </row>
    <row r="325">
      <c r="D325" t="str">
        <v>TOTAL EGRESOS</v>
      </c>
      <c r="E325">
        <f>SUBTOTAL(9,E115:E324)</f>
        <v>2887281484.1103406</v>
      </c>
    </row>
    <row r="327">
      <c r="D327" t="str">
        <v>SALDO</v>
      </c>
      <c r="E327" t="e">
        <f>E110-E325</f>
        <v>#REF!</v>
      </c>
    </row>
    <row r="328">
      <c r="D328" t="str">
        <v xml:space="preserve">% </v>
      </c>
      <c r="E328" t="e">
        <f>IF($E$110=0,0,E327/$E$110)</f>
        <v>#REF!</v>
      </c>
    </row>
    <row r="330">
      <c r="D330" t="str">
        <v>Nombre</v>
      </c>
    </row>
    <row r="331">
      <c r="D331" t="str">
        <v>Jerson Porras -Tarjeta 7</v>
      </c>
      <c r="E331" t="str">
        <v>Carestream</v>
      </c>
    </row>
    <row r="332">
      <c r="D332" t="str">
        <v>Monica Fabiana Hernandez Pinto - Tarjeta 8</v>
      </c>
      <c r="E332" t="str">
        <v>Root capital</v>
      </c>
    </row>
    <row r="334">
      <c r="D334" t="str">
        <v>PAGOS POR SEMANAS</v>
      </c>
    </row>
    <row r="336">
      <c r="D336" t="str">
        <v>Pagos del 01 al 31 diciembre</v>
      </c>
      <c r="E336">
        <f>SUM(DISTRIBUCIÓN!F5:F11)*0</f>
        <v>0</v>
      </c>
    </row>
    <row r="337">
      <c r="D337" t="str">
        <v xml:space="preserve">4 x mil </v>
      </c>
      <c r="E337">
        <f>(E336*4)/1000</f>
        <v>0</v>
      </c>
    </row>
    <row r="338">
      <c r="D338" t="str">
        <v>Gran total</v>
      </c>
      <c r="E338">
        <f>E336+E337</f>
        <v>0</v>
      </c>
    </row>
    <row r="341">
      <c r="D341" t="str">
        <v>BBVA 06/01/2026</v>
      </c>
      <c r="E341">
        <v>146987261.63</v>
      </c>
    </row>
    <row r="342">
      <c r="D342" t="str">
        <v>Bancolombia 06/01/2026</v>
      </c>
      <c r="E342">
        <v>910456845.18</v>
      </c>
    </row>
    <row r="343">
      <c r="D343" t="str">
        <v xml:space="preserve">Total Caja </v>
      </c>
      <c r="E343">
        <f>SUM(E341:E342)</f>
        <v>1057444106.81</v>
      </c>
    </row>
    <row r="345">
      <c r="D345" t="str">
        <v>Superavit o Deficit</v>
      </c>
      <c r="E345">
        <f>E343-E338</f>
        <v>1057444106.81</v>
      </c>
    </row>
    <row r="348">
      <c r="D348" t="str">
        <v>Banco Panamá S&amp;P USD 06/01/2026</v>
      </c>
      <c r="E348">
        <v>2611.57</v>
      </c>
    </row>
    <row r="349">
      <c r="D349" t="str">
        <v>BAC Costa Rica  ₡ 06/01/2026</v>
      </c>
      <c r="E349">
        <v>22330573.58</v>
      </c>
      <c r="F349">
        <f>E349/505</f>
        <v>44218.957584158416</v>
      </c>
      <c r="G349">
        <f>F349+E350</f>
        <v>55637.1646252789</v>
      </c>
    </row>
    <row r="350">
      <c r="D350" t="str">
        <v>BAC Costa Rica  USD 06/01/2026</v>
      </c>
      <c r="E350">
        <v>11418.207041120482</v>
      </c>
    </row>
    <row r="351">
      <c r="D351" t="str">
        <v>Banco Bibankg Guatemala QTZ 06/01/2026</v>
      </c>
      <c r="E351">
        <v>224335.36089999927</v>
      </c>
      <c r="F351">
        <f>E351/7.46</f>
        <v>30071.76419571036</v>
      </c>
      <c r="G351">
        <f>F351+E352</f>
        <v>37229.96419571036</v>
      </c>
    </row>
    <row r="352">
      <c r="D352" t="str">
        <v>Banco Bibankg Guatemala USD 06/01/2026</v>
      </c>
      <c r="E352">
        <v>7158.2</v>
      </c>
    </row>
    <row r="353">
      <c r="D353" t="str">
        <v>BCP Perú Soles 06/01/2026</v>
      </c>
      <c r="E353">
        <v>204896.53</v>
      </c>
      <c r="F353">
        <f>E353/3.31</f>
        <v>61902.2749244713</v>
      </c>
      <c r="G353">
        <f>F353+E354+F355+E356</f>
        <v>70375.34459214502</v>
      </c>
      <c r="K353">
        <f>+J353-E353</f>
        <v>-204896.53</v>
      </c>
    </row>
    <row r="354">
      <c r="D354" t="str">
        <v>BCP Perú USD 06/01/2026</v>
      </c>
      <c r="E354">
        <v>8434.92</v>
      </c>
    </row>
    <row r="355">
      <c r="D355" t="str">
        <v>BBVA Perú Soles 06/01/2026</v>
      </c>
      <c r="E355">
        <v>39.09</v>
      </c>
      <c r="F355">
        <f>E355/3.31</f>
        <v>11.809667673716014</v>
      </c>
    </row>
    <row r="356">
      <c r="D356" t="str">
        <v>BBVA Perú USD 06/01/2026</v>
      </c>
      <c r="E356">
        <v>26.34</v>
      </c>
    </row>
    <row r="357">
      <c r="D357" t="str">
        <v>Bancolombia ACT&amp;J COPS 06/01/2026</v>
      </c>
      <c r="E357">
        <v>1974827.95</v>
      </c>
    </row>
    <row r="359">
      <c r="D359" t="str">
        <v>Banco Aliado Panamá USD 06/01/2026</v>
      </c>
      <c r="E359">
        <v>37826.01</v>
      </c>
      <c r="F359" t="str">
        <v>Dato Informativo no es CTA de S&amp;P</v>
      </c>
    </row>
    <row r="362">
      <c r="D362" t="str">
        <v>Bancos</v>
      </c>
      <c r="E362">
        <v>13</v>
      </c>
    </row>
    <row r="363">
      <c r="D363" t="str">
        <v>Cuentas</v>
      </c>
      <c r="E363">
        <v>17</v>
      </c>
    </row>
  </sheetData>
  <autoFilter ref="C114:K324"/>
  <mergeCells count="2">
    <mergeCell ref="D347:E347"/>
    <mergeCell ref="D334:E334"/>
  </mergeCells>
  <pageMargins left="0.7" right="0.7" top="0.75" bottom="0.75" header="0.3" footer="0.3"/>
  <ignoredErrors>
    <ignoredError numberStoredAsText="1" sqref="A1:X372"/>
  </ignoredErrors>
  <legacyDrawing r:id="rId1"/>
</worksheet>
</file>

<file path=xl/worksheets/sheet3.xml><?xml version="1.0" encoding="utf-8"?>
<worksheet xmlns="http://schemas.openxmlformats.org/spreadsheetml/2006/main" xmlns:r="http://schemas.openxmlformats.org/officeDocument/2006/relationships">
  <dimension ref="A1:X352"/>
  <sheetViews>
    <sheetView workbookViewId="0" rightToLeft="0"/>
  </sheetViews>
  <sheetData>
    <row r="1">
      <c r="E1">
        <v>42400</v>
      </c>
    </row>
    <row r="2">
      <c r="I2">
        <v>1</v>
      </c>
    </row>
    <row r="3">
      <c r="I3">
        <v>2</v>
      </c>
    </row>
    <row r="4">
      <c r="D4" t="str">
        <v>BANCOS</v>
      </c>
      <c r="E4">
        <f>SUBTOTAL(9,E5:E14)</f>
        <v>1093947677.81</v>
      </c>
      <c r="I4">
        <v>3</v>
      </c>
    </row>
    <row r="5">
      <c r="D5" t="str">
        <v>Bancos</v>
      </c>
      <c r="E5">
        <f>DICIEMBRE!$E$345</f>
        <v>1057444106.81</v>
      </c>
      <c r="I5">
        <v>4</v>
      </c>
    </row>
    <row r="6">
      <c r="D6" t="str">
        <v xml:space="preserve">Incapacidad pendiente por identificar </v>
      </c>
      <c r="E6">
        <v>800040</v>
      </c>
    </row>
    <row r="7">
      <c r="D7" t="str">
        <v xml:space="preserve">Incapacidad pendiente por identificar </v>
      </c>
      <c r="E7">
        <v>400475</v>
      </c>
    </row>
    <row r="8">
      <c r="D8" t="str">
        <v>Incapacidad pagada Sandra Milena Bello</v>
      </c>
      <c r="E8">
        <v>64397</v>
      </c>
    </row>
    <row r="9">
      <c r="D9" t="str">
        <v>Pago intereses PM</v>
      </c>
      <c r="E9">
        <v>22670000</v>
      </c>
    </row>
    <row r="10">
      <c r="D10" t="str">
        <v>Devolución Camara de comercio</v>
      </c>
      <c r="E10">
        <v>190000</v>
      </c>
    </row>
    <row r="11">
      <c r="D11" t="str">
        <v>Devolución Camara de comercio</v>
      </c>
      <c r="E11">
        <v>69000</v>
      </c>
    </row>
    <row r="12">
      <c r="D12" t="str">
        <v xml:space="preserve">Transferencia de fondos por Saldo de anticipo People Pass Root capital </v>
      </c>
      <c r="E12">
        <v>284009</v>
      </c>
    </row>
    <row r="13">
      <c r="D13" t="str">
        <v xml:space="preserve">Devolución dinero Root capital </v>
      </c>
      <c r="E13">
        <v>12000000</v>
      </c>
    </row>
    <row r="14">
      <c r="D14" t="str">
        <v>Devolución de retención IVA – Factura FEG 1344 Gelcon</v>
      </c>
      <c r="E14">
        <v>25650</v>
      </c>
    </row>
    <row r="15">
      <c r="D15" t="str">
        <v>CLIENTES</v>
      </c>
      <c r="E15">
        <f>SUBTOTAL(9,E16:E55)</f>
        <v>126534369.02307</v>
      </c>
    </row>
    <row r="16">
      <c r="C16" t="str">
        <v>Pagado</v>
      </c>
      <c r="D16" t="str">
        <v>ACT&amp;J Consultores Factura 6555</v>
      </c>
      <c r="E16">
        <v>1572392.28307</v>
      </c>
    </row>
    <row r="17">
      <c r="C17" t="str">
        <v>Pagado</v>
      </c>
      <c r="D17" t="str">
        <v>ACT&amp;J Consultores Factura 6612</v>
      </c>
      <c r="E17">
        <v>1549380</v>
      </c>
    </row>
    <row r="18">
      <c r="C18" t="str">
        <v>Sin Pagar</v>
      </c>
      <c r="D18" t="str">
        <v>AECID Factura # 6640</v>
      </c>
      <c r="E18">
        <f>34362712.65*0</f>
        <v>0</v>
      </c>
    </row>
    <row r="19">
      <c r="C19" t="str">
        <v>Sin Pagar</v>
      </c>
      <c r="D19" t="str">
        <v>AECID Factura # 5-200</v>
      </c>
      <c r="E19">
        <f>2104000*0</f>
        <v>0</v>
      </c>
    </row>
    <row r="20">
      <c r="C20" t="str">
        <v>Pagado</v>
      </c>
      <c r="D20" t="str">
        <v>Clarke Modet factura # 6564</v>
      </c>
      <c r="E20">
        <v>2373194.87</v>
      </c>
    </row>
    <row r="21">
      <c r="C21" t="str">
        <v>Pagado</v>
      </c>
      <c r="D21" t="str">
        <v>Compassion international factura # 6360</v>
      </c>
      <c r="E21">
        <f>6898752.51</f>
        <v>6898752.51</v>
      </c>
      <c r="G21">
        <f>E22+E23+E24+E30+E37+E38</f>
        <v>33574449</v>
      </c>
    </row>
    <row r="22">
      <c r="C22" t="str">
        <v>Pagado</v>
      </c>
      <c r="D22" t="str">
        <v>Consorcio A&amp;D Factura #  6478-6508-6545</v>
      </c>
      <c r="E22">
        <v>3254917</v>
      </c>
    </row>
    <row r="23">
      <c r="C23" t="str">
        <v>Pagado</v>
      </c>
      <c r="D23" t="str">
        <v>Consorcio HL-AB Factura #  6357 - 6358</v>
      </c>
      <c r="E23">
        <v>498186</v>
      </c>
    </row>
    <row r="24">
      <c r="C24" t="str">
        <v>Pagado</v>
      </c>
      <c r="D24" t="str">
        <v>Consorcio HL Gisaico Factura 6532-6534</v>
      </c>
      <c r="E24">
        <v>1568049</v>
      </c>
    </row>
    <row r="25">
      <c r="C25" t="str">
        <v>Pagado</v>
      </c>
      <c r="D25" t="str">
        <v>Monica Londoño Factura 6396</v>
      </c>
      <c r="E25">
        <v>177905</v>
      </c>
    </row>
    <row r="26">
      <c r="C26" t="str">
        <v>Pagado</v>
      </c>
      <c r="D26" t="str">
        <v>Corporación punto azul factura # 6424</v>
      </c>
      <c r="E26">
        <f>1692717.2</f>
        <v>1692717.2</v>
      </c>
    </row>
    <row r="27">
      <c r="C27" t="str">
        <v>Sin Pagar</v>
      </c>
      <c r="D27" t="str">
        <v>Dinterweb factura # 5646-5725-5805-5892-5974-6061</v>
      </c>
      <c r="E27">
        <f>7528323*0</f>
        <v>0</v>
      </c>
    </row>
    <row r="28">
      <c r="C28" t="str">
        <v>Sin Pagar</v>
      </c>
      <c r="D28" t="str">
        <v>Distritech facturas # 6235 Llega por Panamá</v>
      </c>
      <c r="E28">
        <f>5391183.76*0</f>
        <v>0</v>
      </c>
    </row>
    <row r="29">
      <c r="C29" t="str">
        <v>Sin Pagar</v>
      </c>
      <c r="D29" t="str">
        <v xml:space="preserve">Dream Tyme resort </v>
      </c>
      <c r="E29">
        <f>23310881.53*0</f>
        <v>0</v>
      </c>
    </row>
    <row r="30">
      <c r="C30" t="str">
        <v>Pagado</v>
      </c>
      <c r="D30" t="str">
        <v>Ecohl facturas 6373-6474-6375</v>
      </c>
      <c r="E30">
        <v>1228867</v>
      </c>
    </row>
    <row r="31">
      <c r="C31" t="str">
        <v>Pagado</v>
      </c>
      <c r="D31" t="str">
        <v>Funeravet factura # 6599</v>
      </c>
      <c r="E31">
        <v>771364.8</v>
      </c>
    </row>
    <row r="32">
      <c r="C32" t="str">
        <v>Pagado</v>
      </c>
      <c r="D32" t="str">
        <v>Gilead Scense Colombia Factura # 6628</v>
      </c>
      <c r="E32">
        <v>915290.76</v>
      </c>
    </row>
    <row r="33">
      <c r="C33" t="str">
        <v>Sin Pagar</v>
      </c>
      <c r="D33" t="str">
        <v>Global CS Colombia SAS  factura # 6443</v>
      </c>
      <c r="E33">
        <f>17406803.72*0</f>
        <v>0</v>
      </c>
    </row>
    <row r="34">
      <c r="C34" t="str">
        <v>Pagado</v>
      </c>
      <c r="D34" t="str">
        <v>Global CS Colombia SAS -factura # 6554 - 163</v>
      </c>
      <c r="E34">
        <v>19282040</v>
      </c>
    </row>
    <row r="35">
      <c r="C35" t="str">
        <v>Sin Pagar</v>
      </c>
      <c r="D35" t="str">
        <v>Global Projects service AG facturas # 6315-27-45 (Pendiente monetizar)</v>
      </c>
      <c r="E35">
        <f>15456075.3468*0</f>
        <v>0</v>
      </c>
    </row>
    <row r="36">
      <c r="C36" t="str">
        <v>Sin Pagar</v>
      </c>
      <c r="D36" t="str">
        <v>HL Gestiones factura # 6395</v>
      </c>
      <c r="E36">
        <f>1121157.31*0</f>
        <v>0</v>
      </c>
      <c r="I36">
        <v>4</v>
      </c>
    </row>
    <row r="37">
      <c r="C37" t="str">
        <v>Pagado</v>
      </c>
      <c r="D37" t="str">
        <v>HL Ingenieros factura # 6355</v>
      </c>
      <c r="E37">
        <v>217212</v>
      </c>
    </row>
    <row r="38">
      <c r="C38" t="str">
        <v>Pagado</v>
      </c>
      <c r="D38" t="str">
        <v>Hl Infraestructura factura # 6366 -6368 - 6369 - 6371 - 6372 - 6386 - 6387 - 6402</v>
      </c>
      <c r="E38">
        <v>26807218</v>
      </c>
    </row>
    <row r="39">
      <c r="C39" t="str">
        <v>Pagado</v>
      </c>
      <c r="D39" t="str">
        <v>Inversiones el Bosque factura # 6391</v>
      </c>
      <c r="E39">
        <v>2049073</v>
      </c>
    </row>
    <row r="40">
      <c r="C40" t="str">
        <v>Pagado</v>
      </c>
      <c r="D40" t="str">
        <v>Inversiones el Bosque factura # 6627</v>
      </c>
      <c r="E40">
        <v>2013009</v>
      </c>
    </row>
    <row r="41">
      <c r="C41" t="str">
        <v>Sin Pagar</v>
      </c>
      <c r="D41" t="str">
        <v>Live Systems technology factura # 6466</v>
      </c>
      <c r="E41">
        <f>1202975.28*0</f>
        <v>0</v>
      </c>
    </row>
    <row r="42">
      <c r="C42" t="str">
        <v>Pagado</v>
      </c>
      <c r="D42" t="str">
        <v>Ortho Clinical Diagnostics # 6460</v>
      </c>
      <c r="E42">
        <f>1380793.13</f>
        <v>1380793.13</v>
      </c>
    </row>
    <row r="43">
      <c r="C43" t="str">
        <v>Pagado</v>
      </c>
      <c r="D43" t="str">
        <v>Ortho Clinical Diagnostics # 6543</v>
      </c>
      <c r="E43">
        <f>1380793.13</f>
        <v>1380793.13</v>
      </c>
    </row>
    <row r="44">
      <c r="C44" t="str">
        <v>Pagado</v>
      </c>
      <c r="D44" t="str">
        <v>Petrobras Colombia Factura # 6517</v>
      </c>
      <c r="E44">
        <v>17383715.23</v>
      </c>
    </row>
    <row r="45">
      <c r="C45" t="str">
        <v>Pagado</v>
      </c>
      <c r="D45" t="str">
        <v>Petrobras Colombia Factura # 6518</v>
      </c>
      <c r="E45">
        <v>17383715.23</v>
      </c>
    </row>
    <row r="46">
      <c r="C46" t="str">
        <v>Pagado</v>
      </c>
      <c r="D46" t="str">
        <v>Petrobras Internacional Baspetro Factura # 6516</v>
      </c>
      <c r="E46">
        <v>6664686.16</v>
      </c>
    </row>
    <row r="47">
      <c r="C47" t="str">
        <v>Pagado</v>
      </c>
      <c r="D47" t="str">
        <v>Petrobras Internacional Baspetro Factura # 6526</v>
      </c>
      <c r="E47">
        <v>6714054.2</v>
      </c>
    </row>
    <row r="48">
      <c r="C48" t="str">
        <v>Sin Pagar</v>
      </c>
      <c r="D48" t="str">
        <v>Safeguard por identificar  Deel (Pendiente monetizar)</v>
      </c>
      <c r="E48">
        <f>3462300*0</f>
        <v>0</v>
      </c>
    </row>
    <row r="49">
      <c r="C49" t="str">
        <v>Sin Pagar</v>
      </c>
      <c r="D49" t="str">
        <v>Safeguard por identificar  Deel (Pendiente monetizar)</v>
      </c>
      <c r="E49">
        <f>('MONETIZACIONES PEND'!$R$348+'MONETIZACIONES PEND'!$R$349+'MONETIZACIONES PEND'!$R$350+'MONETIZACIONES PEND'!$R$351)*0</f>
        <v>0</v>
      </c>
    </row>
    <row r="50">
      <c r="C50" t="str">
        <v>Sin Pagar</v>
      </c>
      <c r="D50" t="str">
        <v>Safeguard Payroll LTD y LLC Julio-(vencio en septiembre)</v>
      </c>
      <c r="E50">
        <f>87111218.1195*0</f>
        <v>0</v>
      </c>
      <c r="F50">
        <v>0</v>
      </c>
      <c r="G50">
        <f>(E50-F50)*0</f>
        <v>0</v>
      </c>
      <c r="J50">
        <v>20841.55</v>
      </c>
    </row>
    <row r="51">
      <c r="C51" t="str">
        <v>Sin Pagar</v>
      </c>
      <c r="D51" t="str">
        <v>Safeguard Payroll LTD y LLC Agosto-(vencio en Octubre)</v>
      </c>
      <c r="E51">
        <f>66875205.9551*0</f>
        <v>0</v>
      </c>
      <c r="F51">
        <v>0</v>
      </c>
      <c r="G51">
        <f>(E51-F51)*0</f>
        <v>0</v>
      </c>
      <c r="J51">
        <v>16639.39</v>
      </c>
    </row>
    <row r="52">
      <c r="C52" t="str">
        <v>Sin Pagar</v>
      </c>
      <c r="D52" t="str">
        <v>Safeguard Payroll LTD y LLC Septiembre-(vencio en Noviembre)</v>
      </c>
      <c r="E52">
        <f>63738690.8265*0</f>
        <v>0</v>
      </c>
      <c r="F52">
        <v>0</v>
      </c>
      <c r="G52">
        <f>(E52-F52)*0</f>
        <v>0</v>
      </c>
      <c r="J52">
        <v>16337.849999999999</v>
      </c>
    </row>
    <row r="53">
      <c r="C53" t="str">
        <v>Sin Pagar</v>
      </c>
      <c r="D53" t="str">
        <v>Rejimetal  Factura # 4441-4524-4609-4688-4788-4865-4970-5060-5150-5272-5372-5485-5565-5642-5721-5802-588</v>
      </c>
      <c r="E53">
        <f>7370606*0</f>
        <v>0</v>
      </c>
      <c r="J53">
        <f>SUM(J50:J52)</f>
        <v>53818.79</v>
      </c>
    </row>
    <row r="54">
      <c r="C54" t="str">
        <v>Pagado</v>
      </c>
      <c r="D54" t="str">
        <v>Soluciones ambientales punto azul Factura #  6504 tiene NC 183 por valor $ 3,214,02</v>
      </c>
      <c r="E54">
        <v>691500</v>
      </c>
    </row>
    <row r="55">
      <c r="C55" t="str">
        <v>Pagado</v>
      </c>
      <c r="D55" t="str">
        <v>TPL Logistics factura # 6632</v>
      </c>
      <c r="E55">
        <v>2065543.52</v>
      </c>
    </row>
    <row r="56">
      <c r="D56" t="str">
        <v>PE</v>
      </c>
      <c r="E56">
        <f>SUBTOTAL(9,E57:E110)</f>
        <v>1486272673.4513998</v>
      </c>
      <c r="F56">
        <v>1</v>
      </c>
    </row>
    <row r="57">
      <c r="C57" t="str">
        <v>Pagado</v>
      </c>
      <c r="D57" t="str">
        <v xml:space="preserve">Advancio Factura # 5461 EO Third parties service ADVANCIO </v>
      </c>
      <c r="E57">
        <v>8144748.81</v>
      </c>
      <c r="F57">
        <v>8125837.9884</v>
      </c>
      <c r="G57">
        <f>(E57-F57)</f>
        <v>18910.821599999443</v>
      </c>
    </row>
    <row r="58">
      <c r="C58" t="str">
        <v>Pagado</v>
      </c>
      <c r="D58" t="str">
        <v>Action Factura # 6619</v>
      </c>
      <c r="E58">
        <v>1302416.6400000001</v>
      </c>
      <c r="F58">
        <v>1295534.9376</v>
      </c>
      <c r="G58">
        <f>(E58-F58)</f>
        <v>6881.702400000067</v>
      </c>
    </row>
    <row r="59">
      <c r="C59" t="str">
        <v>Pagado</v>
      </c>
      <c r="D59" t="str">
        <v>Action Factura # 5-187</v>
      </c>
      <c r="E59">
        <v>11840204.32</v>
      </c>
      <c r="F59">
        <v>11777643.1088</v>
      </c>
      <c r="G59">
        <f>(E59-F59)</f>
        <v>62561.21120000072</v>
      </c>
    </row>
    <row r="60">
      <c r="C60" t="str">
        <v>Pagado</v>
      </c>
      <c r="D60" t="str">
        <v>Bubble BPM Factura # 6609</v>
      </c>
      <c r="E60">
        <f>447027.7908*0</f>
        <v>0</v>
      </c>
      <c r="G60">
        <f>(E60-F60)*0</f>
        <v>0</v>
      </c>
    </row>
    <row r="61">
      <c r="C61" t="str">
        <v>Pagado</v>
      </c>
      <c r="D61" t="str">
        <v>Bubble BPM Factura # 5-175</v>
      </c>
      <c r="E61">
        <f>4064001.2694*0</f>
        <v>0</v>
      </c>
      <c r="G61">
        <f>(E61-F61)*0</f>
        <v>0</v>
      </c>
    </row>
    <row r="62">
      <c r="C62" t="str">
        <v>Pagado</v>
      </c>
      <c r="D62" t="str">
        <v>Edrington  Factura # 6606</v>
      </c>
      <c r="E62">
        <v>3571941.66</v>
      </c>
      <c r="F62">
        <v>3547520.8924000002</v>
      </c>
      <c r="G62">
        <f>(E62-F62)</f>
        <v>24420.767599999905</v>
      </c>
      <c r="K62">
        <f>E56-E57-E70-E71-E72+E73-E76-E77-E78-E79-E80-E81-E85-E94-E100-E101-E102-E103-E104</f>
        <v>1443377065.7452507</v>
      </c>
    </row>
    <row r="63">
      <c r="C63" t="str">
        <v>Pagado</v>
      </c>
      <c r="D63" t="str">
        <v>Edrington  Factura # 5-172</v>
      </c>
      <c r="E63">
        <v>64944403.754999995</v>
      </c>
      <c r="F63">
        <v>64500389.7307</v>
      </c>
      <c r="G63">
        <f>(E63-F63)</f>
        <v>444014.0242999941</v>
      </c>
    </row>
    <row r="64">
      <c r="C64" t="str">
        <v>Pagado</v>
      </c>
      <c r="D64" t="str">
        <v>EPDM Factura # 6541</v>
      </c>
      <c r="E64">
        <v>1005157.2</v>
      </c>
      <c r="G64">
        <f>(E64-F64)*0</f>
        <v>0</v>
      </c>
    </row>
    <row r="65">
      <c r="C65" t="str">
        <v>Pagado</v>
      </c>
      <c r="D65" t="str">
        <v>EPDM Factura # 5-146</v>
      </c>
      <c r="E65">
        <v>10051573</v>
      </c>
      <c r="G65">
        <f>(E65-F65)*0</f>
        <v>0</v>
      </c>
    </row>
    <row r="66">
      <c r="C66" t="str">
        <v>Pagado</v>
      </c>
      <c r="D66" t="str">
        <v>Equus Global Expansion, LLC Factura # 6600</v>
      </c>
      <c r="E66">
        <v>655634.244809073</v>
      </c>
      <c r="F66">
        <v>653547.405</v>
      </c>
      <c r="G66">
        <f>(E66-F66)</f>
        <v>2086.839809073019</v>
      </c>
    </row>
    <row r="67">
      <c r="C67" t="str">
        <v>Pagado</v>
      </c>
      <c r="D67" t="str">
        <v>Equus Global Expansion, LLC Factura # 5-165</v>
      </c>
      <c r="E67">
        <v>4454896.955190927</v>
      </c>
      <c r="F67">
        <v>4440717.3171</v>
      </c>
      <c r="G67">
        <f>(E67-F67)</f>
        <v>14179.638090927154</v>
      </c>
    </row>
    <row r="68">
      <c r="C68" t="str">
        <v>Pagado</v>
      </c>
      <c r="D68" t="str">
        <v>Europortage Factura # 6607</v>
      </c>
      <c r="E68">
        <v>3005458.104937093</v>
      </c>
      <c r="F68">
        <v>2973712.0476</v>
      </c>
      <c r="G68">
        <f>(E68-F68)</f>
        <v>31746.0573370927</v>
      </c>
    </row>
    <row r="69">
      <c r="C69" t="str">
        <v>Pagado</v>
      </c>
      <c r="D69" t="str">
        <v>Europortage Factura # 5-173</v>
      </c>
      <c r="E69">
        <v>45096717.655062914</v>
      </c>
      <c r="F69">
        <v>44620369.9788</v>
      </c>
      <c r="G69">
        <f>(E69-F69)</f>
        <v>476347.67626291513</v>
      </c>
    </row>
    <row r="70">
      <c r="C70" t="str">
        <v>Pagado</v>
      </c>
      <c r="D70" t="str">
        <v>Hemmebarsch GMBH &amp; Co KG , factura # 6447 Diciembre</v>
      </c>
      <c r="E70">
        <v>674536.8972</v>
      </c>
      <c r="F70">
        <v>683895.328</v>
      </c>
      <c r="G70">
        <f>(E70-F70)</f>
        <v>-9358.430799999973</v>
      </c>
    </row>
    <row r="71">
      <c r="C71" t="str">
        <v>Pagado</v>
      </c>
      <c r="D71" t="str">
        <v>Hemmebarsch GMBH &amp; Co KG , factura # 5-104 Diciembre</v>
      </c>
      <c r="E71">
        <v>6745332.651900001</v>
      </c>
      <c r="F71">
        <v>6838916.456</v>
      </c>
      <c r="G71">
        <f>(E71-F71)</f>
        <v>-93583.80409999937</v>
      </c>
    </row>
    <row r="72">
      <c r="C72" t="str">
        <v>Pagado</v>
      </c>
      <c r="D72" t="str">
        <v>Hemmebarsch GMBH &amp; Co KG , factura # 6448 Diciembre</v>
      </c>
      <c r="E72">
        <v>421603.7208</v>
      </c>
      <c r="F72">
        <v>427452.992</v>
      </c>
      <c r="G72">
        <f>(E72-F72)</f>
        <v>-5849.271200000017</v>
      </c>
    </row>
    <row r="73">
      <c r="C73" t="str">
        <v>Pagado</v>
      </c>
      <c r="D73" t="str">
        <v>Hemmebarsch GMBH &amp; Co KG , factura # 5-105 Diciembre</v>
      </c>
      <c r="E73">
        <v>4216146.1683</v>
      </c>
      <c r="F73">
        <v>4274640.392</v>
      </c>
      <c r="G73">
        <f>(E73-F73)</f>
        <v>-58494.22369999997</v>
      </c>
    </row>
    <row r="74">
      <c r="C74" t="str">
        <v>Pagado</v>
      </c>
      <c r="D74" t="str">
        <v>Hemmebarsch GMBH &amp; Co KG , factura # 6539 Enero</v>
      </c>
      <c r="E74">
        <v>656449.4874000001</v>
      </c>
      <c r="F74">
        <v>683090.5634</v>
      </c>
      <c r="G74">
        <f>(E74-F74)</f>
        <v>-26641.075999999885</v>
      </c>
    </row>
    <row r="75">
      <c r="C75" t="str">
        <v>Pagado</v>
      </c>
      <c r="D75" t="str">
        <v>Hemmebarsch GMBH &amp; Co KG , factura # 5-143 Enero</v>
      </c>
      <c r="E75">
        <v>6564567.514200001</v>
      </c>
      <c r="F75">
        <v>6830981.2222</v>
      </c>
      <c r="G75">
        <f>(E75-F75)</f>
        <v>-266413.7079999987</v>
      </c>
    </row>
    <row r="76">
      <c r="C76" t="str">
        <v>Pagado</v>
      </c>
      <c r="D76" t="str">
        <v>Hemmebarsch GMBH &amp; Co KG , factura # 6540 Enero</v>
      </c>
      <c r="E76">
        <v>411288.8124</v>
      </c>
      <c r="F76">
        <v>427980.38839999994</v>
      </c>
      <c r="G76">
        <f>(E76-F76)</f>
        <v>-16691.575999999943</v>
      </c>
    </row>
    <row r="77">
      <c r="C77" t="str">
        <v>Pagado</v>
      </c>
      <c r="D77" t="str">
        <v>Hemmebarsch GMBH &amp; Co KG , factura # 5-144 Enero</v>
      </c>
      <c r="E77">
        <v>4112960.7642000006</v>
      </c>
      <c r="F77">
        <v>4279879.4722</v>
      </c>
      <c r="G77">
        <f>(E77-F77)</f>
        <v>-166918.70799999917</v>
      </c>
    </row>
    <row r="78">
      <c r="C78" t="str">
        <v>Sin Pagar</v>
      </c>
      <c r="D78" t="str">
        <v>Hong kong yonyou xinfushe cloud technology co., limited Factura 6559-(Pendiente monetizar)Diciembre</v>
      </c>
      <c r="E78">
        <f>2855434.869*0</f>
        <v>0</v>
      </c>
      <c r="G78">
        <f>(E78-F78)*0</f>
        <v>0</v>
      </c>
    </row>
    <row r="79">
      <c r="C79" t="str">
        <v>Sin Pagar</v>
      </c>
      <c r="D79" t="str">
        <v>Hong kong yonyou xinfushe cloud technology co., limited Factura 5-152 (Pendiente monetizar) Diciembre</v>
      </c>
      <c r="E79">
        <f>53276427.2691*0</f>
        <v>0</v>
      </c>
      <c r="G79">
        <f>(E79-F79)*0</f>
        <v>0</v>
      </c>
    </row>
    <row r="80">
      <c r="C80" t="str">
        <v>Sin Pagar</v>
      </c>
      <c r="D80" t="str">
        <v>Hong kong yonyou xinfushe cloud technology co., limited Factura 6608- Enero</v>
      </c>
      <c r="E80">
        <f>2707376.616*0</f>
        <v>0</v>
      </c>
      <c r="G80">
        <f>(E80-F80)*0</f>
        <v>0</v>
      </c>
    </row>
    <row r="81">
      <c r="C81" t="str">
        <v>Sin Pagar</v>
      </c>
      <c r="D81" t="str">
        <v>Hong kong yonyou xinfushe cloud technology co., limited Factura 5-174 Enero</v>
      </c>
      <c r="E81">
        <f>43507906.9584*0</f>
        <v>0</v>
      </c>
      <c r="G81">
        <f>(E81-F81)*0</f>
        <v>0</v>
      </c>
    </row>
    <row r="82">
      <c r="C82" t="str">
        <v>Sin Pagar</v>
      </c>
      <c r="D82" t="str">
        <v>Hong kong yonyou xinfushe cloud technology co., limited Factura 5-186 Enero</v>
      </c>
      <c r="E82">
        <f>21217642.2864*0</f>
        <v>0</v>
      </c>
      <c r="G82">
        <f>(E82-F82)*0</f>
        <v>0</v>
      </c>
    </row>
    <row r="83">
      <c r="C83" t="str">
        <v>Pagado</v>
      </c>
      <c r="D83" t="str">
        <v>Flexco Factura # 6603</v>
      </c>
      <c r="E83">
        <v>4074854.4165706965</v>
      </c>
      <c r="F83">
        <v>4040409.0363</v>
      </c>
      <c r="G83">
        <f>(E83-F83)</f>
        <v>34445.38027069671</v>
      </c>
    </row>
    <row r="84">
      <c r="C84" t="str">
        <v>Pagado</v>
      </c>
      <c r="D84" t="str">
        <v>Flexco Factura # 5-169</v>
      </c>
      <c r="E84">
        <v>45275600.6034293</v>
      </c>
      <c r="F84">
        <v>44892878.8862</v>
      </c>
      <c r="G84">
        <f>(E84-F84)</f>
        <v>382721.71722929925</v>
      </c>
    </row>
    <row r="85">
      <c r="C85" t="str">
        <v>Sin Pagar</v>
      </c>
      <c r="D85" t="str">
        <v>Insider factura  # 160 Diciembre (Pendiente monetizar)</v>
      </c>
      <c r="E85">
        <f>3973041.075*0</f>
        <v>0</v>
      </c>
      <c r="G85">
        <f>(E85-F85)*0</f>
        <v>0</v>
      </c>
    </row>
    <row r="86">
      <c r="C86" t="str">
        <v>Sin Pagar</v>
      </c>
      <c r="D86" t="str">
        <v>Insider factura  # 188  expenses</v>
      </c>
      <c r="E86">
        <f>5737331.7549*0</f>
        <v>0</v>
      </c>
      <c r="G86">
        <f>(E86-F86)*0</f>
        <v>0</v>
      </c>
    </row>
    <row r="87">
      <c r="C87" t="str">
        <v>Sin Pagar</v>
      </c>
      <c r="D87" t="str">
        <v>Insider factura  # XXX</v>
      </c>
      <c r="E87">
        <f>761389470.9*0</f>
        <v>0</v>
      </c>
      <c r="G87">
        <f>(E87-F87)*0</f>
        <v>0</v>
      </c>
    </row>
    <row r="88">
      <c r="C88" t="str">
        <v>Pagado</v>
      </c>
      <c r="D88" t="str">
        <v>MKD Factura # 6602</v>
      </c>
      <c r="E88">
        <v>508583.24999999994</v>
      </c>
      <c r="F88">
        <v>498246.90089999995</v>
      </c>
      <c r="G88">
        <f>(E88-F88)</f>
        <v>10336.349099999992</v>
      </c>
    </row>
    <row r="89">
      <c r="C89" t="str">
        <v>Pagado</v>
      </c>
      <c r="D89" t="str">
        <v>MKD Factura # 5-168</v>
      </c>
      <c r="E89">
        <v>4623113.25</v>
      </c>
      <c r="F89">
        <v>4529153.9769</v>
      </c>
      <c r="G89">
        <f>(E89-F89)</f>
        <v>93959.27309999987</v>
      </c>
    </row>
    <row r="90">
      <c r="C90" t="str">
        <v>Pagado</v>
      </c>
      <c r="D90" t="str">
        <v>Nazdar Factura # 6604</v>
      </c>
      <c r="E90">
        <v>3239286.423046819</v>
      </c>
      <c r="F90">
        <v>3205708.881</v>
      </c>
      <c r="G90">
        <f>(E90-F90)</f>
        <v>33577.54204681888</v>
      </c>
    </row>
    <row r="91">
      <c r="C91" t="str">
        <v>Pagado</v>
      </c>
      <c r="D91" t="str">
        <v>Nazdar Factura # 5-170</v>
      </c>
      <c r="E91">
        <v>53987558.57695318</v>
      </c>
      <c r="F91">
        <v>53427938.561500005</v>
      </c>
      <c r="G91">
        <f>(E91-F91)</f>
        <v>559620.0154531747</v>
      </c>
    </row>
    <row r="92">
      <c r="C92" t="str">
        <v>Sin Pagar</v>
      </c>
      <c r="D92" t="str">
        <v>Neo Factura # 6613</v>
      </c>
      <c r="E92">
        <f>5494632.9165*0</f>
        <v>0</v>
      </c>
      <c r="G92">
        <f>(E92-F92)*0</f>
        <v>0</v>
      </c>
    </row>
    <row r="93">
      <c r="C93" t="str">
        <v>Sin Pagar</v>
      </c>
      <c r="D93" t="str">
        <v>Neo Factura # FV-5-181</v>
      </c>
      <c r="E93">
        <f>68683476.3615*0</f>
        <v>0</v>
      </c>
      <c r="G93">
        <f>(E93-F93)*0</f>
        <v>0</v>
      </c>
    </row>
    <row r="94">
      <c r="C94" t="str">
        <v>Sin Pagar</v>
      </c>
      <c r="D94" t="str">
        <v>Oncehub Factura # 5-161 ( cesantías)</v>
      </c>
      <c r="E94">
        <v>10822101.79294877</v>
      </c>
      <c r="F94">
        <f>11287082.5151</f>
        <v>11287082.5151</v>
      </c>
      <c r="G94">
        <f>(E94-F94)</f>
        <v>-464980.722151231</v>
      </c>
    </row>
    <row r="95">
      <c r="C95" t="str">
        <v>Sin Pagar</v>
      </c>
      <c r="D95" t="str">
        <v>Oncehub Factura # 6617</v>
      </c>
      <c r="E95">
        <v>1037676.560250781</v>
      </c>
      <c r="F95">
        <v>1031230.2000000001</v>
      </c>
      <c r="G95">
        <f>(E95-F95)</f>
        <v>6446.360250780941</v>
      </c>
    </row>
    <row r="96">
      <c r="C96" t="str">
        <v>Sin Pagar</v>
      </c>
      <c r="D96" t="str">
        <v>Oncehub Factura # 5-171</v>
      </c>
      <c r="E96">
        <v>11831038.781800449</v>
      </c>
      <c r="F96">
        <v>11757540.795</v>
      </c>
      <c r="G96">
        <f>(E96-F96)</f>
        <v>73497.98680044897</v>
      </c>
    </row>
    <row r="97">
      <c r="C97" t="str">
        <v>Pagado</v>
      </c>
      <c r="D97" t="str">
        <v>Poc Pharma Limited Factura # 6619</v>
      </c>
      <c r="E97">
        <v>1751760</v>
      </c>
      <c r="F97">
        <v>1749384</v>
      </c>
      <c r="G97">
        <f>(E97-F97)</f>
        <v>2376</v>
      </c>
    </row>
    <row r="98">
      <c r="C98" t="str">
        <v>Pagado</v>
      </c>
      <c r="D98" t="str">
        <v>Poc Pharma Limited Factura # 5-182</v>
      </c>
      <c r="E98">
        <v>5417974.71</v>
      </c>
      <c r="F98">
        <v>5410626.039</v>
      </c>
      <c r="G98">
        <f>(E98-F98)</f>
        <v>7348.671000000089</v>
      </c>
    </row>
    <row r="99">
      <c r="C99" t="str">
        <v>Pagado</v>
      </c>
      <c r="D99" t="str">
        <v>Poc Pharma Limited Factura # 5-183</v>
      </c>
      <c r="E99">
        <v>5474250</v>
      </c>
      <c r="F99">
        <v>5466825</v>
      </c>
      <c r="G99">
        <f>(E99-F99)</f>
        <v>7425</v>
      </c>
    </row>
    <row r="100">
      <c r="C100" t="str">
        <v>Pagado</v>
      </c>
      <c r="D100" t="str">
        <v xml:space="preserve">Remofirst Factura # 5-60 Octubre </v>
      </c>
      <c r="E100">
        <v>11825858.025</v>
      </c>
      <c r="F100">
        <f>(3255.57*3890.28)</f>
        <v>12665078.859600002</v>
      </c>
      <c r="G100">
        <f>(E100-F100)</f>
        <v>-839220.8346000016</v>
      </c>
    </row>
    <row r="101">
      <c r="C101" t="str">
        <v>Pagado</v>
      </c>
      <c r="D101" t="str">
        <v>Remofirst Factura # 6338 Octubre</v>
      </c>
      <c r="E101">
        <v>3112326</v>
      </c>
      <c r="F101">
        <f>3333190.9</f>
        <v>3333190.9</v>
      </c>
      <c r="G101">
        <f>(E101-F101)</f>
        <v>-220864.8999999999</v>
      </c>
    </row>
    <row r="102">
      <c r="C102" t="str">
        <v>Pagado</v>
      </c>
      <c r="D102" t="str">
        <v>Remofirst Factura # 5-79 Octubre</v>
      </c>
      <c r="E102">
        <v>840996.4</v>
      </c>
      <c r="F102">
        <f>868549.5952</f>
        <v>868549.5952</v>
      </c>
      <c r="G102">
        <f>(E102-F102)</f>
        <v>-27553.19519999996</v>
      </c>
    </row>
    <row r="103">
      <c r="C103" t="str">
        <v>Sin Pagar</v>
      </c>
      <c r="D103" t="str">
        <v>Remofirst Factura # 5-162 Diciembre</v>
      </c>
      <c r="E103">
        <f>23615660.7027*0</f>
        <v>0</v>
      </c>
      <c r="G103">
        <f>(E103-F103)*0</f>
        <v>0</v>
      </c>
    </row>
    <row r="104">
      <c r="C104" t="str">
        <v>Sin Pagar</v>
      </c>
      <c r="D104" t="str">
        <v>Remofirst Factura # 6580- Diciembre</v>
      </c>
      <c r="E104">
        <f>2672509.14*0</f>
        <v>0</v>
      </c>
      <c r="G104">
        <f>(E104-F104)*0</f>
        <v>0</v>
      </c>
    </row>
    <row r="105">
      <c r="C105" t="str">
        <v>Pagado</v>
      </c>
      <c r="D105" t="str">
        <v>Remofirst Factura # 6637- Enero</v>
      </c>
      <c r="E105">
        <v>2356414.2</v>
      </c>
      <c r="F105">
        <v>2375897.8320000004</v>
      </c>
      <c r="G105">
        <f>(E105-F105)</f>
        <v>-19483.632000000216</v>
      </c>
    </row>
    <row r="106">
      <c r="C106" t="str">
        <v>Pagado</v>
      </c>
      <c r="D106" t="str">
        <v>Remofirst Factura # 5-195 Enero</v>
      </c>
      <c r="E106">
        <v>62827811.099999994</v>
      </c>
      <c r="F106">
        <v>63347292.756</v>
      </c>
      <c r="G106">
        <f>(E106-F106)</f>
        <v>-519481.6560000032</v>
      </c>
    </row>
    <row r="107">
      <c r="C107" t="str">
        <v>Pagado</v>
      </c>
      <c r="D107" t="str">
        <v>Remofirst Factura # 6601- Enero</v>
      </c>
      <c r="E107">
        <v>46678464</v>
      </c>
      <c r="F107">
        <v>47517956.64</v>
      </c>
      <c r="G107">
        <f>(E107-F107)</f>
        <v>-839492.6400000006</v>
      </c>
    </row>
    <row r="108">
      <c r="C108" t="str">
        <v>Pagado</v>
      </c>
      <c r="D108" t="str">
        <v>Remofirst Factura # 5-166 Enero</v>
      </c>
      <c r="E108">
        <v>948507696</v>
      </c>
      <c r="F108">
        <v>965566209.96</v>
      </c>
      <c r="G108">
        <f>(E108-F108)</f>
        <v>-17058513.96000004</v>
      </c>
    </row>
    <row r="109">
      <c r="C109" t="str">
        <v>Pagado</v>
      </c>
      <c r="D109" t="str">
        <v>Rivermate Factura # 6610</v>
      </c>
      <c r="E109">
        <v>1095096</v>
      </c>
      <c r="G109">
        <f>(E109-F109)*0</f>
        <v>0</v>
      </c>
    </row>
    <row r="110">
      <c r="C110" t="str">
        <v>Pagado</v>
      </c>
      <c r="D110" t="str">
        <v>Rivermate Factura # 5-176</v>
      </c>
      <c r="E110">
        <v>83108175</v>
      </c>
      <c r="G110">
        <f>(E110-F110)*0</f>
        <v>0</v>
      </c>
    </row>
    <row r="111">
      <c r="D111" t="str">
        <v>TOTAL INGRESOS</v>
      </c>
      <c r="E111">
        <f>SUBTOTAL(9,E4:E110)</f>
        <v>2706754720.2844706</v>
      </c>
      <c r="G111">
        <f>SUM(G16:G110)</f>
        <v>15233809.696099937</v>
      </c>
    </row>
    <row r="114">
      <c r="C114" t="str">
        <v xml:space="preserve">CUENTAS X PAGAR MES </v>
      </c>
      <c r="E114" t="str">
        <v>ENERO</v>
      </c>
      <c r="F114" t="str">
        <v>Fecha de Elaboración:</v>
      </c>
      <c r="J114">
        <v>46023</v>
      </c>
    </row>
    <row r="115">
      <c r="C115" t="str">
        <v>Factura</v>
      </c>
      <c r="D115" t="str">
        <v>PROVEEDOR</v>
      </c>
      <c r="E115" t="str">
        <v>VALOR</v>
      </c>
      <c r="F115" t="str">
        <v>Fecha vencimiento</v>
      </c>
      <c r="G115" t="str">
        <v>Estado</v>
      </c>
      <c r="J115" t="str">
        <v>KPI</v>
      </c>
      <c r="K115" t="str">
        <v>Objeto</v>
      </c>
    </row>
    <row r="116">
      <c r="D116" t="str">
        <v>PAGOS ANTICIPADOS</v>
      </c>
      <c r="E116">
        <f>SUBTOTAL(9,E117:E121)</f>
        <v>21791439</v>
      </c>
    </row>
    <row r="117">
      <c r="A117" t="str">
        <f>G117</f>
        <v>Cancelado</v>
      </c>
      <c r="B117">
        <f>IF(I117&lt;=-1,1,IF(I117&lt;=5,2,IF(I117&lt;=15,3,IF(H117&lt;=60,4))))</f>
        <v>2</v>
      </c>
      <c r="D117" t="str">
        <v>Anticipo nómina Action</v>
      </c>
      <c r="E117">
        <f>3666326*0</f>
        <v>0</v>
      </c>
      <c r="F117">
        <v>46024</v>
      </c>
      <c r="G117" t="str">
        <v>Cancelado</v>
      </c>
      <c r="H117">
        <f>IF(OR(G117="Sin pagar",G117="Pagar"),NETWORKDAYS($J$114,F117,'Festivos Colombia'!$A$3:$A$22),0)</f>
        <v>0</v>
      </c>
      <c r="I117">
        <f>NETWORKDAYS($J$114,F117,'Festivos Colombia'!$A$3:$A$22)</f>
        <v>1</v>
      </c>
      <c r="J117">
        <f>H117</f>
        <v>0</v>
      </c>
    </row>
    <row r="118">
      <c r="A118" t="str">
        <f>G118</f>
        <v>Cancelado</v>
      </c>
      <c r="B118">
        <f>IF(I118&lt;=-1,1,IF(I118&lt;=5,2,IF(I118&lt;=15,3,IF(H118&lt;=60,4))))</f>
        <v>2</v>
      </c>
      <c r="D118" t="str">
        <v>Anticipo nómina Lyda María Durango Mejia-Remofirst</v>
      </c>
      <c r="E118">
        <v>3184147</v>
      </c>
      <c r="F118">
        <v>46029</v>
      </c>
      <c r="G118" t="str">
        <v>Cancelado</v>
      </c>
      <c r="H118">
        <f>IF(OR(G118="Sin pagar",G118="Pagar"),NETWORKDAYS($J$114,F118,'Festivos Colombia'!$A$3:$A$22),0)</f>
        <v>0</v>
      </c>
      <c r="I118">
        <f>NETWORKDAYS($J$114,F118,'Festivos Colombia'!$A$3:$A$22)</f>
        <v>4</v>
      </c>
      <c r="J118">
        <f>H118</f>
        <v>0</v>
      </c>
    </row>
    <row r="119">
      <c r="A119" t="str">
        <f>G119</f>
        <v>Cancelado</v>
      </c>
      <c r="B119">
        <f>IF(I119&lt;=-1,1,IF(I119&lt;=5,2,IF(I119&lt;=15,3,IF(H119&lt;=60,4))))</f>
        <v>3</v>
      </c>
      <c r="D119" t="str">
        <v>Anticipo nómina Nazdar</v>
      </c>
      <c r="E119">
        <v>9500000</v>
      </c>
      <c r="F119">
        <v>46036</v>
      </c>
      <c r="G119" t="str">
        <v>Cancelado</v>
      </c>
      <c r="H119">
        <f>IF(OR(G119="Sin pagar",G119="Pagar"),NETWORKDAYS($J$114,F119,'Festivos Colombia'!$A$3:$A$22),0)</f>
        <v>0</v>
      </c>
      <c r="I119">
        <f>NETWORKDAYS($J$114,F119,'Festivos Colombia'!$A$3:$A$22)</f>
        <v>8</v>
      </c>
      <c r="J119">
        <f>H119</f>
        <v>0</v>
      </c>
    </row>
    <row r="120">
      <c r="A120" t="str">
        <f>G120</f>
        <v>Cancelado</v>
      </c>
      <c r="B120">
        <f>IF(I120&lt;=-1,1,IF(I120&lt;=5,2,IF(I120&lt;=15,3,IF(H120&lt;=60,4))))</f>
        <v>3</v>
      </c>
      <c r="D120" t="str">
        <v>Anticipo nómina Action</v>
      </c>
      <c r="E120">
        <v>4360000</v>
      </c>
      <c r="F120">
        <v>46036</v>
      </c>
      <c r="G120" t="str">
        <v>Cancelado</v>
      </c>
      <c r="H120">
        <f>IF(OR(G120="Sin pagar",G120="Pagar"),NETWORKDAYS($J$114,F120,'Festivos Colombia'!$A$3:$A$22),0)</f>
        <v>0</v>
      </c>
      <c r="I120">
        <f>NETWORKDAYS($J$114,F120,'Festivos Colombia'!$A$3:$A$22)</f>
        <v>8</v>
      </c>
      <c r="J120">
        <f>H120</f>
        <v>0</v>
      </c>
    </row>
    <row r="121">
      <c r="A121" t="str">
        <f>G121</f>
        <v>Cancelado</v>
      </c>
      <c r="B121">
        <f>IF(I121&lt;=-1,1,IF(I121&lt;=5,2,IF(I121&lt;=15,3,IF(H121&lt;=60,4))))</f>
        <v>4</v>
      </c>
      <c r="D121" t="str">
        <v>Anticipo nómina Action</v>
      </c>
      <c r="E121">
        <f>4747292</f>
        <v>4747292</v>
      </c>
      <c r="F121">
        <v>46055</v>
      </c>
      <c r="G121" t="str">
        <v>Cancelado</v>
      </c>
      <c r="H121">
        <f>IF(OR(G121="Sin pagar",G121="Pagar"),NETWORKDAYS($J$114,F121,'Festivos Colombia'!$A$3:$A$22),0)</f>
        <v>0</v>
      </c>
      <c r="I121">
        <f>NETWORKDAYS($J$114,F121,'Festivos Colombia'!$A$3:$A$22)</f>
        <v>21</v>
      </c>
      <c r="J121">
        <f>H121</f>
        <v>0</v>
      </c>
    </row>
    <row r="122">
      <c r="D122" t="str">
        <v xml:space="preserve">SEGURIDAD SOCIAL   </v>
      </c>
      <c r="E122">
        <f>SUBTOTAL(9,E123:E123)</f>
        <v>464642000</v>
      </c>
    </row>
    <row r="123">
      <c r="A123" t="str">
        <f>G123</f>
        <v>Cancelado</v>
      </c>
      <c r="B123">
        <f>IF(I123&lt;=-1,1,IF(I123&lt;=5,2,IF(I123&lt;=15,3,IF(H123&lt;=60,4))))</f>
        <v>3</v>
      </c>
      <c r="C123">
        <v>176206200</v>
      </c>
      <c r="D123" t="str">
        <v xml:space="preserve">Seguridad social </v>
      </c>
      <c r="E123">
        <v>464642000</v>
      </c>
      <c r="F123">
        <v>46036</v>
      </c>
      <c r="G123" t="str">
        <v>Cancelado</v>
      </c>
      <c r="H123">
        <f>IF(OR(G123="Sin pagar",G123="Pagar"),NETWORKDAYS($J$114,F123,'Festivos Colombia'!$A$3:$A$22),0)</f>
        <v>0</v>
      </c>
      <c r="I123">
        <f>NETWORKDAYS($J$114,F123,'Festivos Colombia'!$A$3:$A$22)</f>
        <v>8</v>
      </c>
      <c r="J123">
        <f>H123</f>
        <v>0</v>
      </c>
    </row>
    <row r="124">
      <c r="D124" t="str">
        <v>AFC´S</v>
      </c>
      <c r="E124">
        <f>SUBTOTAL(9,E125:E127)</f>
        <v>18075460</v>
      </c>
    </row>
    <row r="125">
      <c r="A125" t="str">
        <f>G125</f>
        <v>Cancelado</v>
      </c>
      <c r="B125">
        <f>IF(I125&lt;=-1,1,IF(I125&lt;=5,2,IF(I125&lt;=15,3,IF(H125&lt;=60,4))))</f>
        <v>4</v>
      </c>
      <c r="D125" t="str">
        <v xml:space="preserve">AFC Dafuturo cheque </v>
      </c>
      <c r="E125">
        <v>1000000</v>
      </c>
      <c r="F125">
        <v>46052</v>
      </c>
      <c r="G125" t="str">
        <v>Cancelado</v>
      </c>
      <c r="H125">
        <f>IF(OR(G125="Sin pagar",G125="Pagar"),NETWORKDAYS($J$114,F125,'Festivos Colombia'!$A$3:$A$22),0)</f>
        <v>0</v>
      </c>
      <c r="I125">
        <f>NETWORKDAYS($J$114,F125,'Festivos Colombia'!$A$3:$A$22)</f>
        <v>20</v>
      </c>
      <c r="J125">
        <f>H125</f>
        <v>0</v>
      </c>
    </row>
    <row r="126">
      <c r="A126" t="str">
        <f>G126</f>
        <v>Cancelado</v>
      </c>
      <c r="B126">
        <f>IF(I126&lt;=-1,1,IF(I126&lt;=5,2,IF(I126&lt;=15,3,IF(H126&lt;=60,4))))</f>
        <v>4</v>
      </c>
      <c r="D126" t="str">
        <v xml:space="preserve">AFC OER electronico </v>
      </c>
      <c r="E126">
        <f>4100000+1650000+5000000+3950000</f>
        <v>14700000</v>
      </c>
      <c r="F126">
        <v>46050</v>
      </c>
      <c r="G126" t="str">
        <v>Cancelado</v>
      </c>
      <c r="H126">
        <f>IF(OR(G126="Sin pagar",G126="Pagar"),NETWORKDAYS($J$114,F126,'Festivos Colombia'!$A$3:$A$22),0)</f>
        <v>0</v>
      </c>
      <c r="I126">
        <f>NETWORKDAYS($J$114,F126,'Festivos Colombia'!$A$3:$A$22)</f>
        <v>18</v>
      </c>
      <c r="J126">
        <f>H126</f>
        <v>0</v>
      </c>
    </row>
    <row r="127">
      <c r="A127" t="str">
        <f>G127</f>
        <v>Cancelado</v>
      </c>
      <c r="B127">
        <f>IF(I127&lt;=-1,1,IF(I127&lt;=5,2,IF(I127&lt;=15,3,IF(H127&lt;=60,4))))</f>
        <v>4</v>
      </c>
      <c r="D127" t="str">
        <v xml:space="preserve">AFC Edward Forero electronico </v>
      </c>
      <c r="E127">
        <v>2375460</v>
      </c>
      <c r="F127">
        <v>46050</v>
      </c>
      <c r="G127" t="str">
        <v>Cancelado</v>
      </c>
      <c r="H127">
        <f>IF(OR(G127="Sin pagar",G127="Pagar"),NETWORKDAYS($J$114,F127,'Festivos Colombia'!$A$3:$A$22),0)</f>
        <v>0</v>
      </c>
      <c r="I127">
        <f>NETWORKDAYS($J$114,F127,'Festivos Colombia'!$A$3:$A$22)</f>
        <v>18</v>
      </c>
      <c r="J127">
        <f>H127</f>
        <v>0</v>
      </c>
    </row>
    <row r="128">
      <c r="D128" t="str">
        <v xml:space="preserve">IMPUESTOS </v>
      </c>
      <c r="E128">
        <f>SUBTOTAL(9,E129:E132)</f>
        <v>216455000</v>
      </c>
      <c r="J128">
        <f>H128</f>
        <v>0</v>
      </c>
    </row>
    <row r="129">
      <c r="D129" t="str">
        <v xml:space="preserve">Reteica 6to bimestre 2025 </v>
      </c>
      <c r="E129">
        <v>1090000</v>
      </c>
      <c r="F129">
        <v>46038</v>
      </c>
      <c r="G129" t="str">
        <v>Cancelado</v>
      </c>
      <c r="H129">
        <f>IF(OR(G129="Sin pagar",G129="Pagar"),NETWORKDAYS($J$114,F129,'Festivos Colombia'!$A$3:$A$22),0)</f>
        <v>0</v>
      </c>
      <c r="I129">
        <f>NETWORKDAYS($J$114,F129,'Festivos Colombia'!$A$3:$A$22)</f>
        <v>10</v>
      </c>
      <c r="J129">
        <f>H129</f>
        <v>0</v>
      </c>
    </row>
    <row r="130">
      <c r="D130" t="str">
        <v xml:space="preserve">IVA Bimetral </v>
      </c>
      <c r="E130">
        <v>72004000</v>
      </c>
      <c r="F130">
        <v>46041</v>
      </c>
      <c r="G130" t="str">
        <v>Cancelado</v>
      </c>
      <c r="H130">
        <f>IF(OR(G130="Sin pagar",G130="Pagar"),NETWORKDAYS($J$114,F130,'Festivos Colombia'!$A$3:$A$22),0)</f>
        <v>0</v>
      </c>
      <c r="I130">
        <f>NETWORKDAYS($J$114,F130,'Festivos Colombia'!$A$3:$A$22)</f>
        <v>11</v>
      </c>
      <c r="J130">
        <f>H130</f>
        <v>0</v>
      </c>
    </row>
    <row r="131">
      <c r="A131" t="str">
        <f>G131</f>
        <v>Cancelado</v>
      </c>
      <c r="B131">
        <f>IF(I131&lt;=-1,1,IF(I131&lt;=5,2,IF(I131&lt;=15,3,IF(H131&lt;=60,4))))</f>
        <v>3</v>
      </c>
      <c r="D131" t="str">
        <v xml:space="preserve">RETENCIÓN EN LA FUENTE </v>
      </c>
      <c r="E131">
        <v>143189000</v>
      </c>
      <c r="F131">
        <v>46041</v>
      </c>
      <c r="G131" t="str">
        <v>Cancelado</v>
      </c>
      <c r="H131">
        <f>IF(OR(G131="Sin pagar",G131="Pagar"),NETWORKDAYS($J$114,F131,'Festivos Colombia'!$A$3:$A$22),0)</f>
        <v>0</v>
      </c>
      <c r="I131">
        <f>NETWORKDAYS($J$114,F131,'Festivos Colombia'!$A$3:$A$22)</f>
        <v>11</v>
      </c>
      <c r="J131">
        <f>H131</f>
        <v>0</v>
      </c>
    </row>
    <row r="132">
      <c r="D132" t="str">
        <v>Retención de IVA</v>
      </c>
      <c r="E132">
        <v>172000</v>
      </c>
      <c r="F132">
        <v>46041</v>
      </c>
      <c r="G132" t="str">
        <v>Cancelado</v>
      </c>
      <c r="H132">
        <f>IF(OR(G132="Sin pagar",G132="Pagar"),NETWORKDAYS($J$114,F132,'Festivos Colombia'!$A$3:$A$22),0)</f>
        <v>0</v>
      </c>
      <c r="I132">
        <f>NETWORKDAYS($J$114,F132,'Festivos Colombia'!$A$3:$A$22)</f>
        <v>11</v>
      </c>
      <c r="J132">
        <f>H132</f>
        <v>0</v>
      </c>
    </row>
    <row r="133">
      <c r="D133" t="str">
        <v>ARRIENDO, INTERNET, TELEFONIA Y GASTOS DE OFICINA</v>
      </c>
      <c r="E133">
        <f>SUBTOTAL(9,E134:E152)</f>
        <v>9884764.51</v>
      </c>
      <c r="J133">
        <f>H133</f>
        <v>0</v>
      </c>
    </row>
    <row r="134">
      <c r="A134" t="str">
        <f>G134</f>
        <v>Cancelado</v>
      </c>
      <c r="B134">
        <f>IF(I134&lt;=-1,1,IF(I134&lt;=5,2,IF(I134&lt;=15,3,IF(H134&lt;=60,4))))</f>
        <v>3</v>
      </c>
      <c r="C134">
        <v>26978</v>
      </c>
      <c r="D134" t="str">
        <v>Parking remofirst</v>
      </c>
      <c r="E134">
        <v>667000</v>
      </c>
      <c r="F134">
        <v>46031</v>
      </c>
      <c r="G134" t="str">
        <v>Cancelado</v>
      </c>
      <c r="H134">
        <f>IF(OR(G134="Sin pagar",G134="Pagar"),NETWORKDAYS($J$114,F134,'Festivos Colombia'!$A$3:$A$22),0)</f>
        <v>0</v>
      </c>
      <c r="I134">
        <f>NETWORKDAYS($J$114,F134,'Festivos Colombia'!$A$3:$A$22)</f>
        <v>6</v>
      </c>
      <c r="J134">
        <f>H134</f>
        <v>0</v>
      </c>
    </row>
    <row r="135">
      <c r="A135" t="str">
        <f>G135</f>
        <v>Cancelado</v>
      </c>
      <c r="B135">
        <f>IF(I135&lt;=-1,1,IF(I135&lt;=5,2,IF(I135&lt;=15,3,IF(H135&lt;=60,4))))</f>
        <v>3</v>
      </c>
      <c r="C135" t="str">
        <v>FE-53959</v>
      </c>
      <c r="D135" t="str">
        <v>BUK colombia SAS-Sucricpión Diciembre</v>
      </c>
      <c r="E135">
        <f>1178285.75</f>
        <v>1178285.75</v>
      </c>
      <c r="F135">
        <v>46031</v>
      </c>
      <c r="G135" t="str">
        <v>Cancelado</v>
      </c>
      <c r="H135">
        <f>IF(OR(G135="Sin pagar",G135="Pagar"),NETWORKDAYS($J$114,F135,'Festivos Colombia'!$A$3:$A$22),0)</f>
        <v>0</v>
      </c>
      <c r="I135">
        <f>NETWORKDAYS($J$114,F135,'Festivos Colombia'!$A$3:$A$22)</f>
        <v>6</v>
      </c>
      <c r="J135">
        <f>H135</f>
        <v>0</v>
      </c>
    </row>
    <row r="136">
      <c r="A136" t="str">
        <f>G136</f>
        <v>Cancelado</v>
      </c>
      <c r="B136">
        <f>IF(I136&lt;=-1,1,IF(I136&lt;=5,2,IF(I136&lt;=15,3,IF(H136&lt;=60,4))))</f>
        <v>3</v>
      </c>
      <c r="C136" t="str">
        <v>FEV 3264</v>
      </c>
      <c r="D136" t="str">
        <v>Pruebas THT- Plan detal 6 informes</v>
      </c>
      <c r="E136">
        <v>1104320</v>
      </c>
      <c r="F136">
        <v>46036</v>
      </c>
      <c r="G136" t="str">
        <v>Cancelado</v>
      </c>
      <c r="H136">
        <f>IF(OR(G136="Sin pagar",G136="Pagar"),NETWORKDAYS($J$114,F136,'Festivos Colombia'!$A$3:$A$22),0)</f>
        <v>0</v>
      </c>
      <c r="I136">
        <f>NETWORKDAYS($J$114,F136,'Festivos Colombia'!$A$3:$A$22)</f>
        <v>8</v>
      </c>
      <c r="J136">
        <f>H136</f>
        <v>0</v>
      </c>
    </row>
    <row r="137">
      <c r="A137" t="str">
        <f>G137</f>
        <v>Cancelado</v>
      </c>
      <c r="B137">
        <f>IF(I137&lt;=-1,1,IF(I137&lt;=5,2,IF(I137&lt;=15,3,IF(H137&lt;=60,4))))</f>
        <v>3</v>
      </c>
      <c r="C137" t="str">
        <v>FEWP-6404</v>
      </c>
      <c r="D137" t="str">
        <v>WORKPLACE SOLUTIONS GROUP SAS (SPACIO)</v>
      </c>
      <c r="E137">
        <v>358066.76</v>
      </c>
      <c r="F137">
        <v>46041</v>
      </c>
      <c r="G137" t="str">
        <v>Cancelado</v>
      </c>
      <c r="H137">
        <f>IF(OR(G137="Sin pagar",G137="Pagar"),NETWORKDAYS($J$114,F137,'Festivos Colombia'!$A$3:$A$22),0)</f>
        <v>0</v>
      </c>
      <c r="I137">
        <f>NETWORKDAYS($J$114,F137,'Festivos Colombia'!$A$3:$A$22)</f>
        <v>11</v>
      </c>
      <c r="J137">
        <f>H137</f>
        <v>0</v>
      </c>
    </row>
    <row r="138">
      <c r="A138" t="str">
        <f>G138</f>
        <v>Cancelado</v>
      </c>
      <c r="B138">
        <f>IF(I138&lt;=-1,1,IF(I138&lt;=5,2,IF(I138&lt;=15,3,IF(H138&lt;=60,4))))</f>
        <v>3</v>
      </c>
      <c r="C138" t="str">
        <v>FEWP-6372</v>
      </c>
      <c r="D138" t="str">
        <v>WORKPLACE SOLUTIONS GROUP SAS (SPACIO)-Sala de juntas 9 horas</v>
      </c>
      <c r="E138">
        <v>912272</v>
      </c>
      <c r="F138">
        <v>46041</v>
      </c>
      <c r="G138" t="str">
        <v>Cancelado</v>
      </c>
      <c r="H138">
        <f>IF(OR(G138="Sin pagar",G138="Pagar"),NETWORKDAYS($J$114,F138,'Festivos Colombia'!$A$3:$A$22),0)</f>
        <v>0</v>
      </c>
      <c r="I138">
        <f>NETWORKDAYS($J$114,F138,'Festivos Colombia'!$A$3:$A$22)</f>
        <v>11</v>
      </c>
      <c r="J138">
        <f>H138</f>
        <v>0</v>
      </c>
    </row>
    <row r="139">
      <c r="A139" t="str">
        <f>G139</f>
        <v>Cancelado</v>
      </c>
      <c r="B139">
        <f>IF(I139&lt;=-1,1,IF(I139&lt;=5,2,IF(I139&lt;=15,3,IF(H139&lt;=60,4))))</f>
        <v>3</v>
      </c>
      <c r="C139" t="str">
        <v>FEWP-6373</v>
      </c>
      <c r="D139" t="str">
        <v>WORKPLACE SOLUTIONS GROUP SAS (SPACIO)-Impresiones a color</v>
      </c>
      <c r="E139">
        <v>218500</v>
      </c>
      <c r="F139">
        <v>46041</v>
      </c>
      <c r="G139" t="str">
        <v>Cancelado</v>
      </c>
      <c r="H139">
        <f>IF(OR(G139="Sin pagar",G139="Pagar"),NETWORKDAYS($J$114,F139,'Festivos Colombia'!$A$3:$A$22),0)</f>
        <v>0</v>
      </c>
      <c r="I139">
        <f>NETWORKDAYS($J$114,F139,'Festivos Colombia'!$A$3:$A$22)</f>
        <v>11</v>
      </c>
      <c r="J139">
        <f>H139</f>
        <v>0</v>
      </c>
    </row>
    <row r="140">
      <c r="A140" t="str">
        <f>G140</f>
        <v>Cancelado</v>
      </c>
      <c r="B140">
        <f>IF(I140&lt;=-1,1,IF(I140&lt;=5,2,IF(I140&lt;=15,3,IF(H140&lt;=60,4))))</f>
        <v>3</v>
      </c>
      <c r="C140" t="str">
        <v>FEWP-6448</v>
      </c>
      <c r="D140" t="str">
        <v>WORKPLACE SOLUTIONS GROUP SAS (SPACIO)-Sala de juntas 3 horas</v>
      </c>
      <c r="E140">
        <v>207000</v>
      </c>
      <c r="F140">
        <v>46042</v>
      </c>
      <c r="G140" t="str">
        <v>Cancelado</v>
      </c>
      <c r="H140">
        <f>IF(OR(G140="Sin pagar",G140="Pagar"),NETWORKDAYS($J$114,F140,'Festivos Colombia'!$A$3:$A$22),0)</f>
        <v>0</v>
      </c>
      <c r="I140">
        <f>NETWORKDAYS($J$114,F140,'Festivos Colombia'!$A$3:$A$22)</f>
        <v>12</v>
      </c>
      <c r="J140">
        <f>H140</f>
        <v>0</v>
      </c>
    </row>
    <row r="141">
      <c r="A141" t="str">
        <f>G141</f>
        <v>Cancelado</v>
      </c>
      <c r="B141">
        <f>IF(I141&lt;=-1,1,IF(I141&lt;=5,2,IF(I141&lt;=15,3,IF(H141&lt;=60,4))))</f>
        <v>4</v>
      </c>
      <c r="C141" t="str">
        <v>FEWP-6463</v>
      </c>
      <c r="D141" t="str">
        <v>WORKPLACE SOLUTIONS GROUP SAS (SPACIO)-Sala de juntas 3 horas</v>
      </c>
      <c r="E141">
        <v>227700</v>
      </c>
      <c r="F141">
        <v>46052</v>
      </c>
      <c r="G141" t="str">
        <v>Cancelado</v>
      </c>
      <c r="H141">
        <f>IF(OR(G141="Sin pagar",G141="Pagar"),NETWORKDAYS($J$114,F141,'Festivos Colombia'!$A$3:$A$22),0)</f>
        <v>0</v>
      </c>
      <c r="I141">
        <f>NETWORKDAYS($J$114,F141,'Festivos Colombia'!$A$3:$A$22)</f>
        <v>20</v>
      </c>
      <c r="J141">
        <f>H141</f>
        <v>0</v>
      </c>
    </row>
    <row r="142">
      <c r="A142" t="str">
        <f>G142</f>
        <v>Cancelado</v>
      </c>
      <c r="B142">
        <f>IF(I142&lt;=-1,1,IF(I142&lt;=5,2,IF(I142&lt;=15,3,IF(H142&lt;=60,4))))</f>
        <v>3</v>
      </c>
      <c r="C142" t="str">
        <v>580831409004</v>
      </c>
      <c r="D142" t="str">
        <v>Movistar Office 365</v>
      </c>
      <c r="E142">
        <v>352410</v>
      </c>
      <c r="F142">
        <v>46031</v>
      </c>
      <c r="G142" t="str">
        <v>Cancelado</v>
      </c>
      <c r="H142">
        <f>IF(OR(G142="Sin pagar",G142="Pagar"),NETWORKDAYS($J$114,F142,'Festivos Colombia'!$A$3:$A$22),0)</f>
        <v>0</v>
      </c>
      <c r="I142">
        <f>NETWORKDAYS($J$114,F142,'Festivos Colombia'!$A$3:$A$22)</f>
        <v>6</v>
      </c>
      <c r="J142">
        <f>H142</f>
        <v>0</v>
      </c>
      <c r="K142" t="str">
        <v>Sin radicar - se paga por fecha de suspensión 12/01</v>
      </c>
    </row>
    <row r="143">
      <c r="A143" t="str">
        <f>G143</f>
        <v>Cancelado</v>
      </c>
      <c r="B143">
        <f>IF(I143&lt;=-1,1,IF(I143&lt;=5,2,IF(I143&lt;=15,3,IF(H143&lt;=60,4))))</f>
        <v>3</v>
      </c>
      <c r="C143" t="str">
        <v>EMPR60241</v>
      </c>
      <c r="D143" t="str">
        <v>Bienestar a la carta compensar mes de octubre</v>
      </c>
      <c r="E143">
        <f>150000</f>
        <v>150000</v>
      </c>
      <c r="F143">
        <v>46038</v>
      </c>
      <c r="G143" t="str">
        <v>Cancelado</v>
      </c>
      <c r="H143">
        <f>IF(OR(G143="Sin pagar",G143="Pagar"),NETWORKDAYS($J$114,F143,'Festivos Colombia'!$A$3:$A$22),0)</f>
        <v>0</v>
      </c>
      <c r="I143">
        <f>NETWORKDAYS($J$114,F143,'Festivos Colombia'!$A$3:$A$22)</f>
        <v>10</v>
      </c>
      <c r="J143">
        <f>H143</f>
        <v>0</v>
      </c>
    </row>
    <row r="144">
      <c r="A144" t="str">
        <f>G144</f>
        <v>Cancelado</v>
      </c>
      <c r="B144">
        <f>IF(I144&lt;=-1,1,IF(I144&lt;=5,2,IF(I144&lt;=15,3,IF(H144&lt;=60,4))))</f>
        <v>3</v>
      </c>
      <c r="C144">
        <v>62</v>
      </c>
      <c r="D144" t="str">
        <v>Rafael Mier (arriendo Bodega para S&amp;P)</v>
      </c>
      <c r="E144">
        <v>180000</v>
      </c>
      <c r="F144">
        <v>46036</v>
      </c>
      <c r="G144" t="str">
        <v>Cancelado</v>
      </c>
      <c r="H144">
        <f>IF(OR(G144="Sin pagar",G144="Pagar"),NETWORKDAYS($J$114,F144,'Festivos Colombia'!$A$3:$A$22),0)</f>
        <v>0</v>
      </c>
      <c r="I144">
        <f>NETWORKDAYS($J$114,F144,'Festivos Colombia'!$A$3:$A$22)</f>
        <v>8</v>
      </c>
      <c r="J144">
        <f>H144</f>
        <v>0</v>
      </c>
    </row>
    <row r="145">
      <c r="A145" t="str">
        <f>G145</f>
        <v>Cancelado</v>
      </c>
      <c r="B145">
        <f>IF(I145&lt;=-1,1,IF(I145&lt;=5,2,IF(I145&lt;=15,3,IF(H145&lt;=60,4))))</f>
        <v>3</v>
      </c>
      <c r="C145">
        <v>1</v>
      </c>
      <c r="D145" t="str">
        <v xml:space="preserve">Giovanna Guio-Reembolso de gastos </v>
      </c>
      <c r="E145">
        <v>146000</v>
      </c>
      <c r="F145">
        <v>46045</v>
      </c>
      <c r="G145" t="str">
        <v>Cancelado</v>
      </c>
      <c r="H145">
        <f>IF(OR(G145="Sin pagar",G145="Pagar"),NETWORKDAYS($J$114,F145,'Festivos Colombia'!$A$3:$A$22),0)</f>
        <v>0</v>
      </c>
      <c r="I145">
        <f>NETWORKDAYS($J$114,F145,'Festivos Colombia'!$A$3:$A$22)</f>
        <v>15</v>
      </c>
      <c r="J145">
        <f>H145</f>
        <v>0</v>
      </c>
    </row>
    <row r="146">
      <c r="A146" t="str">
        <f>G146</f>
        <v>Cancelado</v>
      </c>
      <c r="B146">
        <f>IF(I146&lt;=-1,1,IF(I146&lt;=5,2,IF(I146&lt;=15,3,IF(H146&lt;=60,4))))</f>
        <v>3</v>
      </c>
      <c r="C146" t="str">
        <v>003 - 292457153</v>
      </c>
      <c r="D146" t="str">
        <v>Claro Office 365</v>
      </c>
      <c r="E146">
        <v>1357345</v>
      </c>
      <c r="F146">
        <v>46044</v>
      </c>
      <c r="G146" t="str">
        <v>Cancelado</v>
      </c>
      <c r="H146">
        <f>IF(OR(G146="Sin pagar",G146="Pagar"),NETWORKDAYS($J$114,F146,'Festivos Colombia'!$A$3:$A$22),0)</f>
        <v>0</v>
      </c>
      <c r="I146">
        <f>NETWORKDAYS($J$114,F146,'Festivos Colombia'!$A$3:$A$22)</f>
        <v>14</v>
      </c>
      <c r="J146">
        <f>H146</f>
        <v>0</v>
      </c>
    </row>
    <row r="147">
      <c r="A147" t="str">
        <f>G147</f>
        <v>Cancelado</v>
      </c>
      <c r="B147">
        <f>IF(I147&lt;=-1,1,IF(I147&lt;=5,2,IF(I147&lt;=15,3,IF(H147&lt;=60,4))))</f>
        <v>3</v>
      </c>
      <c r="C147" t="str">
        <v xml:space="preserve">	6016985756</v>
      </c>
      <c r="D147" t="str">
        <v xml:space="preserve">Claro-Telefonia </v>
      </c>
      <c r="E147">
        <v>845089</v>
      </c>
      <c r="F147">
        <v>46044</v>
      </c>
      <c r="G147" t="str">
        <v>Cancelado</v>
      </c>
      <c r="H147">
        <f>IF(OR(G147="Sin pagar",G147="Pagar"),NETWORKDAYS($J$114,F147,'Festivos Colombia'!$A$3:$A$22),0)</f>
        <v>0</v>
      </c>
      <c r="I147">
        <f>NETWORKDAYS($J$114,F147,'Festivos Colombia'!$A$3:$A$22)</f>
        <v>14</v>
      </c>
      <c r="J147">
        <f>H147</f>
        <v>0</v>
      </c>
    </row>
    <row r="148">
      <c r="A148" t="str">
        <f>G148</f>
        <v>Cancelado</v>
      </c>
      <c r="B148">
        <f>IF(I148&lt;=-1,1,IF(I148&lt;=5,2,IF(I148&lt;=15,3,IF(H148&lt;=60,4))))</f>
        <v>4</v>
      </c>
      <c r="C148" t="str">
        <v>S/N</v>
      </c>
      <c r="D148" t="str">
        <v>Reembolso Caja menor</v>
      </c>
      <c r="E148">
        <v>267900</v>
      </c>
      <c r="F148">
        <v>46052</v>
      </c>
      <c r="G148" t="str">
        <v>Cancelado</v>
      </c>
      <c r="H148">
        <f>IF(OR(G148="Sin pagar",G148="Pagar"),NETWORKDAYS($J$114,F148,'Festivos Colombia'!$A$3:$A$22),0)</f>
        <v>0</v>
      </c>
      <c r="I148">
        <f>NETWORKDAYS($J$114,F148,'Festivos Colombia'!$A$3:$A$22)</f>
        <v>20</v>
      </c>
      <c r="J148">
        <f>H148</f>
        <v>0</v>
      </c>
    </row>
    <row r="149">
      <c r="A149" t="str">
        <f>G149</f>
        <v>Cancelado</v>
      </c>
      <c r="B149">
        <f>IF(I149&lt;=-1,1,IF(I149&lt;=5,2,IF(I149&lt;=15,3,IF(H149&lt;=60,4))))</f>
        <v>4</v>
      </c>
      <c r="C149" t="str">
        <v>BEC503796728</v>
      </c>
      <c r="D149" t="str">
        <v>Movistar telefonía</v>
      </c>
      <c r="E149">
        <v>856438</v>
      </c>
      <c r="F149">
        <v>46052</v>
      </c>
      <c r="G149" t="str">
        <v>Cancelado</v>
      </c>
      <c r="H149">
        <f>IF(OR(G149="Sin pagar",G149="Pagar"),NETWORKDAYS($J$114,F149,'Festivos Colombia'!$A$3:$A$22),0)</f>
        <v>0</v>
      </c>
      <c r="I149">
        <f>NETWORKDAYS($J$114,F149,'Festivos Colombia'!$A$3:$A$22)</f>
        <v>20</v>
      </c>
      <c r="J149">
        <f>H149</f>
        <v>0</v>
      </c>
    </row>
    <row r="150">
      <c r="A150" t="str">
        <f>G150</f>
        <v>Cancelado</v>
      </c>
      <c r="B150">
        <f>IF(I150&lt;=-1,1,IF(I150&lt;=5,2,IF(I150&lt;=15,3,IF(H150&lt;=60,4))))</f>
        <v>4</v>
      </c>
      <c r="C150" t="str">
        <v>BEC503796728</v>
      </c>
      <c r="D150" t="str">
        <v>Movistar telefonía</v>
      </c>
      <c r="E150">
        <v>856438</v>
      </c>
      <c r="F150">
        <v>46052</v>
      </c>
      <c r="G150" t="str">
        <v>Cancelado</v>
      </c>
      <c r="H150">
        <f>IF(OR(G150="Sin pagar",G150="Pagar"),NETWORKDAYS($J$114,F150,'Festivos Colombia'!$A$3:$A$22),0)</f>
        <v>0</v>
      </c>
      <c r="I150">
        <f>NETWORKDAYS($J$114,F150,'Festivos Colombia'!$A$3:$A$22)</f>
        <v>20</v>
      </c>
      <c r="J150">
        <f>H150</f>
        <v>0</v>
      </c>
    </row>
    <row r="151">
      <c r="A151" t="str">
        <f>G151</f>
        <v>Sin Pagar</v>
      </c>
      <c r="B151">
        <f>IF(I151&lt;=-1,1,IF(I151&lt;=5,2,IF(I151&lt;=15,3,IF(H151&lt;=60,4))))</f>
        <v>4</v>
      </c>
      <c r="C151">
        <v>16</v>
      </c>
      <c r="D151" t="str">
        <v>Edgar Rafael Obrador Borja</v>
      </c>
      <c r="E151">
        <f>1015098.5*0</f>
        <v>0</v>
      </c>
      <c r="F151">
        <v>46059</v>
      </c>
      <c r="G151" t="str">
        <v>Sin Pagar</v>
      </c>
      <c r="H151">
        <f>IF(OR(G151="Sin pagar",G151="Pagar"),NETWORKDAYS($J$114,F151,'Festivos Colombia'!$A$3:$A$22),0)</f>
        <v>25</v>
      </c>
      <c r="I151">
        <f>NETWORKDAYS($J$114,F151,'Festivos Colombia'!$A$3:$A$22)</f>
        <v>25</v>
      </c>
      <c r="J151">
        <f>H151</f>
        <v>25</v>
      </c>
      <c r="K151" t="str">
        <v>Sin radicar</v>
      </c>
    </row>
    <row r="152">
      <c r="A152" t="str">
        <f>G152</f>
        <v>Sin Pagar</v>
      </c>
      <c r="B152">
        <f>IF(I152&lt;=-1,1,IF(I152&lt;=5,2,IF(I152&lt;=15,3,IF(H152&lt;=60,4))))</f>
        <v>4</v>
      </c>
      <c r="C152" t="str">
        <v>FE-56980</v>
      </c>
      <c r="D152" t="str">
        <v>BUK colombia SAS-Suscripión Enero</v>
      </c>
      <c r="E152">
        <f>1244113.7*0</f>
        <v>0</v>
      </c>
      <c r="F152">
        <v>46066</v>
      </c>
      <c r="G152" t="str">
        <v>Sin Pagar</v>
      </c>
      <c r="H152">
        <f>IF(OR(G152="Sin pagar",G152="Pagar"),NETWORKDAYS($J$114,F152,'Festivos Colombia'!$A$3:$A$22),0)</f>
        <v>30</v>
      </c>
      <c r="I152">
        <f>NETWORKDAYS($J$114,F152,'Festivos Colombia'!$A$3:$A$22)</f>
        <v>30</v>
      </c>
      <c r="J152">
        <f>H152</f>
        <v>30</v>
      </c>
    </row>
    <row r="153">
      <c r="D153" t="str">
        <v>PLANES COMPLEMENTARIOS Y PREPAGADAS</v>
      </c>
      <c r="E153">
        <f>SUBTOTAL(9,E154:E155)</f>
        <v>1462406</v>
      </c>
    </row>
    <row r="154">
      <c r="A154" t="str">
        <f>G154</f>
        <v>Cancelado</v>
      </c>
      <c r="B154">
        <f>IF(I154&lt;=-1,1,IF(I154&lt;=5,2,IF(I154&lt;=15,3,IF(H154&lt;=60,4))))</f>
        <v>3</v>
      </c>
      <c r="C154" t="str">
        <v>SD0117095702</v>
      </c>
      <c r="D154" t="str">
        <v>Plan complementario Eduard Forero</v>
      </c>
      <c r="E154">
        <v>658350</v>
      </c>
      <c r="F154">
        <v>46038</v>
      </c>
      <c r="G154" t="str">
        <v>Cancelado</v>
      </c>
      <c r="H154">
        <f>IF(OR(G154="Sin pagar",G154="Pagar"),NETWORKDAYS($J$114,F154,'Festivos Colombia'!$A$3:$A$22),0)</f>
        <v>0</v>
      </c>
      <c r="I154">
        <f>NETWORKDAYS($J$114,F154,'Festivos Colombia'!$A$3:$A$22)</f>
        <v>10</v>
      </c>
      <c r="J154">
        <f>H154</f>
        <v>0</v>
      </c>
    </row>
    <row r="155">
      <c r="A155" t="str">
        <f>G155</f>
        <v>Cancelado</v>
      </c>
      <c r="B155">
        <f>IF(I155&lt;=-1,1,IF(I155&lt;=5,2,IF(I155&lt;=15,3,IF(H155&lt;=60,4))))</f>
        <v>3</v>
      </c>
      <c r="C155" t="str">
        <v>219912160194</v>
      </c>
      <c r="D155" t="str">
        <v>Plan complementario Ricardo Arambulo</v>
      </c>
      <c r="E155">
        <f>804056</f>
        <v>804056</v>
      </c>
      <c r="F155">
        <v>46045</v>
      </c>
      <c r="G155" t="str">
        <v>Cancelado</v>
      </c>
      <c r="H155">
        <f>IF(OR(G155="Sin pagar",G155="Pagar"),NETWORKDAYS($J$114,F155,'Festivos Colombia'!$A$3:$A$22),0)</f>
        <v>0</v>
      </c>
      <c r="I155">
        <f>NETWORKDAYS($J$114,F155,'Festivos Colombia'!$A$3:$A$22)</f>
        <v>15</v>
      </c>
      <c r="J155">
        <f>H155</f>
        <v>0</v>
      </c>
    </row>
    <row r="156">
      <c r="D156" t="str">
        <v>PÓLIZAS Y SEGUROS</v>
      </c>
      <c r="E156">
        <f>SUBTOTAL(9,E157:E161)</f>
        <v>9704799</v>
      </c>
    </row>
    <row r="157">
      <c r="A157" t="str">
        <f>G157</f>
        <v>Cancelado</v>
      </c>
      <c r="B157">
        <f>IF(I157&lt;=-1,1,IF(I157&lt;=5,2,IF(I157&lt;=15,3,IF(H157&lt;=60,4))))</f>
        <v>4</v>
      </c>
      <c r="C157">
        <v>20833343208</v>
      </c>
      <c r="D157" t="str">
        <v>Poliza Suramericana Póliza #  083004098664</v>
      </c>
      <c r="E157">
        <v>174056</v>
      </c>
      <c r="F157">
        <v>46052</v>
      </c>
      <c r="G157" t="str">
        <v>Cancelado</v>
      </c>
      <c r="H157">
        <f>IF(OR(G157="Sin pagar",G157="Pagar"),NETWORKDAYS($J$114,F157,'Festivos Colombia'!$A$3:$A$22),0)</f>
        <v>0</v>
      </c>
      <c r="I157">
        <f>NETWORKDAYS($J$114,F157,'Festivos Colombia'!$A$3:$A$22)</f>
        <v>20</v>
      </c>
      <c r="J157">
        <f>H157</f>
        <v>0</v>
      </c>
      <c r="K157" t="str">
        <v>Sin radicar</v>
      </c>
    </row>
    <row r="158">
      <c r="A158" t="str">
        <f>G158</f>
        <v>Cancelado</v>
      </c>
      <c r="B158">
        <f>IF(I158&lt;=-1,1,IF(I158&lt;=5,2,IF(I158&lt;=15,3,IF(H158&lt;=60,4))))</f>
        <v>4</v>
      </c>
      <c r="C158">
        <v>20911204190</v>
      </c>
      <c r="D158" t="str">
        <v>Poliza Suramericana Póliza #  091000808492</v>
      </c>
      <c r="E158">
        <v>70096</v>
      </c>
      <c r="F158">
        <v>46052</v>
      </c>
      <c r="G158" t="str">
        <v>Cancelado</v>
      </c>
      <c r="H158">
        <f>IF(OR(G158="Sin pagar",G158="Pagar"),NETWORKDAYS($J$114,F158,'Festivos Colombia'!$A$3:$A$22),0)</f>
        <v>0</v>
      </c>
      <c r="I158">
        <f>NETWORKDAYS($J$114,F158,'Festivos Colombia'!$A$3:$A$22)</f>
        <v>20</v>
      </c>
      <c r="J158">
        <f>H158</f>
        <v>0</v>
      </c>
      <c r="K158" t="str">
        <v>Sin radicar</v>
      </c>
    </row>
    <row r="159">
      <c r="A159" t="str">
        <f>G159</f>
        <v>Cancelado</v>
      </c>
      <c r="B159">
        <f>IF(I159&lt;=-1,1,IF(I159&lt;=5,2,IF(I159&lt;=15,3,IF(H159&lt;=60,4))))</f>
        <v>4</v>
      </c>
      <c r="C159">
        <v>20911204307</v>
      </c>
      <c r="D159" t="str">
        <v>Poliza Suramericana Póliza #  091000808492</v>
      </c>
      <c r="E159">
        <v>28438</v>
      </c>
      <c r="F159">
        <v>46052</v>
      </c>
      <c r="G159" t="str">
        <v>Cancelado</v>
      </c>
      <c r="H159">
        <f>IF(OR(G159="Sin pagar",G159="Pagar"),NETWORKDAYS($J$114,F159,'Festivos Colombia'!$A$3:$A$22),0)</f>
        <v>0</v>
      </c>
      <c r="I159">
        <f>NETWORKDAYS($J$114,F159,'Festivos Colombia'!$A$3:$A$22)</f>
        <v>20</v>
      </c>
      <c r="J159">
        <f>H159</f>
        <v>0</v>
      </c>
      <c r="K159" t="str">
        <v>Sin radicar</v>
      </c>
    </row>
    <row r="160">
      <c r="A160" t="str">
        <f>G160</f>
        <v>Cancelado</v>
      </c>
      <c r="B160">
        <f>IF(I160&lt;=-1,1,IF(I160&lt;=5,2,IF(I160&lt;=15,3,IF(H160&lt;=60,4))))</f>
        <v>4</v>
      </c>
      <c r="C160" t="str">
        <v>S/N</v>
      </c>
      <c r="D160" t="str">
        <v>Poliza Suramericana Póliza #  091000808492</v>
      </c>
      <c r="E160">
        <v>9432209</v>
      </c>
      <c r="F160">
        <v>46053</v>
      </c>
      <c r="G160" t="str">
        <v>Cancelado</v>
      </c>
      <c r="H160">
        <f>IF(OR(G160="Sin pagar",G160="Pagar"),NETWORKDAYS($J$114,F160,'Festivos Colombia'!$A$3:$A$22),0)</f>
        <v>0</v>
      </c>
      <c r="I160">
        <f>NETWORKDAYS($J$114,F160,'Festivos Colombia'!$A$3:$A$22)</f>
        <v>20</v>
      </c>
      <c r="J160">
        <f>H160</f>
        <v>0</v>
      </c>
      <c r="K160" t="str">
        <v>Sin radicar</v>
      </c>
    </row>
    <row r="161">
      <c r="A161" t="str">
        <f>G161</f>
        <v>Sin Pagar</v>
      </c>
      <c r="B161">
        <f>IF(I161&lt;=-1,1,IF(I161&lt;=5,2,IF(I161&lt;=15,3,IF(H161&lt;=60,4))))</f>
        <v>4</v>
      </c>
      <c r="C161" t="str">
        <v>S/N</v>
      </c>
      <c r="D161" t="str">
        <v>Poliza Suramericana Póliza #  083004098664</v>
      </c>
      <c r="E161">
        <f>9337*0</f>
        <v>0</v>
      </c>
      <c r="F161">
        <v>46054</v>
      </c>
      <c r="G161" t="str">
        <v>Sin Pagar</v>
      </c>
      <c r="H161">
        <f>IF(OR(G161="Sin pagar",G161="Pagar"),NETWORKDAYS($J$114,F161,'Festivos Colombia'!$A$3:$A$22),0)</f>
        <v>20</v>
      </c>
      <c r="I161">
        <f>NETWORKDAYS($J$114,F161,'Festivos Colombia'!$A$3:$A$22)</f>
        <v>20</v>
      </c>
      <c r="J161">
        <f>H161</f>
        <v>20</v>
      </c>
      <c r="K161" t="str">
        <v>Sin radicar</v>
      </c>
    </row>
    <row r="162">
      <c r="D162" t="str">
        <v>SERVICIOS DE MENSAJERÍA</v>
      </c>
      <c r="E162">
        <f>SUBTOTAL(9,E163:E167)</f>
        <v>603266.6</v>
      </c>
    </row>
    <row r="163">
      <c r="A163" t="str">
        <f>G163</f>
        <v>Cancelado</v>
      </c>
      <c r="B163">
        <f>IF(I163&lt;=-1,1,IF(I163&lt;=5,2,IF(I163&lt;=15,3,IF(H163&lt;=60,4))))</f>
        <v>3</v>
      </c>
      <c r="C163">
        <v>53</v>
      </c>
      <c r="D163" t="str">
        <v>Yecid Martin</v>
      </c>
      <c r="E163">
        <v>39000</v>
      </c>
      <c r="F163">
        <v>46031</v>
      </c>
      <c r="G163" t="str">
        <v>Cancelado</v>
      </c>
      <c r="H163">
        <f>IF(OR(G163="Sin pagar",G163="Pagar"),NETWORKDAYS($J$114,F163,'Festivos Colombia'!$A$3:$A$22),0)</f>
        <v>0</v>
      </c>
      <c r="I163">
        <f>NETWORKDAYS($J$114,F163,'Festivos Colombia'!$A$3:$A$22)</f>
        <v>6</v>
      </c>
      <c r="J163">
        <f>H163</f>
        <v>0</v>
      </c>
    </row>
    <row r="164">
      <c r="A164" t="str">
        <f>G164</f>
        <v>Cancelado</v>
      </c>
      <c r="B164">
        <f>IF(I164&lt;=-1,1,IF(I164&lt;=5,2,IF(I164&lt;=15,3,IF(H164&lt;=60,4))))</f>
        <v>3</v>
      </c>
      <c r="C164">
        <v>18</v>
      </c>
      <c r="D164" t="str">
        <v>Mundo Express</v>
      </c>
      <c r="E164">
        <v>40000</v>
      </c>
      <c r="F164">
        <v>46031</v>
      </c>
      <c r="G164" t="str">
        <v>Cancelado</v>
      </c>
      <c r="H164">
        <f>IF(OR(G164="Sin pagar",G164="Pagar"),NETWORKDAYS($J$114,F164,'Festivos Colombia'!$A$3:$A$22),0)</f>
        <v>0</v>
      </c>
      <c r="I164">
        <f>NETWORKDAYS($J$114,F164,'Festivos Colombia'!$A$3:$A$22)</f>
        <v>6</v>
      </c>
      <c r="J164">
        <f>H164</f>
        <v>0</v>
      </c>
    </row>
    <row r="165">
      <c r="A165" t="str">
        <f>G165</f>
        <v>Cancelado</v>
      </c>
      <c r="B165">
        <f>IF(I165&lt;=-1,1,IF(I165&lt;=5,2,IF(I165&lt;=15,3,IF(H165&lt;=60,4))))</f>
        <v>3</v>
      </c>
      <c r="C165">
        <v>54</v>
      </c>
      <c r="D165" t="str">
        <v>Yecid Martin</v>
      </c>
      <c r="E165">
        <v>39000</v>
      </c>
      <c r="F165">
        <v>46038</v>
      </c>
      <c r="G165" t="str">
        <v>Cancelado</v>
      </c>
      <c r="H165">
        <f>IF(OR(G165="Sin pagar",G165="Pagar"),NETWORKDAYS($J$114,F165,'Festivos Colombia'!$A$3:$A$22),0)</f>
        <v>0</v>
      </c>
      <c r="I165">
        <f>NETWORKDAYS($J$114,F165,'Festivos Colombia'!$A$3:$A$22)</f>
        <v>10</v>
      </c>
      <c r="J165">
        <f>H165</f>
        <v>0</v>
      </c>
    </row>
    <row r="166">
      <c r="A166" t="str">
        <f>G166</f>
        <v>Cancelado</v>
      </c>
      <c r="B166">
        <f>IF(I166&lt;=-1,1,IF(I166&lt;=5,2,IF(I166&lt;=15,3,IF(H166&lt;=60,4))))</f>
        <v>3</v>
      </c>
      <c r="C166">
        <v>55</v>
      </c>
      <c r="D166" t="str">
        <v>Yecid Martin</v>
      </c>
      <c r="E166">
        <v>242681.98</v>
      </c>
      <c r="F166">
        <v>46045</v>
      </c>
      <c r="G166" t="str">
        <v>Cancelado</v>
      </c>
      <c r="H166">
        <f>IF(OR(G166="Sin pagar",G166="Pagar"),NETWORKDAYS($J$114,F166,'Festivos Colombia'!$A$3:$A$22),0)</f>
        <v>0</v>
      </c>
      <c r="I166">
        <f>NETWORKDAYS($J$114,F166,'Festivos Colombia'!$A$3:$A$22)</f>
        <v>15</v>
      </c>
      <c r="J166">
        <f>H166</f>
        <v>0</v>
      </c>
      <c r="K166" t="str">
        <v>Sin radicar</v>
      </c>
    </row>
    <row r="167">
      <c r="A167" t="str">
        <f>G167</f>
        <v>Cancelado</v>
      </c>
      <c r="B167">
        <f>IF(I167&lt;=-1,1,IF(I167&lt;=5,2,IF(I167&lt;=15,3,IF(H167&lt;=60,4))))</f>
        <v>4</v>
      </c>
      <c r="C167">
        <v>56</v>
      </c>
      <c r="D167" t="str">
        <v>Yecid Martin</v>
      </c>
      <c r="E167">
        <v>242584.62</v>
      </c>
      <c r="F167">
        <v>46052</v>
      </c>
      <c r="G167" t="str">
        <v>Cancelado</v>
      </c>
      <c r="H167">
        <f>IF(OR(G167="Sin pagar",G167="Pagar"),NETWORKDAYS($J$114,F167,'Festivos Colombia'!$A$3:$A$22),0)</f>
        <v>0</v>
      </c>
      <c r="I167">
        <f>NETWORKDAYS($J$114,F167,'Festivos Colombia'!$A$3:$A$22)</f>
        <v>20</v>
      </c>
      <c r="J167">
        <f>H167</f>
        <v>0</v>
      </c>
      <c r="K167" t="str">
        <v>Sin radicar</v>
      </c>
    </row>
    <row r="168">
      <c r="D168" t="str">
        <v>REEMBOLSO SAIPEM</v>
      </c>
      <c r="E168">
        <f>SUBTOTAL(9,E169:E170)</f>
        <v>0</v>
      </c>
    </row>
    <row r="169">
      <c r="D169" t="str">
        <v>Reembolso previsto</v>
      </c>
      <c r="E169">
        <f>1200000*0</f>
        <v>0</v>
      </c>
      <c r="F169">
        <v>46052</v>
      </c>
      <c r="G169" t="str">
        <v>Cancelado</v>
      </c>
      <c r="H169">
        <f>IF(OR(G169="Sin pagar",G169="Pagar"),NETWORKDAYS($J$114,F169,'Festivos Colombia'!$A$3:$A$22),0)</f>
        <v>0</v>
      </c>
      <c r="I169">
        <f>NETWORKDAYS($J$114,F169,'Festivos Colombia'!$A$3:$A$22)</f>
        <v>20</v>
      </c>
      <c r="J169">
        <f>H169</f>
        <v>0</v>
      </c>
    </row>
    <row r="170">
      <c r="D170" t="str">
        <v>Servicio de traducción</v>
      </c>
      <c r="E170">
        <f>500000*0</f>
        <v>0</v>
      </c>
      <c r="F170">
        <v>46052</v>
      </c>
      <c r="G170" t="str">
        <v>Cancelado</v>
      </c>
      <c r="H170">
        <f>IF(OR(G170="Sin pagar",G170="Pagar"),NETWORKDAYS($J$114,F170,'Festivos Colombia'!$A$3:$A$22),0)</f>
        <v>0</v>
      </c>
      <c r="I170">
        <f>NETWORKDAYS($J$114,F170,'Festivos Colombia'!$A$3:$A$22)</f>
        <v>20</v>
      </c>
      <c r="J170">
        <f>H170</f>
        <v>0</v>
      </c>
    </row>
    <row r="171">
      <c r="D171" t="str">
        <v>EXAMENES MÉDICOS SAIPEM y OTROS</v>
      </c>
      <c r="E171">
        <f>SUBTOTAL(9,E172:E175)</f>
        <v>4712238</v>
      </c>
    </row>
    <row r="172">
      <c r="D172" t="str">
        <v>Examenes médicos de control Armando de Jesus Hincapie -  Saipem</v>
      </c>
      <c r="E172">
        <f>2004302*0</f>
        <v>0</v>
      </c>
      <c r="F172">
        <v>46024</v>
      </c>
      <c r="G172" t="str">
        <v>Cancelado</v>
      </c>
      <c r="H172">
        <f>IF(OR(G172="Sin pagar",G172="Pagar"),NETWORKDAYS($J$114,F172,'Festivos Colombia'!$A$3:$A$22),0)</f>
        <v>0</v>
      </c>
      <c r="I172">
        <f>NETWORKDAYS($J$114,F172,'Festivos Colombia'!$A$3:$A$22)</f>
        <v>1</v>
      </c>
      <c r="J172">
        <f>H172</f>
        <v>0</v>
      </c>
    </row>
    <row r="173">
      <c r="D173" t="str">
        <v>Examenes Medicos Diego Montes - SAIPEM</v>
      </c>
      <c r="E173">
        <v>570360</v>
      </c>
      <c r="F173">
        <v>46035</v>
      </c>
      <c r="G173" t="str">
        <v>Cancelado</v>
      </c>
      <c r="H173">
        <f>IF(OR(G173="Sin pagar",G173="Pagar"),NETWORKDAYS($J$114,F173,'Festivos Colombia'!$A$3:$A$22),0)</f>
        <v>0</v>
      </c>
      <c r="I173">
        <f>NETWORKDAYS($J$114,F173,'Festivos Colombia'!$A$3:$A$22)</f>
        <v>7</v>
      </c>
      <c r="J173">
        <f>H173</f>
        <v>0</v>
      </c>
    </row>
    <row r="174">
      <c r="D174" t="str">
        <v>Examenes Medicos Carlos Alberto Pulgarin Legarda - SAIPEM</v>
      </c>
      <c r="E174">
        <v>2004302</v>
      </c>
      <c r="F174">
        <v>46041</v>
      </c>
      <c r="G174" t="str">
        <v>Cancelado</v>
      </c>
      <c r="H174">
        <f>IF(OR(G174="Sin pagar",G174="Pagar"),NETWORKDAYS($J$114,F174,'Festivos Colombia'!$A$3:$A$22),0)</f>
        <v>0</v>
      </c>
      <c r="I174">
        <f>NETWORKDAYS($J$114,F174,'Festivos Colombia'!$A$3:$A$22)</f>
        <v>11</v>
      </c>
      <c r="J174">
        <f>H174</f>
        <v>0</v>
      </c>
    </row>
    <row r="175">
      <c r="D175" t="str">
        <v>Examenes Medicos Nestor José Padilla - SAIPEM</v>
      </c>
      <c r="E175">
        <v>2137576</v>
      </c>
      <c r="F175">
        <v>46056</v>
      </c>
      <c r="G175" t="str">
        <v>Cancelado</v>
      </c>
      <c r="H175">
        <f>IF(OR(G175="Sin pagar",G175="Pagar"),NETWORKDAYS($J$114,F175,'Festivos Colombia'!$A$3:$A$22),0)</f>
        <v>0</v>
      </c>
      <c r="I175">
        <f>NETWORKDAYS($J$114,F175,'Festivos Colombia'!$A$3:$A$22)</f>
        <v>22</v>
      </c>
      <c r="J175">
        <f>H175</f>
        <v>0</v>
      </c>
    </row>
    <row r="176">
      <c r="D176" t="str">
        <v>TIQUETES AÉREOS , HOTELES SAIPEM-AECID - ROOT CAPITAL</v>
      </c>
      <c r="E176">
        <f>SUBTOTAL(9,E177:E181)</f>
        <v>4915472</v>
      </c>
    </row>
    <row r="177">
      <c r="D177" t="str">
        <v xml:space="preserve">Tiquetes Medellin-bogotá y vsa junto Hoteles Armando Jesus Hincapie Vergara- Saipem </v>
      </c>
      <c r="E177">
        <f>1339850*0</f>
        <v>0</v>
      </c>
      <c r="F177">
        <v>46027</v>
      </c>
      <c r="G177" t="str">
        <v>Cancelado</v>
      </c>
      <c r="H177">
        <f>IF(OR(G177="Sin pagar",G177="Pagar"),NETWORKDAYS($J$114,F177,'Festivos Colombia'!$A$3:$A$22),0)</f>
        <v>0</v>
      </c>
      <c r="I177">
        <f>NETWORKDAYS($J$114,F177,'Festivos Colombia'!$A$3:$A$22)</f>
        <v>2</v>
      </c>
      <c r="J177">
        <f>H177</f>
        <v>0</v>
      </c>
    </row>
    <row r="178">
      <c r="D178" t="str">
        <v xml:space="preserve">Tiquetes Bogotá - Monteria Cristobal Capachero- Saipem </v>
      </c>
      <c r="E178">
        <v>586650</v>
      </c>
      <c r="F178">
        <v>46041</v>
      </c>
      <c r="G178" t="str">
        <v>Cancelado</v>
      </c>
      <c r="H178">
        <f>IF(OR(G178="Sin pagar",G178="Pagar"),NETWORKDAYS($J$114,F178,'Festivos Colombia'!$A$3:$A$22),0)</f>
        <v>0</v>
      </c>
      <c r="I178">
        <f>NETWORKDAYS($J$114,F178,'Festivos Colombia'!$A$3:$A$22)</f>
        <v>11</v>
      </c>
      <c r="J178">
        <f>H178</f>
        <v>0</v>
      </c>
    </row>
    <row r="179">
      <c r="D179" t="str">
        <v xml:space="preserve">Tiquetes Medellín -Bogota y VSA Carlos Pulgarin Legarda- Saipem </v>
      </c>
      <c r="E179">
        <v>1931252</v>
      </c>
      <c r="F179">
        <v>46042</v>
      </c>
      <c r="G179" t="str">
        <v>Cancelado</v>
      </c>
      <c r="H179">
        <f>IF(OR(G179="Sin pagar",G179="Pagar"),NETWORKDAYS($J$114,F179,'Festivos Colombia'!$A$3:$A$22),0)</f>
        <v>0</v>
      </c>
      <c r="I179">
        <f>NETWORKDAYS($J$114,F179,'Festivos Colombia'!$A$3:$A$22)</f>
        <v>12</v>
      </c>
      <c r="J179">
        <f>H179</f>
        <v>0</v>
      </c>
    </row>
    <row r="180">
      <c r="D180" t="str">
        <v>Tiquetes Popayan -Bogota y VSA Cristhian Guapacha - Root Capital</v>
      </c>
      <c r="E180">
        <v>912900</v>
      </c>
      <c r="F180">
        <v>46050</v>
      </c>
      <c r="G180" t="str">
        <v>Cancelado</v>
      </c>
      <c r="H180">
        <f>IF(OR(G180="Sin pagar",G180="Pagar"),NETWORKDAYS($J$114,F180,'Festivos Colombia'!$A$3:$A$22),0)</f>
        <v>0</v>
      </c>
      <c r="I180">
        <f>NETWORKDAYS($J$114,F180,'Festivos Colombia'!$A$3:$A$22)</f>
        <v>18</v>
      </c>
      <c r="J180">
        <f>H180</f>
        <v>0</v>
      </c>
    </row>
    <row r="181">
      <c r="D181" t="str">
        <v>Tiquetes Montería -Bogota y VSA Nestor José Padilla -Saipem</v>
      </c>
      <c r="E181">
        <v>1484670</v>
      </c>
      <c r="F181">
        <v>46056</v>
      </c>
      <c r="G181" t="str">
        <v>Cancelado</v>
      </c>
      <c r="H181">
        <f>IF(OR(G181="Sin pagar",G181="Pagar"),NETWORKDAYS($J$114,F181,'Festivos Colombia'!$A$3:$A$22),0)</f>
        <v>0</v>
      </c>
      <c r="I181">
        <f>NETWORKDAYS($J$114,F181,'Festivos Colombia'!$A$3:$A$22)</f>
        <v>22</v>
      </c>
      <c r="J181">
        <f>H181</f>
        <v>0</v>
      </c>
    </row>
    <row r="182">
      <c r="D182" t="str">
        <v>REEMBOLSOS REMOFIRST-YON YOU-AECID</v>
      </c>
      <c r="E182">
        <f>SUBTOTAL(9,E183:E193)</f>
        <v>13750636.35</v>
      </c>
    </row>
    <row r="183">
      <c r="A183" t="str">
        <f>G183</f>
        <v>Cancelado</v>
      </c>
      <c r="B183">
        <f>IF(I183&lt;=-1,1,IF(I183&lt;=5,2,IF(I183&lt;=15,3,IF(H183&lt;=60,4))))</f>
        <v>4</v>
      </c>
      <c r="D183" t="str">
        <v>Reembolso Johan mauricio alarcon vasquez 41 - Remofirst - Radpair</v>
      </c>
      <c r="E183">
        <v>1830976</v>
      </c>
      <c r="F183">
        <v>46050</v>
      </c>
      <c r="G183" t="str">
        <v>Cancelado</v>
      </c>
      <c r="H183">
        <f>IF(OR(G183="Sin pagar",G183="Pagar"),NETWORKDAYS($J$114,F183,'Festivos Colombia'!$A$3:$A$22),0)</f>
        <v>0</v>
      </c>
      <c r="I183">
        <f>NETWORKDAYS($J$114,F183,'Festivos Colombia'!$A$3:$A$22)</f>
        <v>18</v>
      </c>
      <c r="J183">
        <f>H183</f>
        <v>0</v>
      </c>
    </row>
    <row r="184">
      <c r="A184" t="str">
        <f>G184</f>
        <v>Cancelado</v>
      </c>
      <c r="B184">
        <f>IF(I184&lt;=-1,1,IF(I184&lt;=5,2,IF(I184&lt;=15,3,IF(H184&lt;=60,4))))</f>
        <v>4</v>
      </c>
      <c r="D184" t="str">
        <v>Reembolso Laura alejandra aleman rojas 20 - Remofirst - CARBONBETTER</v>
      </c>
      <c r="E184">
        <v>200000</v>
      </c>
      <c r="F184">
        <v>46050</v>
      </c>
      <c r="G184" t="str">
        <v>Cancelado</v>
      </c>
      <c r="H184">
        <f>IF(OR(G184="Sin pagar",G184="Pagar"),NETWORKDAYS($J$114,F184,'Festivos Colombia'!$A$3:$A$22),0)</f>
        <v>0</v>
      </c>
      <c r="I184">
        <f>NETWORKDAYS($J$114,F184,'Festivos Colombia'!$A$3:$A$22)</f>
        <v>18</v>
      </c>
      <c r="J184">
        <f>H184</f>
        <v>0</v>
      </c>
    </row>
    <row r="185">
      <c r="A185" t="str">
        <f>G185</f>
        <v>Cancelado</v>
      </c>
      <c r="B185">
        <f>IF(I185&lt;=-1,1,IF(I185&lt;=5,2,IF(I185&lt;=15,3,IF(H185&lt;=60,4))))</f>
        <v>4</v>
      </c>
      <c r="D185" t="str">
        <v>Reembolso Sandra lucia barrios angulo 38 - Remofirst - Quantic Vision, S.A</v>
      </c>
      <c r="E185">
        <v>363500</v>
      </c>
      <c r="F185">
        <v>46050</v>
      </c>
      <c r="G185" t="str">
        <v>Cancelado</v>
      </c>
      <c r="H185">
        <f>IF(OR(G185="Sin pagar",G185="Pagar"),NETWORKDAYS($J$114,F185,'Festivos Colombia'!$A$3:$A$22),0)</f>
        <v>0</v>
      </c>
      <c r="I185">
        <f>NETWORKDAYS($J$114,F185,'Festivos Colombia'!$A$3:$A$22)</f>
        <v>18</v>
      </c>
      <c r="J185">
        <f>H185</f>
        <v>0</v>
      </c>
    </row>
    <row r="186">
      <c r="A186" t="str">
        <f>G186</f>
        <v>Cancelado</v>
      </c>
      <c r="B186">
        <f>IF(I186&lt;=-1,1,IF(I186&lt;=5,2,IF(I186&lt;=15,3,IF(H186&lt;=60,4))))</f>
        <v>4</v>
      </c>
      <c r="D186" t="str">
        <v>Reembolso Gloria paulina corredor cifuentes 25 - Remofirst - ISLAMIC RELIEF</v>
      </c>
      <c r="E186">
        <v>322868</v>
      </c>
      <c r="F186">
        <v>46050</v>
      </c>
      <c r="G186" t="str">
        <v>Cancelado</v>
      </c>
      <c r="H186">
        <f>IF(OR(G186="Sin pagar",G186="Pagar"),NETWORKDAYS($J$114,F186,'Festivos Colombia'!$A$3:$A$22),0)</f>
        <v>0</v>
      </c>
      <c r="I186">
        <f>NETWORKDAYS($J$114,F186,'Festivos Colombia'!$A$3:$A$22)</f>
        <v>18</v>
      </c>
      <c r="J186">
        <f>H186</f>
        <v>0</v>
      </c>
    </row>
    <row r="187">
      <c r="A187" t="str">
        <f>G187</f>
        <v>Cancelado</v>
      </c>
      <c r="B187">
        <f>IF(I187&lt;=-1,1,IF(I187&lt;=5,2,IF(I187&lt;=15,3,IF(H187&lt;=60,4))))</f>
        <v>4</v>
      </c>
      <c r="D187" t="str">
        <v>Reembolso Cindy carolina leguizamon clavijo 25 - Remofirst - ISLAMIC RELIEF</v>
      </c>
      <c r="E187">
        <v>557742</v>
      </c>
      <c r="F187">
        <v>46050</v>
      </c>
      <c r="G187" t="str">
        <v>Cancelado</v>
      </c>
      <c r="H187">
        <f>IF(OR(G187="Sin pagar",G187="Pagar"),NETWORKDAYS($J$114,F187,'Festivos Colombia'!$A$3:$A$22),0)</f>
        <v>0</v>
      </c>
      <c r="I187">
        <f>NETWORKDAYS($J$114,F187,'Festivos Colombia'!$A$3:$A$22)</f>
        <v>18</v>
      </c>
      <c r="J187">
        <f>H187</f>
        <v>0</v>
      </c>
    </row>
    <row r="188">
      <c r="A188" t="str">
        <f>G188</f>
        <v>Cancelado</v>
      </c>
      <c r="B188">
        <f>IF(I188&lt;=-1,1,IF(I188&lt;=5,2,IF(I188&lt;=15,3,IF(H188&lt;=60,4))))</f>
        <v>4</v>
      </c>
      <c r="D188" t="str">
        <v>Reembolso Orlando  mendez davila 06 - Remofirst - TC1 CORPORATION SAC</v>
      </c>
      <c r="E188">
        <v>133619</v>
      </c>
      <c r="F188">
        <v>46050</v>
      </c>
      <c r="G188" t="str">
        <v>Cancelado</v>
      </c>
      <c r="H188">
        <f>IF(OR(G188="Sin pagar",G188="Pagar"),NETWORKDAYS($J$114,F188,'Festivos Colombia'!$A$3:$A$22),0)</f>
        <v>0</v>
      </c>
      <c r="I188">
        <f>NETWORKDAYS($J$114,F188,'Festivos Colombia'!$A$3:$A$22)</f>
        <v>18</v>
      </c>
      <c r="J188">
        <f>H188</f>
        <v>0</v>
      </c>
    </row>
    <row r="189">
      <c r="A189" t="str">
        <f>G189</f>
        <v>Cancelado</v>
      </c>
      <c r="B189">
        <f>IF(I189&lt;=-1,1,IF(I189&lt;=5,2,IF(I189&lt;=15,3,IF(H189&lt;=60,4))))</f>
        <v>4</v>
      </c>
      <c r="D189" t="str">
        <v>Reembolso Cindy lorena nomesque medina 25 - Remofirst - ISLAMIC RELIEF</v>
      </c>
      <c r="E189">
        <v>30000</v>
      </c>
      <c r="F189">
        <v>46050</v>
      </c>
      <c r="G189" t="str">
        <v>Cancelado</v>
      </c>
      <c r="H189">
        <f>IF(OR(G189="Sin pagar",G189="Pagar"),NETWORKDAYS($J$114,F189,'Festivos Colombia'!$A$3:$A$22),0)</f>
        <v>0</v>
      </c>
      <c r="I189">
        <f>NETWORKDAYS($J$114,F189,'Festivos Colombia'!$A$3:$A$22)</f>
        <v>18</v>
      </c>
      <c r="J189">
        <f>H189</f>
        <v>0</v>
      </c>
    </row>
    <row r="190">
      <c r="A190" t="str">
        <f>G190</f>
        <v>Cancelado</v>
      </c>
      <c r="B190">
        <f>IF(I190&lt;=-1,1,IF(I190&lt;=5,2,IF(I190&lt;=15,3,IF(H190&lt;=60,4))))</f>
        <v>4</v>
      </c>
      <c r="D190" t="str">
        <v>Reembolso Diana paola perea palacios 33 - Remofirst - Salty Slopes LLC</v>
      </c>
      <c r="E190">
        <v>1224000</v>
      </c>
      <c r="F190">
        <v>46050</v>
      </c>
      <c r="G190" t="str">
        <v>Cancelado</v>
      </c>
      <c r="H190">
        <f>IF(OR(G190="Sin pagar",G190="Pagar"),NETWORKDAYS($J$114,F190,'Festivos Colombia'!$A$3:$A$22),0)</f>
        <v>0</v>
      </c>
      <c r="I190">
        <f>NETWORKDAYS($J$114,F190,'Festivos Colombia'!$A$3:$A$22)</f>
        <v>18</v>
      </c>
      <c r="J190">
        <f>H190</f>
        <v>0</v>
      </c>
    </row>
    <row r="191">
      <c r="A191" t="str">
        <f>G191</f>
        <v>Cancelado</v>
      </c>
      <c r="B191">
        <f>IF(I191&lt;=-1,1,IF(I191&lt;=5,2,IF(I191&lt;=15,3,IF(H191&lt;=60,4))))</f>
        <v>4</v>
      </c>
      <c r="D191" t="str">
        <v>Reembolso Liliana maria saldaña martinez 25 - Remofirst - ISLAMIC RELIEF</v>
      </c>
      <c r="E191">
        <v>1177291</v>
      </c>
      <c r="F191">
        <v>46050</v>
      </c>
      <c r="G191" t="str">
        <v>Cancelado</v>
      </c>
      <c r="H191">
        <f>IF(OR(G191="Sin pagar",G191="Pagar"),NETWORKDAYS($J$114,F191,'Festivos Colombia'!$A$3:$A$22),0)</f>
        <v>0</v>
      </c>
      <c r="I191">
        <f>NETWORKDAYS($J$114,F191,'Festivos Colombia'!$A$3:$A$22)</f>
        <v>18</v>
      </c>
      <c r="J191">
        <f>H191</f>
        <v>0</v>
      </c>
    </row>
    <row r="192">
      <c r="A192" t="str">
        <f>G192</f>
        <v>Cancelado</v>
      </c>
      <c r="B192">
        <f>IF(I192&lt;=-1,1,IF(I192&lt;=5,2,IF(I192&lt;=15,3,IF(H192&lt;=60,4))))</f>
        <v>4</v>
      </c>
      <c r="D192" t="str">
        <v>Reembolso Paula alejandra moreno navarro C1052 - Yonyou</v>
      </c>
      <c r="E192">
        <v>5145613</v>
      </c>
      <c r="F192">
        <v>46050</v>
      </c>
      <c r="G192" t="str">
        <v>Cancelado</v>
      </c>
      <c r="H192">
        <f>IF(OR(G192="Sin pagar",G192="Pagar"),NETWORKDAYS($J$114,F192,'Festivos Colombia'!$A$3:$A$22),0)</f>
        <v>0</v>
      </c>
      <c r="I192">
        <f>NETWORKDAYS($J$114,F192,'Festivos Colombia'!$A$3:$A$22)</f>
        <v>18</v>
      </c>
      <c r="J192">
        <f>H192</f>
        <v>0</v>
      </c>
    </row>
    <row r="193">
      <c r="A193" t="str">
        <f>G193</f>
        <v>Cancelado</v>
      </c>
      <c r="B193">
        <f>IF(I193&lt;=-1,1,IF(I193&lt;=5,2,IF(I193&lt;=15,3,IF(H193&lt;=60,4))))</f>
        <v>4</v>
      </c>
      <c r="D193" t="str">
        <v>Reembolso Sonia rocio quintanilla quintero C1052 - Yonyou</v>
      </c>
      <c r="E193">
        <v>2765027.35</v>
      </c>
      <c r="F193">
        <v>46050</v>
      </c>
      <c r="G193" t="str">
        <v>Cancelado</v>
      </c>
      <c r="H193">
        <f>IF(OR(G193="Sin pagar",G193="Pagar"),NETWORKDAYS($J$114,F193,'Festivos Colombia'!$A$3:$A$22),0)</f>
        <v>0</v>
      </c>
      <c r="I193">
        <f>NETWORKDAYS($J$114,F193,'Festivos Colombia'!$A$3:$A$22)</f>
        <v>18</v>
      </c>
      <c r="J193">
        <f>H193</f>
        <v>0</v>
      </c>
    </row>
    <row r="194">
      <c r="D194" t="str">
        <v>REEMBOLSOS INSIDER</v>
      </c>
      <c r="E194">
        <f>SUBTOTAL(9,E195:E199)</f>
        <v>5680526</v>
      </c>
    </row>
    <row r="195">
      <c r="A195" t="str">
        <f>G195</f>
        <v>Cancelado</v>
      </c>
      <c r="B195">
        <f>IF(I195&lt;=-1,1,IF(I195&lt;=5,2,IF(I195&lt;=15,3,IF(H195&lt;=60,4))))</f>
        <v>4</v>
      </c>
      <c r="D195" t="str">
        <v>Reembolso Alejandra  carrillo cambas C1029 - Insider</v>
      </c>
      <c r="E195">
        <v>729742</v>
      </c>
      <c r="F195">
        <v>46050</v>
      </c>
      <c r="G195" t="str">
        <v>Cancelado</v>
      </c>
      <c r="H195">
        <f>IF(OR(G195="Sin pagar",G195="Pagar"),NETWORKDAYS($J$114,F195,'Festivos Colombia'!$A$3:$A$22),0)</f>
        <v>0</v>
      </c>
      <c r="I195">
        <f>NETWORKDAYS($J$114,F195,'Festivos Colombia'!$A$3:$A$22)</f>
        <v>18</v>
      </c>
      <c r="J195">
        <f>H195</f>
        <v>0</v>
      </c>
    </row>
    <row r="196">
      <c r="A196" t="str">
        <f>G196</f>
        <v>Cancelado</v>
      </c>
      <c r="B196">
        <f>IF(I196&lt;=-1,1,IF(I196&lt;=5,2,IF(I196&lt;=15,3,IF(H196&lt;=60,4))))</f>
        <v>4</v>
      </c>
      <c r="D196" t="str">
        <v>Reembolso Alejandro  perez  lievano C1029 - Insider</v>
      </c>
      <c r="E196">
        <v>2487043</v>
      </c>
      <c r="F196">
        <v>46050</v>
      </c>
      <c r="G196" t="str">
        <v>Cancelado</v>
      </c>
      <c r="H196">
        <f>IF(OR(G196="Sin pagar",G196="Pagar"),NETWORKDAYS($J$114,F196,'Festivos Colombia'!$A$3:$A$22),0)</f>
        <v>0</v>
      </c>
      <c r="I196">
        <f>NETWORKDAYS($J$114,F196,'Festivos Colombia'!$A$3:$A$22)</f>
        <v>18</v>
      </c>
      <c r="J196">
        <f>H196</f>
        <v>0</v>
      </c>
    </row>
    <row r="197">
      <c r="A197" t="str">
        <f>G197</f>
        <v>Cancelado</v>
      </c>
      <c r="B197">
        <f>IF(I197&lt;=-1,1,IF(I197&lt;=5,2,IF(I197&lt;=15,3,IF(H197&lt;=60,4))))</f>
        <v>4</v>
      </c>
      <c r="D197" t="str">
        <v>Reembolso Carlos andres salamanca buitrago C1029 - Insider</v>
      </c>
      <c r="E197">
        <v>724467</v>
      </c>
      <c r="F197">
        <v>46050</v>
      </c>
      <c r="G197" t="str">
        <v>Cancelado</v>
      </c>
      <c r="H197">
        <f>IF(OR(G197="Sin pagar",G197="Pagar"),NETWORKDAYS($J$114,F197,'Festivos Colombia'!$A$3:$A$22),0)</f>
        <v>0</v>
      </c>
      <c r="I197">
        <f>NETWORKDAYS($J$114,F197,'Festivos Colombia'!$A$3:$A$22)</f>
        <v>18</v>
      </c>
      <c r="J197">
        <f>H197</f>
        <v>0</v>
      </c>
    </row>
    <row r="198">
      <c r="A198" t="str">
        <f>G198</f>
        <v>Cancelado</v>
      </c>
      <c r="B198">
        <f>IF(I198&lt;=-1,1,IF(I198&lt;=5,2,IF(I198&lt;=15,3,IF(H198&lt;=60,4))))</f>
        <v>4</v>
      </c>
      <c r="D198" t="str">
        <v>Reembolso Edgar felipe chaves rodriguez C1029 - Insider</v>
      </c>
      <c r="E198">
        <v>657632</v>
      </c>
      <c r="F198">
        <v>46050</v>
      </c>
      <c r="G198" t="str">
        <v>Cancelado</v>
      </c>
      <c r="H198">
        <f>IF(OR(G198="Sin pagar",G198="Pagar"),NETWORKDAYS($J$114,F198,'Festivos Colombia'!$A$3:$A$22),0)</f>
        <v>0</v>
      </c>
      <c r="I198">
        <f>NETWORKDAYS($J$114,F198,'Festivos Colombia'!$A$3:$A$22)</f>
        <v>18</v>
      </c>
      <c r="J198">
        <f>H198</f>
        <v>0</v>
      </c>
    </row>
    <row r="199">
      <c r="A199" t="str">
        <f>G199</f>
        <v>Cancelado</v>
      </c>
      <c r="B199">
        <f>IF(I199&lt;=-1,1,IF(I199&lt;=5,2,IF(I199&lt;=15,3,IF(H199&lt;=60,4))))</f>
        <v>4</v>
      </c>
      <c r="D199" t="str">
        <v>Reembolso Gabriela ysabel diaz correa C1029 - Insider</v>
      </c>
      <c r="E199">
        <v>1081642</v>
      </c>
      <c r="F199">
        <v>46050</v>
      </c>
      <c r="G199" t="str">
        <v>Cancelado</v>
      </c>
      <c r="H199">
        <f>IF(OR(G199="Sin pagar",G199="Pagar"),NETWORKDAYS($J$114,F199,'Festivos Colombia'!$A$3:$A$22),0)</f>
        <v>0</v>
      </c>
      <c r="I199">
        <f>NETWORKDAYS($J$114,F199,'Festivos Colombia'!$A$3:$A$22)</f>
        <v>18</v>
      </c>
      <c r="J199">
        <f>H199</f>
        <v>0</v>
      </c>
    </row>
    <row r="200">
      <c r="D200" t="str">
        <v>ASESORÍAS</v>
      </c>
      <c r="E200">
        <f>SUBTOTAL(9,E201:E223)</f>
        <v>18285290.61</v>
      </c>
    </row>
    <row r="201">
      <c r="A201" t="str">
        <f>G201</f>
        <v>Cancelado</v>
      </c>
      <c r="B201">
        <f>IF(I201&lt;=-1,1,IF(I201&lt;=5,2,IF(I201&lt;=15,3,IF(H201&lt;=60,4))))</f>
        <v>3</v>
      </c>
      <c r="C201" t="str">
        <v>FENI-11342</v>
      </c>
      <c r="D201" t="str">
        <v>Nixcom -renovación de 50 licencias con vigencia anual.</v>
      </c>
      <c r="E201">
        <f>5025723</f>
        <v>5025723</v>
      </c>
      <c r="F201">
        <v>46031</v>
      </c>
      <c r="G201" t="str">
        <v>Cancelado</v>
      </c>
      <c r="H201">
        <f>IF(OR(G201="Sin pagar",G201="Pagar"),NETWORKDAYS($J$114,F201,'Festivos Colombia'!$A$3:$A$22),0)</f>
        <v>0</v>
      </c>
      <c r="I201">
        <f>NETWORKDAYS($J$114,F201,'Festivos Colombia'!$A$3:$A$22)</f>
        <v>6</v>
      </c>
      <c r="J201">
        <f>H201</f>
        <v>0</v>
      </c>
    </row>
    <row r="202">
      <c r="A202" t="str">
        <f>G202</f>
        <v>Cancelado</v>
      </c>
      <c r="B202">
        <f>IF(I202&lt;=-1,1,IF(I202&lt;=5,2,IF(I202&lt;=15,3,IF(H202&lt;=60,4))))</f>
        <v>3</v>
      </c>
      <c r="C202" t="str">
        <v>BPA 6578</v>
      </c>
      <c r="D202" t="str">
        <v>Barrera Palacios</v>
      </c>
      <c r="E202">
        <f>1525052.49</f>
        <v>1525052.49</v>
      </c>
      <c r="F202">
        <v>46031</v>
      </c>
      <c r="G202" t="str">
        <v>Cancelado</v>
      </c>
      <c r="H202">
        <f>IF(OR(G202="Sin pagar",G202="Pagar"),NETWORKDAYS($J$114,F202,'Festivos Colombia'!$A$3:$A$22),0)</f>
        <v>0</v>
      </c>
      <c r="I202">
        <f>NETWORKDAYS($J$114,F202,'Festivos Colombia'!$A$3:$A$22)</f>
        <v>6</v>
      </c>
      <c r="J202">
        <f>H202</f>
        <v>0</v>
      </c>
    </row>
    <row r="203">
      <c r="A203" t="str">
        <f>G203</f>
        <v>Cancelado</v>
      </c>
      <c r="B203">
        <f>IF(I203&lt;=-1,1,IF(I203&lt;=5,2,IF(I203&lt;=15,3,IF(H203&lt;=60,4))))</f>
        <v>3</v>
      </c>
      <c r="C203" t="str">
        <v>FENI-11345</v>
      </c>
      <c r="D203" t="str">
        <v>Nixcom Servicio técnico mensual</v>
      </c>
      <c r="E203">
        <f>833000</f>
        <v>833000</v>
      </c>
      <c r="F203">
        <v>46031</v>
      </c>
      <c r="G203" t="str">
        <v>Cancelado</v>
      </c>
      <c r="H203">
        <f>IF(OR(G203="Sin pagar",G203="Pagar"),NETWORKDAYS($J$114,F203,'Festivos Colombia'!$A$3:$A$22),0)</f>
        <v>0</v>
      </c>
      <c r="I203">
        <f>NETWORKDAYS($J$114,F203,'Festivos Colombia'!$A$3:$A$22)</f>
        <v>6</v>
      </c>
      <c r="J203">
        <f>H203</f>
        <v>0</v>
      </c>
    </row>
    <row r="204">
      <c r="A204" t="str">
        <f>G204</f>
        <v>Cancelado</v>
      </c>
      <c r="B204">
        <f>IF(I204&lt;=-1,1,IF(I204&lt;=5,2,IF(I204&lt;=15,3,IF(H204&lt;=60,4))))</f>
        <v>3</v>
      </c>
      <c r="C204">
        <v>12</v>
      </c>
      <c r="D204" t="str">
        <v>Jhoana Herrera Paz</v>
      </c>
      <c r="E204">
        <v>464486</v>
      </c>
      <c r="F204">
        <v>46036</v>
      </c>
      <c r="G204" t="str">
        <v>Cancelado</v>
      </c>
      <c r="H204">
        <f>IF(OR(G204="Sin pagar",G204="Pagar"),NETWORKDAYS($J$114,F204,'Festivos Colombia'!$A$3:$A$22),0)</f>
        <v>0</v>
      </c>
      <c r="I204">
        <f>NETWORKDAYS($J$114,F204,'Festivos Colombia'!$A$3:$A$22)</f>
        <v>8</v>
      </c>
      <c r="J204">
        <f>H204</f>
        <v>0</v>
      </c>
    </row>
    <row r="205">
      <c r="A205" t="str">
        <f>G205</f>
        <v>Cancelado</v>
      </c>
      <c r="B205">
        <f>IF(I205&lt;=-1,1,IF(I205&lt;=5,2,IF(I205&lt;=15,3,IF(H205&lt;=60,4))))</f>
        <v>3</v>
      </c>
      <c r="C205" t="str">
        <v>01-26</v>
      </c>
      <c r="D205" t="str">
        <v>Yadira Pineda- servicios Diciembre  y mensajeria service Panamá -Pago por Panamá</v>
      </c>
      <c r="E205">
        <f>600*0</f>
        <v>0</v>
      </c>
      <c r="F205">
        <v>46038</v>
      </c>
      <c r="G205" t="str">
        <v>Cancelado</v>
      </c>
      <c r="H205">
        <f>IF(OR(G205="Sin pagar",G205="Pagar"),NETWORKDAYS($J$114,F205,'Festivos Colombia'!$A$3:$A$22),0)</f>
        <v>0</v>
      </c>
      <c r="I205">
        <f>NETWORKDAYS($J$114,F205,'Festivos Colombia'!$A$3:$A$22)</f>
        <v>10</v>
      </c>
      <c r="J205">
        <f>H205</f>
        <v>0</v>
      </c>
    </row>
    <row r="206">
      <c r="A206" t="str">
        <f>G206</f>
        <v>Cancelado</v>
      </c>
      <c r="B206">
        <f>IF(I206&lt;=-1,1,IF(I206&lt;=5,2,IF(I206&lt;=15,3,IF(H206&lt;=60,4))))</f>
        <v>3</v>
      </c>
      <c r="C206">
        <v>8</v>
      </c>
      <c r="D206" t="str">
        <v>Sebastían Romero Espitia</v>
      </c>
      <c r="E206">
        <v>510000</v>
      </c>
      <c r="F206">
        <v>46038</v>
      </c>
      <c r="G206" t="str">
        <v>Cancelado</v>
      </c>
      <c r="H206">
        <f>IF(OR(G206="Sin pagar",G206="Pagar"),NETWORKDAYS($J$114,F206,'Festivos Colombia'!$A$3:$A$22),0)</f>
        <v>0</v>
      </c>
      <c r="I206">
        <f>NETWORKDAYS($J$114,F206,'Festivos Colombia'!$A$3:$A$22)</f>
        <v>10</v>
      </c>
      <c r="J206">
        <f>H206</f>
        <v>0</v>
      </c>
    </row>
    <row r="207">
      <c r="A207" t="str">
        <f>G207</f>
        <v>Cancelado</v>
      </c>
      <c r="B207">
        <f>IF(I207&lt;=-1,1,IF(I207&lt;=5,2,IF(I207&lt;=15,3,IF(H207&lt;=60,4))))</f>
        <v>3</v>
      </c>
      <c r="C207" t="str">
        <v>BOGA105445411</v>
      </c>
      <c r="D207" t="str">
        <v>Carvajal</v>
      </c>
      <c r="E207">
        <v>73640</v>
      </c>
      <c r="F207">
        <v>46038</v>
      </c>
      <c r="G207" t="str">
        <v>Cancelado</v>
      </c>
      <c r="H207">
        <f>IF(OR(G207="Sin pagar",G207="Pagar"),NETWORKDAYS($J$114,F207,'Festivos Colombia'!$A$3:$A$22),0)</f>
        <v>0</v>
      </c>
      <c r="I207">
        <f>NETWORKDAYS($J$114,F207,'Festivos Colombia'!$A$3:$A$22)</f>
        <v>10</v>
      </c>
      <c r="J207">
        <f>H207</f>
        <v>0</v>
      </c>
    </row>
    <row r="208">
      <c r="A208" t="str">
        <f>G208</f>
        <v>Cancelado</v>
      </c>
      <c r="B208">
        <f>IF(I208&lt;=-1,1,IF(I208&lt;=5,2,IF(I208&lt;=15,3,IF(H208&lt;=60,4))))</f>
        <v>3</v>
      </c>
      <c r="C208">
        <v>260101</v>
      </c>
      <c r="D208" t="str">
        <v xml:space="preserve">Analia Lorena Di Nicola </v>
      </c>
      <c r="E208">
        <v>475363.2</v>
      </c>
      <c r="F208">
        <v>46045</v>
      </c>
      <c r="G208" t="str">
        <v>Cancelado</v>
      </c>
      <c r="H208">
        <f>IF(OR(G208="Sin pagar",G208="Pagar"),NETWORKDAYS($J$114,F208,'Festivos Colombia'!$A$3:$A$22),0)</f>
        <v>0</v>
      </c>
      <c r="I208">
        <f>NETWORKDAYS($J$114,F208,'Festivos Colombia'!$A$3:$A$22)</f>
        <v>15</v>
      </c>
      <c r="J208">
        <f>H208</f>
        <v>0</v>
      </c>
    </row>
    <row r="209">
      <c r="A209" t="str">
        <f>G209</f>
        <v>Cancelado</v>
      </c>
      <c r="B209">
        <f>IF(I209&lt;=-1,1,IF(I209&lt;=5,2,IF(I209&lt;=15,3,IF(H209&lt;=60,4))))</f>
        <v>3</v>
      </c>
      <c r="C209">
        <v>24</v>
      </c>
      <c r="D209" t="str">
        <v xml:space="preserve">Edward Felipe Forero Osorio </v>
      </c>
      <c r="E209">
        <v>1489471.36</v>
      </c>
      <c r="F209">
        <v>46045</v>
      </c>
      <c r="G209" t="str">
        <v>Cancelado</v>
      </c>
      <c r="H209">
        <f>IF(OR(G209="Sin pagar",G209="Pagar"),NETWORKDAYS($J$114,F209,'Festivos Colombia'!$A$3:$A$22),0)</f>
        <v>0</v>
      </c>
      <c r="I209">
        <f>NETWORKDAYS($J$114,F209,'Festivos Colombia'!$A$3:$A$22)</f>
        <v>15</v>
      </c>
      <c r="J209">
        <f>H209</f>
        <v>0</v>
      </c>
    </row>
    <row r="210">
      <c r="A210" t="str">
        <f>G210</f>
        <v>Cancelado</v>
      </c>
      <c r="B210">
        <f>IF(I210&lt;=-1,1,IF(I210&lt;=5,2,IF(I210&lt;=15,3,IF(H210&lt;=60,4))))</f>
        <v>3</v>
      </c>
      <c r="C210">
        <v>16</v>
      </c>
      <c r="D210" t="str">
        <v xml:space="preserve">Sara Forero Osorio </v>
      </c>
      <c r="E210">
        <v>1489471.36</v>
      </c>
      <c r="F210">
        <v>46045</v>
      </c>
      <c r="G210" t="str">
        <v>Cancelado</v>
      </c>
      <c r="H210">
        <f>IF(OR(G210="Sin pagar",G210="Pagar"),NETWORKDAYS($J$114,F210,'Festivos Colombia'!$A$3:$A$22),0)</f>
        <v>0</v>
      </c>
      <c r="I210">
        <f>NETWORKDAYS($J$114,F210,'Festivos Colombia'!$A$3:$A$22)</f>
        <v>15</v>
      </c>
      <c r="J210">
        <f>H210</f>
        <v>0</v>
      </c>
    </row>
    <row r="211">
      <c r="A211" t="str">
        <f>G211</f>
        <v>Cancelado</v>
      </c>
      <c r="B211">
        <f>IF(I211&lt;=-1,1,IF(I211&lt;=5,2,IF(I211&lt;=15,3,IF(H211&lt;=60,4))))</f>
        <v>4</v>
      </c>
      <c r="C211" t="str">
        <v>FEV-1-95</v>
      </c>
      <c r="D211" t="str">
        <v>Yoana Forero Servicios profesionales -Costa Rica</v>
      </c>
      <c r="E211">
        <v>774025.2</v>
      </c>
      <c r="F211">
        <v>46052</v>
      </c>
      <c r="G211" t="str">
        <v>Cancelado</v>
      </c>
      <c r="H211">
        <f>IF(OR(G211="Sin pagar",G211="Pagar"),NETWORKDAYS($J$114,F211,'Festivos Colombia'!$A$3:$A$22),0)</f>
        <v>0</v>
      </c>
      <c r="I211">
        <f>NETWORKDAYS($J$114,F211,'Festivos Colombia'!$A$3:$A$22)</f>
        <v>20</v>
      </c>
      <c r="J211">
        <f>H211</f>
        <v>0</v>
      </c>
    </row>
    <row r="212">
      <c r="A212" t="str">
        <f>G212</f>
        <v>Cancelado</v>
      </c>
      <c r="B212">
        <f>IF(I212&lt;=-1,1,IF(I212&lt;=5,2,IF(I212&lt;=15,3,IF(H212&lt;=60,4))))</f>
        <v>4</v>
      </c>
      <c r="C212" t="str">
        <v>2026-001</v>
      </c>
      <c r="D212" t="str">
        <v xml:space="preserve">Pedro Pablo oviedo Cutiva- Cuenta Ricardo Arambulo </v>
      </c>
      <c r="E212">
        <v>1438893</v>
      </c>
      <c r="F212">
        <v>46052</v>
      </c>
      <c r="G212" t="str">
        <v>Cancelado</v>
      </c>
      <c r="H212">
        <f>IF(OR(G212="Sin pagar",G212="Pagar"),NETWORKDAYS($J$114,F212,'Festivos Colombia'!$A$3:$A$22),0)</f>
        <v>0</v>
      </c>
      <c r="I212">
        <f>NETWORKDAYS($J$114,F212,'Festivos Colombia'!$A$3:$A$22)</f>
        <v>20</v>
      </c>
      <c r="J212">
        <f>H212</f>
        <v>0</v>
      </c>
    </row>
    <row r="213">
      <c r="A213" t="str">
        <f>G213</f>
        <v>Cancelado</v>
      </c>
      <c r="B213">
        <f>IF(I213&lt;=-1,1,IF(I213&lt;=5,2,IF(I213&lt;=15,3,IF(H213&lt;=60,4))))</f>
        <v>4</v>
      </c>
      <c r="C213" t="str">
        <v>FEG 1519</v>
      </c>
      <c r="D213" t="str">
        <v>Gelcon  GC -Aplicación Batería de Riesgo Psicosocial</v>
      </c>
      <c r="E213">
        <v>1499400</v>
      </c>
      <c r="F213">
        <v>46052</v>
      </c>
      <c r="G213" t="str">
        <v>Cancelado</v>
      </c>
      <c r="H213">
        <f>IF(OR(G213="Sin pagar",G213="Pagar"),NETWORKDAYS($J$114,F213,'Festivos Colombia'!$A$3:$A$22),0)</f>
        <v>0</v>
      </c>
      <c r="I213">
        <f>NETWORKDAYS($J$114,F213,'Festivos Colombia'!$A$3:$A$22)</f>
        <v>20</v>
      </c>
      <c r="J213">
        <f>H213</f>
        <v>0</v>
      </c>
      <c r="K213" t="str">
        <v>Pendiente de aprobación Luisa</v>
      </c>
    </row>
    <row r="214">
      <c r="A214" t="str">
        <f>G214</f>
        <v>Cancelado</v>
      </c>
      <c r="B214">
        <f>IF(I214&lt;=-1,1,IF(I214&lt;=5,2,IF(I214&lt;=15,3,IF(H214&lt;=60,4))))</f>
        <v>4</v>
      </c>
      <c r="C214" t="str">
        <v>FE36</v>
      </c>
      <c r="D214" t="str">
        <v>Gomez Rodriguez &amp; Asociados Revisoria fiscal- Enero</v>
      </c>
      <c r="E214">
        <v>1877565</v>
      </c>
      <c r="F214">
        <v>46052</v>
      </c>
      <c r="G214" t="str">
        <v>Cancelado</v>
      </c>
      <c r="H214">
        <f>IF(OR(G214="Sin pagar",G214="Pagar"),NETWORKDAYS($J$114,F214,'Festivos Colombia'!$A$3:$A$22),0)</f>
        <v>0</v>
      </c>
      <c r="I214">
        <f>NETWORKDAYS($J$114,F214,'Festivos Colombia'!$A$3:$A$22)</f>
        <v>20</v>
      </c>
      <c r="J214">
        <f>H214</f>
        <v>0</v>
      </c>
      <c r="K214" t="str">
        <v>Pendiente de aprobación Luisa</v>
      </c>
    </row>
    <row r="215">
      <c r="A215" t="str">
        <f>G215</f>
        <v>Cancelado</v>
      </c>
      <c r="B215">
        <f>IF(I215&lt;=-1,1,IF(I215&lt;=5,2,IF(I215&lt;=15,3,IF(H215&lt;=60,4))))</f>
        <v>4</v>
      </c>
      <c r="C215" t="str">
        <v>FE36</v>
      </c>
      <c r="D215" t="str">
        <v>Curso planeación de nómina</v>
      </c>
      <c r="E215">
        <v>809200</v>
      </c>
      <c r="F215">
        <v>46055</v>
      </c>
      <c r="G215" t="str">
        <v>Cancelado</v>
      </c>
      <c r="H215">
        <f>IF(OR(G215="Sin pagar",G215="Pagar"),NETWORKDAYS($J$114,F215,'Festivos Colombia'!$A$3:$A$22),0)</f>
        <v>0</v>
      </c>
      <c r="I215">
        <f>NETWORKDAYS($J$114,F215,'Festivos Colombia'!$A$3:$A$22)</f>
        <v>21</v>
      </c>
      <c r="J215">
        <f>H215</f>
        <v>0</v>
      </c>
      <c r="K215" t="str">
        <v>Pendiente de aprobación Luisa</v>
      </c>
    </row>
    <row r="216">
      <c r="A216" t="str">
        <f>G216</f>
        <v>Sin Pagar</v>
      </c>
      <c r="B216">
        <f>IF(I216&lt;=-1,1,IF(I216&lt;=5,2,IF(I216&lt;=15,3,IF(H216&lt;=60,4))))</f>
        <v>4</v>
      </c>
      <c r="C216" t="str">
        <v>FE-2064</v>
      </c>
      <c r="D216" t="str">
        <v>Plurum 80% escuela de liderazgo</v>
      </c>
      <c r="E216">
        <f>41353724*0</f>
        <v>0</v>
      </c>
      <c r="F216">
        <v>46059</v>
      </c>
      <c r="G216" t="str">
        <v>Sin Pagar</v>
      </c>
      <c r="H216">
        <f>IF(OR(G216="Sin pagar",G216="Pagar"),NETWORKDAYS($J$114,F216,'Festivos Colombia'!$A$3:$A$22),0)</f>
        <v>25</v>
      </c>
      <c r="I216">
        <f>NETWORKDAYS($J$114,F216,'Festivos Colombia'!$A$3:$A$22)</f>
        <v>25</v>
      </c>
      <c r="J216">
        <f>H216</f>
        <v>25</v>
      </c>
    </row>
    <row r="217">
      <c r="A217" t="str">
        <f>G217</f>
        <v>Sin Pagar</v>
      </c>
      <c r="B217">
        <f>IF(I217&lt;=-1,1,IF(I217&lt;=5,2,IF(I217&lt;=15,3,IF(H217&lt;=60,4))))</f>
        <v>4</v>
      </c>
      <c r="C217" t="str">
        <v>FED-59</v>
      </c>
      <c r="D217" t="str">
        <v>Innovate SAS-Servicio en la nube mes de Enero</v>
      </c>
      <c r="E217">
        <f>754578*0</f>
        <v>0</v>
      </c>
      <c r="F217">
        <v>46059</v>
      </c>
      <c r="G217" t="str">
        <v>Sin Pagar</v>
      </c>
      <c r="H217">
        <f>IF(OR(G217="Sin pagar",G217="Pagar"),NETWORKDAYS($J$114,F217,'Festivos Colombia'!$A$3:$A$22),0)</f>
        <v>25</v>
      </c>
      <c r="I217">
        <f>NETWORKDAYS($J$114,F217,'Festivos Colombia'!$A$3:$A$22)</f>
        <v>25</v>
      </c>
      <c r="J217">
        <f>H217</f>
        <v>25</v>
      </c>
      <c r="K217" t="str">
        <v>Sin radicar</v>
      </c>
    </row>
    <row r="218">
      <c r="A218" t="str">
        <f>G218</f>
        <v>Sin Pagar</v>
      </c>
      <c r="B218">
        <f>IF(I218&lt;=-1,1,IF(I218&lt;=5,2,IF(I218&lt;=15,3,IF(H218&lt;=60,4))))</f>
        <v>4</v>
      </c>
      <c r="C218">
        <v>8</v>
      </c>
      <c r="D218" t="str">
        <v>José Joaquín Salcedo Duran ( Consultoria en seguridad información)</v>
      </c>
      <c r="E218">
        <f>3100000*0</f>
        <v>0</v>
      </c>
      <c r="F218">
        <v>46059</v>
      </c>
      <c r="G218" t="str">
        <v>Sin Pagar</v>
      </c>
      <c r="H218">
        <f>IF(OR(G218="Sin pagar",G218="Pagar"),NETWORKDAYS($J$114,F218,'Festivos Colombia'!$A$3:$A$22),0)</f>
        <v>25</v>
      </c>
      <c r="I218">
        <f>NETWORKDAYS($J$114,F218,'Festivos Colombia'!$A$3:$A$22)</f>
        <v>25</v>
      </c>
      <c r="J218">
        <f>H218</f>
        <v>25</v>
      </c>
    </row>
    <row r="219">
      <c r="A219" t="str">
        <f>G219</f>
        <v>Sin Pagar</v>
      </c>
      <c r="B219">
        <f>IF(I219&lt;=-1,1,IF(I219&lt;=5,2,IF(I219&lt;=15,3,IF(H219&lt;=60,4))))</f>
        <v>4</v>
      </c>
      <c r="C219" t="str">
        <v>FENI-11542</v>
      </c>
      <c r="D219" t="str">
        <v>Nixcom Servicio técnico mensual</v>
      </c>
      <c r="E219">
        <f>833000*0</f>
        <v>0</v>
      </c>
      <c r="F219">
        <v>46054</v>
      </c>
      <c r="G219" t="str">
        <v>Sin Pagar</v>
      </c>
      <c r="H219">
        <f>IF(OR(G219="Sin pagar",G219="Pagar"),NETWORKDAYS($J$114,F219,'Festivos Colombia'!$A$3:$A$22),0)</f>
        <v>20</v>
      </c>
      <c r="I219">
        <f>NETWORKDAYS($J$114,F219,'Festivos Colombia'!$A$3:$A$22)</f>
        <v>20</v>
      </c>
      <c r="J219">
        <f>H219</f>
        <v>20</v>
      </c>
    </row>
    <row r="220">
      <c r="A220" t="str">
        <f>G220</f>
        <v>Sin Pagar</v>
      </c>
      <c r="B220">
        <f>IF(I220&lt;=-1,1,IF(I220&lt;=5,2,IF(I220&lt;=15,3,IF(H220&lt;=60,4))))</f>
        <v>4</v>
      </c>
      <c r="C220" t="str">
        <v>FE-399</v>
      </c>
      <c r="D220" t="str">
        <v>ACT&amp;J Consultores  S&amp;P</v>
      </c>
      <c r="E220">
        <f>4065250*0</f>
        <v>0</v>
      </c>
      <c r="F220">
        <v>46059</v>
      </c>
      <c r="G220" t="str">
        <v>Sin Pagar</v>
      </c>
      <c r="H220">
        <f>IF(OR(G220="Sin pagar",G220="Pagar"),NETWORKDAYS($J$114,F220,'Festivos Colombia'!$A$3:$A$22),0)</f>
        <v>25</v>
      </c>
      <c r="I220">
        <f>NETWORKDAYS($J$114,F220,'Festivos Colombia'!$A$3:$A$22)</f>
        <v>25</v>
      </c>
      <c r="J220">
        <f>H220</f>
        <v>25</v>
      </c>
    </row>
    <row r="221">
      <c r="A221" t="str">
        <f>G221</f>
        <v>Sin Pagar</v>
      </c>
      <c r="B221">
        <f>IF(I221&lt;=-1,1,IF(I221&lt;=5,2,IF(I221&lt;=15,3,IF(H221&lt;=60,4))))</f>
        <v>4</v>
      </c>
      <c r="C221" t="str">
        <v>FE-387</v>
      </c>
      <c r="D221" t="str">
        <v>ACT&amp;J Consultores  Global</v>
      </c>
      <c r="E221">
        <f>(3665694*1.052)*0</f>
        <v>0</v>
      </c>
      <c r="F221">
        <v>46059</v>
      </c>
      <c r="G221" t="str">
        <v>Sin Pagar</v>
      </c>
      <c r="H221">
        <f>IF(OR(G221="Sin pagar",G221="Pagar"),NETWORKDAYS($J$114,F221,'Festivos Colombia'!$A$3:$A$22),0)</f>
        <v>25</v>
      </c>
      <c r="I221">
        <f>NETWORKDAYS($J$114,F221,'Festivos Colombia'!$A$3:$A$22)</f>
        <v>25</v>
      </c>
      <c r="J221">
        <f>H221</f>
        <v>25</v>
      </c>
      <c r="K221" t="str">
        <v>Sin radicar</v>
      </c>
    </row>
    <row r="222">
      <c r="A222" t="str">
        <f>G222</f>
        <v>Sin Pagar</v>
      </c>
      <c r="B222">
        <f>IF(I222&lt;=-1,1,IF(I222&lt;=5,2,IF(I222&lt;=15,3,IF(H222&lt;=60,4))))</f>
        <v>4</v>
      </c>
      <c r="C222" t="str">
        <v>FENI-11463</v>
      </c>
      <c r="D222" t="str">
        <v>Nixcom Servicio técnico mensual</v>
      </c>
      <c r="E222">
        <f>1238034*0</f>
        <v>0</v>
      </c>
      <c r="F222">
        <v>46059</v>
      </c>
      <c r="G222" t="str">
        <v>Sin Pagar</v>
      </c>
      <c r="H222">
        <f>IF(OR(G222="Sin pagar",G222="Pagar"),NETWORKDAYS($J$114,F222,'Festivos Colombia'!$A$3:$A$22),0)</f>
        <v>25</v>
      </c>
      <c r="I222">
        <f>NETWORKDAYS($J$114,F222,'Festivos Colombia'!$A$3:$A$22)</f>
        <v>25</v>
      </c>
      <c r="J222">
        <f>H222</f>
        <v>25</v>
      </c>
    </row>
    <row r="223">
      <c r="A223" t="str">
        <f>G223</f>
        <v>Sin Pagar</v>
      </c>
      <c r="B223">
        <f>IF(I223&lt;=-1,1,IF(I223&lt;=5,2,IF(I223&lt;=15,3,IF(H223&lt;=60,4))))</f>
        <v>4</v>
      </c>
      <c r="C223" t="str">
        <v>BPA 6679</v>
      </c>
      <c r="D223" t="str">
        <v>Barrera Palacios</v>
      </c>
      <c r="E223">
        <f>1723309.31*0</f>
        <v>0</v>
      </c>
      <c r="F223">
        <v>46071</v>
      </c>
      <c r="G223" t="str">
        <v>Sin Pagar</v>
      </c>
      <c r="H223">
        <f>IF(OR(G223="Sin pagar",G223="Pagar"),NETWORKDAYS($J$114,F223,'Festivos Colombia'!$A$3:$A$22),0)</f>
        <v>33</v>
      </c>
      <c r="I223">
        <f>NETWORKDAYS($J$114,F223,'Festivos Colombia'!$A$3:$A$22)</f>
        <v>33</v>
      </c>
      <c r="J223">
        <f>H223</f>
        <v>33</v>
      </c>
    </row>
    <row r="224">
      <c r="D224" t="str">
        <v xml:space="preserve">COSTOS FINANCIEROS </v>
      </c>
      <c r="E224">
        <f>SUBTOTAL(9,E225:E225)</f>
        <v>13274584.23</v>
      </c>
    </row>
    <row r="225">
      <c r="A225" t="str">
        <f>G225</f>
        <v>Cancelado</v>
      </c>
      <c r="B225">
        <f>IF(I225&lt;=-1,1,IF(I225&lt;=5,2,IF(I225&lt;=15,3,IF(H225&lt;=60,4))))</f>
        <v>4</v>
      </c>
      <c r="D225" t="str">
        <v>Costos financieros (Cuentas S&amp;P)</v>
      </c>
      <c r="E225">
        <f>11536652.23+1737932</f>
        <v>13274584.23</v>
      </c>
      <c r="F225">
        <v>46053</v>
      </c>
      <c r="G225" t="str">
        <v>Cancelado</v>
      </c>
      <c r="H225">
        <f>IF(OR(G225="Sin pagar",G225="Pagar"),NETWORKDAYS($J$114,F225,'Festivos Colombia'!$A$3:$A$22),0)</f>
        <v>0</v>
      </c>
      <c r="I225">
        <f>NETWORKDAYS($J$114,F225,'Festivos Colombia'!$A$3:$A$22)</f>
        <v>20</v>
      </c>
      <c r="J225">
        <f>H225</f>
        <v>0</v>
      </c>
    </row>
    <row r="226">
      <c r="D226" t="str">
        <v>CRÉDITOS-LIBRANZAS</v>
      </c>
      <c r="E226">
        <f>SUBTOTAL(9,E227:E228)</f>
        <v>2696319</v>
      </c>
    </row>
    <row r="227">
      <c r="A227" t="str">
        <f>G227</f>
        <v>Cancelado</v>
      </c>
      <c r="B227">
        <f>IF(I227&lt;=-1,1,IF(I227&lt;=5,2,IF(I227&lt;=15,3,IF(H227&lt;=60,4))))</f>
        <v>4</v>
      </c>
      <c r="D227" t="str">
        <v>Libranza Compensar-BBVA</v>
      </c>
      <c r="E227">
        <v>2157496</v>
      </c>
      <c r="F227">
        <v>46050</v>
      </c>
      <c r="G227" t="str">
        <v>Cancelado</v>
      </c>
      <c r="H227">
        <f>IF(OR(G227="Sin pagar",G227="Pagar"),NETWORKDAYS($J$114,F227,'Festivos Colombia'!$A$3:$A$22),0)</f>
        <v>0</v>
      </c>
      <c r="I227">
        <f>NETWORKDAYS($J$114,F227,'Festivos Colombia'!$A$3:$A$22)</f>
        <v>18</v>
      </c>
      <c r="J227">
        <f>H227</f>
        <v>0</v>
      </c>
    </row>
    <row r="228">
      <c r="A228" t="str">
        <f>G228</f>
        <v>Cancelado</v>
      </c>
      <c r="B228">
        <f>IF(I228&lt;=-1,1,IF(I228&lt;=5,2,IF(I228&lt;=15,3,IF(H228&lt;=60,4))))</f>
        <v>4</v>
      </c>
      <c r="D228" t="str">
        <v>Libranza Comfenalco Lisset Franco REMOFIRST -BBVA</v>
      </c>
      <c r="E228">
        <v>538823</v>
      </c>
      <c r="F228">
        <v>46051</v>
      </c>
      <c r="G228" t="str">
        <v>Cancelado</v>
      </c>
      <c r="H228">
        <f>IF(OR(G228="Sin pagar",G228="Pagar"),NETWORKDAYS($J$114,F228,'Festivos Colombia'!$A$3:$A$22),0)</f>
        <v>0</v>
      </c>
      <c r="I228">
        <f>NETWORKDAYS($J$114,F228,'Festivos Colombia'!$A$3:$A$22)</f>
        <v>19</v>
      </c>
      <c r="J228">
        <f>H228</f>
        <v>0</v>
      </c>
    </row>
    <row r="229">
      <c r="D229" t="str">
        <v>TARJETAS DE CRÉDITO</v>
      </c>
      <c r="E229">
        <f>SUBTOTAL(9,E230:E232)</f>
        <v>15081893.75</v>
      </c>
    </row>
    <row r="230">
      <c r="A230" t="str">
        <f>G230</f>
        <v>Cancelado</v>
      </c>
      <c r="B230">
        <f>IF(I230&lt;=-1,1,IF(I230&lt;=5,2,IF(I230&lt;=15,3,IF(H230&lt;=60,4))))</f>
        <v>2</v>
      </c>
      <c r="D230" t="str">
        <v>TC Bancolombia TC 4853</v>
      </c>
      <c r="E230">
        <f>(2878369+(55*3790.77))*0</f>
        <v>0</v>
      </c>
      <c r="F230">
        <v>46027</v>
      </c>
      <c r="G230" t="str">
        <v>Cancelado</v>
      </c>
      <c r="H230">
        <f>IF(OR(G230="Sin pagar",G230="Pagar"),NETWORKDAYS($J$114,F230,'Festivos Colombia'!$A$3:$A$22),0)</f>
        <v>0</v>
      </c>
      <c r="I230">
        <f>NETWORKDAYS($J$114,F230,'Festivos Colombia'!$A$3:$A$22)</f>
        <v>2</v>
      </c>
      <c r="J230">
        <f>H230</f>
        <v>0</v>
      </c>
    </row>
    <row r="231">
      <c r="A231" t="str">
        <f>G231</f>
        <v>Cancelado</v>
      </c>
      <c r="B231">
        <f>IF(I231&lt;=-1,1,IF(I231&lt;=5,2,IF(I231&lt;=15,3,IF(H231&lt;=60,4))))</f>
        <v>3</v>
      </c>
      <c r="D231" t="str">
        <v>TC Bancolombia-Ramon Esteban Cardona Salazar TC 5996</v>
      </c>
      <c r="E231">
        <f>12699797+1814686.59</f>
        <v>14514483.59</v>
      </c>
      <c r="F231">
        <v>46042</v>
      </c>
      <c r="G231" t="str">
        <v>Cancelado</v>
      </c>
      <c r="H231">
        <f>IF(OR(G231="Sin pagar",G231="Pagar"),NETWORKDAYS($J$114,F231,'Festivos Colombia'!$A$3:$A$22),0)</f>
        <v>0</v>
      </c>
      <c r="I231">
        <f>NETWORKDAYS($J$114,F231,'Festivos Colombia'!$A$3:$A$22)</f>
        <v>12</v>
      </c>
      <c r="J231">
        <f>H231</f>
        <v>0</v>
      </c>
    </row>
    <row r="232">
      <c r="A232" t="str">
        <f>G232</f>
        <v>Cancelado</v>
      </c>
      <c r="B232">
        <f>IF(I232&lt;=-1,1,IF(I232&lt;=5,2,IF(I232&lt;=15,3,IF(H232&lt;=60,4))))</f>
        <v>4</v>
      </c>
      <c r="D232" t="str">
        <v>TC Bancolombia TC 4853</v>
      </c>
      <c r="E232">
        <f>(152*3628.16)+15929.84</f>
        <v>567410.1599999999</v>
      </c>
      <c r="F232">
        <v>46058</v>
      </c>
      <c r="G232" t="str">
        <v>Cancelado</v>
      </c>
      <c r="H232">
        <f>IF(OR(G232="Sin pagar",G232="Pagar"),NETWORKDAYS($J$114,F232,'Festivos Colombia'!$A$3:$A$22),0)</f>
        <v>0</v>
      </c>
      <c r="I232">
        <f>NETWORKDAYS($J$114,F232,'Festivos Colombia'!$A$3:$A$22)</f>
        <v>24</v>
      </c>
      <c r="J232">
        <f>H232</f>
        <v>0</v>
      </c>
    </row>
    <row r="233">
      <c r="D233" t="str">
        <v>ESTUDIOS DE SEGURIDAD Y EXAMENES OCUPACIONALES</v>
      </c>
      <c r="E233">
        <f>SUBTOTAL(9,E234:E244)</f>
        <v>2284006</v>
      </c>
    </row>
    <row r="234">
      <c r="A234" t="str">
        <f>G234</f>
        <v>Cancelado</v>
      </c>
      <c r="B234">
        <f>IF(I234&lt;=-1,1,IF(I234&lt;=5,2,IF(I234&lt;=15,3,IF(H234&lt;=60,4))))</f>
        <v>3</v>
      </c>
      <c r="C234">
        <v>6837</v>
      </c>
      <c r="D234" t="str">
        <v xml:space="preserve">EMASOC </v>
      </c>
      <c r="E234">
        <f>359000</f>
        <v>359000</v>
      </c>
      <c r="F234">
        <v>46031</v>
      </c>
      <c r="G234" t="str">
        <v>Cancelado</v>
      </c>
      <c r="H234">
        <f>IF(OR(G234="Sin pagar",G234="Pagar"),NETWORKDAYS($J$114,F234,'Festivos Colombia'!$A$3:$A$22),0)</f>
        <v>0</v>
      </c>
      <c r="I234">
        <f>NETWORKDAYS($J$114,F234,'Festivos Colombia'!$A$3:$A$22)</f>
        <v>6</v>
      </c>
      <c r="J234">
        <f>H234</f>
        <v>0</v>
      </c>
    </row>
    <row r="235">
      <c r="A235" t="str">
        <f>G235</f>
        <v>Cancelado</v>
      </c>
      <c r="B235">
        <f>IF(I235&lt;=-1,1,IF(I235&lt;=5,2,IF(I235&lt;=15,3,IF(H235&lt;=60,4))))</f>
        <v>3</v>
      </c>
      <c r="C235">
        <v>6846</v>
      </c>
      <c r="D235" t="str">
        <v xml:space="preserve">EMASOC </v>
      </c>
      <c r="E235">
        <f>517000</f>
        <v>517000</v>
      </c>
      <c r="F235">
        <v>46038</v>
      </c>
      <c r="G235" t="str">
        <v>Cancelado</v>
      </c>
      <c r="H235">
        <f>IF(OR(G235="Sin pagar",G235="Pagar"),NETWORKDAYS($J$114,F235,'Festivos Colombia'!$A$3:$A$22),0)</f>
        <v>0</v>
      </c>
      <c r="I235">
        <f>NETWORKDAYS($J$114,F235,'Festivos Colombia'!$A$3:$A$22)</f>
        <v>10</v>
      </c>
      <c r="J235">
        <f>H235</f>
        <v>0</v>
      </c>
    </row>
    <row r="236">
      <c r="A236" t="str">
        <f>G236</f>
        <v>Cancelado</v>
      </c>
      <c r="B236">
        <f>IF(I236&lt;=-1,1,IF(I236&lt;=5,2,IF(I236&lt;=15,3,IF(H236&lt;=60,4))))</f>
        <v>3</v>
      </c>
      <c r="C236">
        <v>6855</v>
      </c>
      <c r="D236" t="str">
        <v xml:space="preserve">EMASOC </v>
      </c>
      <c r="E236">
        <f>499900</f>
        <v>499900</v>
      </c>
      <c r="F236">
        <v>46038</v>
      </c>
      <c r="G236" t="str">
        <v>Cancelado</v>
      </c>
      <c r="H236">
        <f>IF(OR(G236="Sin pagar",G236="Pagar"),NETWORKDAYS($J$114,F236,'Festivos Colombia'!$A$3:$A$22),0)</f>
        <v>0</v>
      </c>
      <c r="I236">
        <f>NETWORKDAYS($J$114,F236,'Festivos Colombia'!$A$3:$A$22)</f>
        <v>10</v>
      </c>
      <c r="J236">
        <f>H236</f>
        <v>0</v>
      </c>
    </row>
    <row r="237">
      <c r="A237" t="str">
        <f>G237</f>
        <v>Cancelado</v>
      </c>
      <c r="B237">
        <f>IF(I237&lt;=-1,1,IF(I237&lt;=5,2,IF(I237&lt;=15,3,IF(H237&lt;=60,4))))</f>
        <v>3</v>
      </c>
      <c r="C237">
        <v>6861</v>
      </c>
      <c r="D237" t="str">
        <v xml:space="preserve">EMASOC </v>
      </c>
      <c r="E237">
        <v>334500</v>
      </c>
      <c r="F237">
        <v>46045</v>
      </c>
      <c r="G237" t="str">
        <v>Cancelado</v>
      </c>
      <c r="H237">
        <f>IF(OR(G237="Sin pagar",G237="Pagar"),NETWORKDAYS($J$114,F237,'Festivos Colombia'!$A$3:$A$22),0)</f>
        <v>0</v>
      </c>
      <c r="I237">
        <f>NETWORKDAYS($J$114,F237,'Festivos Colombia'!$A$3:$A$22)</f>
        <v>15</v>
      </c>
      <c r="J237">
        <f>H237</f>
        <v>0</v>
      </c>
    </row>
    <row r="238">
      <c r="A238" t="str">
        <f>G238</f>
        <v>Sin Pagar</v>
      </c>
      <c r="B238">
        <f>IF(I238&lt;=-1,1,IF(I238&lt;=5,2,IF(I238&lt;=15,3,IF(H238&lt;=60,4))))</f>
        <v>4</v>
      </c>
      <c r="C238">
        <v>6871</v>
      </c>
      <c r="D238" t="str">
        <v xml:space="preserve">EMASOC </v>
      </c>
      <c r="E238">
        <f>1158000*0</f>
        <v>0</v>
      </c>
      <c r="F238">
        <v>46066</v>
      </c>
      <c r="G238" t="str">
        <v>Sin Pagar</v>
      </c>
      <c r="H238">
        <f>IF(OR(G238="Sin pagar",G238="Pagar"),NETWORKDAYS($J$114,F238,'Festivos Colombia'!$A$3:$A$22),0)</f>
        <v>30</v>
      </c>
      <c r="I238">
        <f>NETWORKDAYS($J$114,F238,'Festivos Colombia'!$A$3:$A$22)</f>
        <v>30</v>
      </c>
      <c r="J238">
        <f>H238</f>
        <v>30</v>
      </c>
    </row>
    <row r="239">
      <c r="A239" t="str">
        <f>G239</f>
        <v>Sin Pagar</v>
      </c>
      <c r="B239">
        <f>IF(I239&lt;=-1,1,IF(I239&lt;=5,2,IF(I239&lt;=15,3,IF(H239&lt;=60,4))))</f>
        <v>4</v>
      </c>
      <c r="C239">
        <v>6882</v>
      </c>
      <c r="D239" t="str">
        <v xml:space="preserve">EMASOC </v>
      </c>
      <c r="E239">
        <f>102500*0</f>
        <v>0</v>
      </c>
      <c r="F239">
        <v>46073</v>
      </c>
      <c r="G239" t="str">
        <v>Sin Pagar</v>
      </c>
      <c r="H239">
        <f>IF(OR(G239="Sin pagar",G239="Pagar"),NETWORKDAYS($J$114,F239,'Festivos Colombia'!$A$3:$A$22),0)</f>
        <v>35</v>
      </c>
      <c r="I239">
        <f>NETWORKDAYS($J$114,F239,'Festivos Colombia'!$A$3:$A$22)</f>
        <v>35</v>
      </c>
      <c r="J239">
        <f>H239</f>
        <v>35</v>
      </c>
    </row>
    <row r="240">
      <c r="A240" t="str">
        <f>G240</f>
        <v>Sin Pagar</v>
      </c>
      <c r="B240">
        <f>IF(I240&lt;=-1,1,IF(I240&lt;=5,2,IF(I240&lt;=15,3,IF(H240&lt;=60,4))))</f>
        <v>4</v>
      </c>
      <c r="C240">
        <v>6895</v>
      </c>
      <c r="D240" t="str">
        <v xml:space="preserve">EMASOC </v>
      </c>
      <c r="E240">
        <f>102500*0</f>
        <v>0</v>
      </c>
      <c r="F240">
        <v>46075</v>
      </c>
      <c r="G240" t="str">
        <v>Sin Pagar</v>
      </c>
      <c r="H240">
        <f>IF(OR(G240="Sin pagar",G240="Pagar"),NETWORKDAYS($J$114,F240,'Festivos Colombia'!$A$3:$A$22),0)</f>
        <v>35</v>
      </c>
      <c r="I240">
        <f>NETWORKDAYS($J$114,F240,'Festivos Colombia'!$A$3:$A$22)</f>
        <v>35</v>
      </c>
      <c r="J240">
        <f>H240</f>
        <v>35</v>
      </c>
    </row>
    <row r="241">
      <c r="A241" t="str">
        <f>G241</f>
        <v>Sin Pagar</v>
      </c>
      <c r="B241">
        <f>IF(I241&lt;=-1,1,IF(I241&lt;=5,2,IF(I241&lt;=15,3,IF(H241&lt;=60,4))))</f>
        <v>4</v>
      </c>
      <c r="C241">
        <v>6900</v>
      </c>
      <c r="D241" t="str">
        <v xml:space="preserve">EMASOC </v>
      </c>
      <c r="E241">
        <f>313500*0</f>
        <v>0</v>
      </c>
      <c r="F241">
        <v>46080</v>
      </c>
      <c r="G241" t="str">
        <v>Sin Pagar</v>
      </c>
      <c r="H241">
        <f>IF(OR(G241="Sin pagar",G241="Pagar"),NETWORKDAYS($J$114,F241,'Festivos Colombia'!$A$3:$A$22),0)</f>
        <v>40</v>
      </c>
      <c r="I241">
        <f>NETWORKDAYS($J$114,F241,'Festivos Colombia'!$A$3:$A$22)</f>
        <v>40</v>
      </c>
      <c r="J241">
        <f>H241</f>
        <v>40</v>
      </c>
    </row>
    <row r="242">
      <c r="A242" t="str">
        <f>G242</f>
        <v>Sin Pagar</v>
      </c>
      <c r="B242">
        <f>IF(I242&lt;=-1,1,IF(I242&lt;=5,2,IF(I242&lt;=15,3,IF(H242&lt;=60,4))))</f>
        <v>4</v>
      </c>
      <c r="C242">
        <v>6903</v>
      </c>
      <c r="D242" t="str">
        <v xml:space="preserve">EMASOC </v>
      </c>
      <c r="E242">
        <f>592500*0</f>
        <v>0</v>
      </c>
      <c r="F242">
        <v>46081</v>
      </c>
      <c r="G242" t="str">
        <v>Sin Pagar</v>
      </c>
      <c r="H242">
        <f>IF(OR(G242="Sin pagar",G242="Pagar"),NETWORKDAYS($J$114,F242,'Festivos Colombia'!$A$3:$A$22),0)</f>
        <v>40</v>
      </c>
      <c r="I242">
        <f>NETWORKDAYS($J$114,F242,'Festivos Colombia'!$A$3:$A$22)</f>
        <v>40</v>
      </c>
      <c r="J242">
        <f>H242</f>
        <v>40</v>
      </c>
    </row>
    <row r="243">
      <c r="A243" t="str">
        <f>G243</f>
        <v>Sin Pagar</v>
      </c>
      <c r="B243">
        <f>IF(I243&lt;=-1,1,IF(I243&lt;=5,2,IF(I243&lt;=15,3,IF(H243&lt;=60,4))))</f>
        <v>4</v>
      </c>
      <c r="C243">
        <v>6910</v>
      </c>
      <c r="D243" t="str">
        <v xml:space="preserve">EMASOC </v>
      </c>
      <c r="E243">
        <f>3410000*0</f>
        <v>0</v>
      </c>
      <c r="F243">
        <v>46084</v>
      </c>
      <c r="G243" t="str">
        <v>Sin Pagar</v>
      </c>
      <c r="H243">
        <f>IF(OR(G243="Sin pagar",G243="Pagar"),NETWORKDAYS($J$114,F243,'Festivos Colombia'!$A$3:$A$22),0)</f>
        <v>42</v>
      </c>
      <c r="I243">
        <f>NETWORKDAYS($J$114,F243,'Festivos Colombia'!$A$3:$A$22)</f>
        <v>42</v>
      </c>
      <c r="J243">
        <f>H243</f>
        <v>42</v>
      </c>
    </row>
    <row r="244">
      <c r="A244" t="str">
        <f>G244</f>
        <v>Cancelado</v>
      </c>
      <c r="B244">
        <f>IF(I244&lt;=-1,1,IF(I244&lt;=5,2,IF(I244&lt;=15,3,IF(H244&lt;=60,4))))</f>
        <v>3</v>
      </c>
      <c r="C244" t="str">
        <v>FE3074</v>
      </c>
      <c r="D244" t="str">
        <v>Prosinte</v>
      </c>
      <c r="E244">
        <v>573606</v>
      </c>
      <c r="F244">
        <v>46038</v>
      </c>
      <c r="G244" t="str">
        <v>Cancelado</v>
      </c>
      <c r="H244">
        <f>IF(OR(G244="Sin pagar",G244="Pagar"),NETWORKDAYS($J$114,F244,'Festivos Colombia'!$A$3:$A$22),0)</f>
        <v>0</v>
      </c>
      <c r="I244">
        <f>NETWORKDAYS($J$114,F244,'Festivos Colombia'!$A$3:$A$22)</f>
        <v>10</v>
      </c>
      <c r="J244">
        <f>H244</f>
        <v>0</v>
      </c>
    </row>
    <row r="245">
      <c r="D245" t="str">
        <v>SOFTWARE NÓMINA</v>
      </c>
      <c r="E245">
        <f>SUBTOTAL(9,E246:E252)</f>
        <v>16845908.0884</v>
      </c>
    </row>
    <row r="246">
      <c r="A246" t="str">
        <f>G246</f>
        <v>Cancelado</v>
      </c>
      <c r="B246">
        <f>IF(I246&lt;=-1,1,IF(I246&lt;=5,2,IF(I246&lt;=15,3,IF(H246&lt;=60,4))))</f>
        <v>3</v>
      </c>
      <c r="C246">
        <v>43845</v>
      </c>
      <c r="D246" t="str">
        <v>Práxedes nómina electronica-Servidores hosting y/o Computación en la nuble Cloud Noviembre</v>
      </c>
      <c r="E246">
        <f>1567608</f>
        <v>1567608</v>
      </c>
      <c r="F246">
        <v>46031</v>
      </c>
      <c r="G246" t="str">
        <v>Cancelado</v>
      </c>
      <c r="H246">
        <f>IF(OR(G246="Sin pagar",G246="Pagar"),NETWORKDAYS($J$114,F246,'Festivos Colombia'!$A$3:$A$22),0)</f>
        <v>0</v>
      </c>
      <c r="I246">
        <f>NETWORKDAYS($J$114,F246,'Festivos Colombia'!$A$3:$A$22)</f>
        <v>6</v>
      </c>
      <c r="J246">
        <f>H246</f>
        <v>0</v>
      </c>
    </row>
    <row r="247">
      <c r="A247" t="str">
        <f>G247</f>
        <v>Cancelado</v>
      </c>
      <c r="B247">
        <f>IF(I247&lt;=-1,1,IF(I247&lt;=5,2,IF(I247&lt;=15,3,IF(H247&lt;=60,4))))</f>
        <v>3</v>
      </c>
      <c r="C247">
        <v>43984</v>
      </c>
      <c r="D247" t="str">
        <v>Práxedes nómina electronica-Transmisión nómina eléctronica Noviembre</v>
      </c>
      <c r="E247">
        <v>121007.46168</v>
      </c>
      <c r="F247">
        <v>46038</v>
      </c>
      <c r="G247" t="str">
        <v>Cancelado</v>
      </c>
      <c r="H247">
        <f>IF(OR(G247="Sin pagar",G247="Pagar"),NETWORKDAYS($J$114,F247,'Festivos Colombia'!$A$3:$A$22),0)</f>
        <v>0</v>
      </c>
      <c r="I247">
        <f>NETWORKDAYS($J$114,F247,'Festivos Colombia'!$A$3:$A$22)</f>
        <v>10</v>
      </c>
      <c r="J247">
        <f>H247</f>
        <v>0</v>
      </c>
    </row>
    <row r="248">
      <c r="A248" t="str">
        <f>G248</f>
        <v>Cancelado</v>
      </c>
      <c r="B248">
        <f>IF(I248&lt;=-1,1,IF(I248&lt;=5,2,IF(I248&lt;=15,3,IF(H248&lt;=60,4))))</f>
        <v>3</v>
      </c>
      <c r="C248">
        <v>43846</v>
      </c>
      <c r="D248" t="str">
        <v>Práxedes nómina electronica-Servidores hosting y/o Computación en la nuble Cloud Noviembre</v>
      </c>
      <c r="E248">
        <v>1497598.62672</v>
      </c>
      <c r="F248">
        <v>46045</v>
      </c>
      <c r="G248" t="str">
        <v>Cancelado</v>
      </c>
      <c r="H248">
        <f>IF(OR(G248="Sin pagar",G248="Pagar"),NETWORKDAYS($J$114,F248,'Festivos Colombia'!$A$3:$A$22),0)</f>
        <v>0</v>
      </c>
      <c r="I248">
        <f>NETWORKDAYS($J$114,F248,'Festivos Colombia'!$A$3:$A$22)</f>
        <v>15</v>
      </c>
      <c r="J248">
        <f>H248</f>
        <v>0</v>
      </c>
    </row>
    <row r="249">
      <c r="A249" t="str">
        <f>G249</f>
        <v>Cancelado</v>
      </c>
      <c r="B249">
        <f>IF(I249&lt;=-1,1,IF(I249&lt;=5,2,IF(I249&lt;=15,3,IF(H249&lt;=60,4))))</f>
        <v>3</v>
      </c>
      <c r="C249" t="str">
        <v>GFE57362</v>
      </c>
      <c r="D249" t="str">
        <v>Novasoft-Servicio hosting Web-19 Usuarios-27 Bases de datos Diciembre</v>
      </c>
      <c r="E249">
        <f>5188351</f>
        <v>5188351</v>
      </c>
      <c r="F249">
        <v>46031</v>
      </c>
      <c r="G249" t="str">
        <v>Cancelado</v>
      </c>
      <c r="H249">
        <f>IF(OR(G249="Sin pagar",G249="Pagar"),NETWORKDAYS($J$114,F249,'Festivos Colombia'!$A$3:$A$22),0)</f>
        <v>0</v>
      </c>
      <c r="I249">
        <f>NETWORKDAYS($J$114,F249,'Festivos Colombia'!$A$3:$A$22)</f>
        <v>6</v>
      </c>
      <c r="J249">
        <f>H249</f>
        <v>0</v>
      </c>
    </row>
    <row r="250">
      <c r="A250" t="str">
        <f>G250</f>
        <v>Cancelado</v>
      </c>
      <c r="B250">
        <f>IF(I250&lt;=-1,1,IF(I250&lt;=5,2,IF(I250&lt;=15,3,IF(H250&lt;=60,4))))</f>
        <v>3</v>
      </c>
      <c r="C250" t="str">
        <v>GFE58327</v>
      </c>
      <c r="D250" t="str">
        <v>Novasoft-Derecho de uso de nómina, Derecho de uso portal , nómina electrónica, Habilitación y emisión de comprobantes Noviembre</v>
      </c>
      <c r="E250">
        <f>8471343</f>
        <v>8471343</v>
      </c>
      <c r="F250">
        <v>46038</v>
      </c>
      <c r="G250" t="str">
        <v>Cancelado</v>
      </c>
      <c r="H250">
        <f>IF(OR(G250="Sin pagar",G250="Pagar"),NETWORKDAYS($J$114,F250,'Festivos Colombia'!$A$3:$A$22),0)</f>
        <v>0</v>
      </c>
      <c r="I250">
        <f>NETWORKDAYS($J$114,F250,'Festivos Colombia'!$A$3:$A$22)</f>
        <v>10</v>
      </c>
      <c r="J250">
        <f>H250</f>
        <v>0</v>
      </c>
    </row>
    <row r="251">
      <c r="A251" t="str">
        <f>G251</f>
        <v>Sin Pagar</v>
      </c>
      <c r="B251">
        <f>IF(I251&lt;=-1,1,IF(I251&lt;=5,2,IF(I251&lt;=15,3,IF(H251&lt;=60,4))))</f>
        <v>4</v>
      </c>
      <c r="C251" t="str">
        <v>GFE59375</v>
      </c>
      <c r="D251" t="str">
        <v>Novasoft-Derecho de uso de nómina, Derecho de uso portal , nómina electrónica, Habilitación y emisión de comprobantes Diciembre</v>
      </c>
      <c r="E251">
        <f>8312384.54*0</f>
        <v>0</v>
      </c>
      <c r="F251">
        <v>46078</v>
      </c>
      <c r="G251" t="str">
        <v>Sin Pagar</v>
      </c>
      <c r="H251">
        <f>IF(OR(G251="Sin pagar",G251="Pagar"),NETWORKDAYS($J$114,F251,'Festivos Colombia'!$A$3:$A$22),0)</f>
        <v>38</v>
      </c>
      <c r="I251">
        <f>NETWORKDAYS($J$114,F251,'Festivos Colombia'!$A$3:$A$22)</f>
        <v>38</v>
      </c>
      <c r="J251">
        <f>H251</f>
        <v>38</v>
      </c>
    </row>
    <row r="252">
      <c r="A252" t="str">
        <f>G252</f>
        <v>Sin Pagar</v>
      </c>
      <c r="B252">
        <f>IF(I252&lt;=-1,1,IF(I252&lt;=5,2,IF(I252&lt;=15,3,IF(H252&lt;=60,4))))</f>
        <v>4</v>
      </c>
      <c r="C252" t="str">
        <v>GFE59440</v>
      </c>
      <c r="D252" t="str">
        <v>Novasoft-Servicio hosting Web-19 Usuarios-29 Bases de datos Enero</v>
      </c>
      <c r="E252">
        <f>5506137*0</f>
        <v>0</v>
      </c>
      <c r="F252">
        <v>46080</v>
      </c>
      <c r="G252" t="str">
        <v>Sin Pagar</v>
      </c>
      <c r="H252">
        <f>IF(OR(G252="Sin pagar",G252="Pagar"),NETWORKDAYS($J$114,F252,'Festivos Colombia'!$A$3:$A$22),0)</f>
        <v>40</v>
      </c>
      <c r="I252">
        <f>NETWORKDAYS($J$114,F252,'Festivos Colombia'!$A$3:$A$22)</f>
        <v>40</v>
      </c>
      <c r="J252">
        <f>H252</f>
        <v>40</v>
      </c>
    </row>
    <row r="253">
      <c r="D253" t="str">
        <v>NÓMINAS Y ABONO A TARJETAS PEOPLE PASS</v>
      </c>
      <c r="E253">
        <f>SUBTOTAL(9,E254:E280)</f>
        <v>1677006642.89</v>
      </c>
    </row>
    <row r="254">
      <c r="D254" t="str">
        <v>Anticipo cesantías yesela Agudelo Durango</v>
      </c>
      <c r="E254">
        <f>35912233*0</f>
        <v>0</v>
      </c>
      <c r="F254">
        <v>46024</v>
      </c>
      <c r="G254" t="str">
        <v>Cancelado</v>
      </c>
      <c r="H254">
        <f>IF(OR(G254="Sin pagar",G254="Pagar"),NETWORKDAYS($J$114,F254,'Festivos Colombia'!$A$3:$A$22),0)</f>
        <v>0</v>
      </c>
      <c r="I254">
        <f>NETWORKDAYS($J$114,F254,'Festivos Colombia'!$A$3:$A$22)</f>
        <v>1</v>
      </c>
      <c r="J254">
        <f>H254</f>
        <v>0</v>
      </c>
    </row>
    <row r="255">
      <c r="D255" t="str">
        <v>Anticipo Nómina Lorena García</v>
      </c>
      <c r="E255">
        <v>200000</v>
      </c>
      <c r="F255">
        <v>46042</v>
      </c>
      <c r="G255" t="str">
        <v>Cancelado</v>
      </c>
      <c r="H255">
        <f>IF(OR(G255="Sin pagar",G255="Pagar"),NETWORKDAYS($J$114,F255,'Festivos Colombia'!$A$3:$A$22),0)</f>
        <v>0</v>
      </c>
      <c r="I255">
        <f>NETWORKDAYS($J$114,F255,'Festivos Colombia'!$A$3:$A$22)</f>
        <v>12</v>
      </c>
      <c r="J255">
        <f>H255</f>
        <v>0</v>
      </c>
    </row>
    <row r="256">
      <c r="D256" t="str">
        <v>Anticipo cesantías Yina Briyith Vesga Escarraga</v>
      </c>
      <c r="E256">
        <v>3493275</v>
      </c>
      <c r="F256">
        <v>46048</v>
      </c>
      <c r="G256" t="str">
        <v>Cancelado</v>
      </c>
      <c r="H256">
        <f>IF(OR(G256="Sin pagar",G256="Pagar"),NETWORKDAYS($J$114,F256,'Festivos Colombia'!$A$3:$A$22),0)</f>
        <v>0</v>
      </c>
      <c r="I256">
        <f>NETWORKDAYS($J$114,F256,'Festivos Colombia'!$A$3:$A$22)</f>
        <v>16</v>
      </c>
      <c r="J256">
        <f>H256</f>
        <v>0</v>
      </c>
    </row>
    <row r="257">
      <c r="A257" t="str">
        <f>G257</f>
        <v>Cancelado</v>
      </c>
      <c r="B257">
        <f>IF(I257&lt;=-1,1,IF(I257&lt;=5,2,IF(I257&lt;=15,3,IF(H257&lt;=60,4))))</f>
        <v>4</v>
      </c>
      <c r="C257" t="str">
        <v>54 registros</v>
      </c>
      <c r="D257" t="str">
        <v>Nomina S&amp;P</v>
      </c>
      <c r="E257">
        <v>176851072</v>
      </c>
      <c r="F257">
        <v>46050</v>
      </c>
      <c r="G257" t="str">
        <v>Cancelado</v>
      </c>
      <c r="H257">
        <f>IF(OR(G257="Sin pagar",G257="Pagar"),NETWORKDAYS($J$114,F257,'Festivos Colombia'!$A$3:$A$22),0)</f>
        <v>0</v>
      </c>
      <c r="I257">
        <f>NETWORKDAYS($J$114,F257,'Festivos Colombia'!$A$3:$A$22)</f>
        <v>18</v>
      </c>
      <c r="J257">
        <f>H257</f>
        <v>0</v>
      </c>
    </row>
    <row r="258">
      <c r="D258" t="str">
        <v>C1007 - NZD</v>
      </c>
      <c r="E258">
        <v>26755504</v>
      </c>
      <c r="F258">
        <v>46050</v>
      </c>
      <c r="G258" t="str">
        <v>Cancelado</v>
      </c>
      <c r="H258">
        <f>IF(OR(G258="Sin pagar",G258="Pagar"),NETWORKDAYS($J$114,F258,'Festivos Colombia'!$A$3:$A$22),0)</f>
        <v>0</v>
      </c>
      <c r="I258">
        <f>NETWORKDAYS($J$114,F258,'Festivos Colombia'!$A$3:$A$22)</f>
        <v>18</v>
      </c>
      <c r="J258">
        <f>H258</f>
        <v>0</v>
      </c>
    </row>
    <row r="259">
      <c r="D259" t="str">
        <v>C1022 - Root Capital</v>
      </c>
      <c r="E259">
        <v>15263805</v>
      </c>
      <c r="F259">
        <v>46050</v>
      </c>
      <c r="G259" t="str">
        <v>Cancelado</v>
      </c>
      <c r="H259">
        <f>IF(OR(G259="Sin pagar",G259="Pagar"),NETWORKDAYS($J$114,F259,'Festivos Colombia'!$A$3:$A$22),0)</f>
        <v>0</v>
      </c>
      <c r="I259">
        <f>NETWORKDAYS($J$114,F259,'Festivos Colombia'!$A$3:$A$22)</f>
        <v>18</v>
      </c>
      <c r="J259">
        <f>H259</f>
        <v>0</v>
      </c>
    </row>
    <row r="260">
      <c r="D260" t="str">
        <v>C1024 - MKD</v>
      </c>
      <c r="E260">
        <v>3479204</v>
      </c>
      <c r="F260">
        <v>46050</v>
      </c>
      <c r="G260" t="str">
        <v>Cancelado</v>
      </c>
      <c r="H260">
        <f>IF(OR(G260="Sin pagar",G260="Pagar"),NETWORKDAYS($J$114,F260,'Festivos Colombia'!$A$3:$A$22),0)</f>
        <v>0</v>
      </c>
      <c r="I260">
        <f>NETWORKDAYS($J$114,F260,'Festivos Colombia'!$A$3:$A$22)</f>
        <v>18</v>
      </c>
      <c r="J260">
        <f>H260</f>
        <v>0</v>
      </c>
    </row>
    <row r="261">
      <c r="D261" t="str">
        <v>C1032 - FLEXCO</v>
      </c>
      <c r="E261">
        <v>22533050</v>
      </c>
      <c r="F261">
        <v>46050</v>
      </c>
      <c r="G261" t="str">
        <v>Cancelado</v>
      </c>
      <c r="H261">
        <f>IF(OR(G261="Sin pagar",G261="Pagar"),NETWORKDAYS($J$114,F261,'Festivos Colombia'!$A$3:$A$22),0)</f>
        <v>0</v>
      </c>
      <c r="I261">
        <f>NETWORKDAYS($J$114,F261,'Festivos Colombia'!$A$3:$A$22)</f>
        <v>18</v>
      </c>
      <c r="J261">
        <f>H261</f>
        <v>0</v>
      </c>
    </row>
    <row r="262">
      <c r="D262" t="str">
        <v>C1037 - REMOFIRST</v>
      </c>
      <c r="E262">
        <v>719228423</v>
      </c>
      <c r="F262">
        <v>46050</v>
      </c>
      <c r="G262" t="str">
        <v>Cancelado</v>
      </c>
      <c r="H262">
        <f>IF(OR(G262="Sin pagar",G262="Pagar"),NETWORKDAYS($J$114,F262,'Festivos Colombia'!$A$3:$A$22),0)</f>
        <v>0</v>
      </c>
      <c r="I262">
        <f>NETWORKDAYS($J$114,F262,'Festivos Colombia'!$A$3:$A$22)</f>
        <v>18</v>
      </c>
      <c r="J262">
        <f>H262</f>
        <v>0</v>
      </c>
    </row>
    <row r="263">
      <c r="D263" t="str">
        <v>C1038 - ONCEHUB</v>
      </c>
      <c r="E263">
        <v>10463079</v>
      </c>
      <c r="F263">
        <v>46050</v>
      </c>
      <c r="G263" t="str">
        <v>Cancelado</v>
      </c>
      <c r="H263">
        <f>IF(OR(G263="Sin pagar",G263="Pagar"),NETWORKDAYS($J$114,F263,'Festivos Colombia'!$A$3:$A$22),0)</f>
        <v>0</v>
      </c>
      <c r="I263">
        <f>NETWORKDAYS($J$114,F263,'Festivos Colombia'!$A$3:$A$22)</f>
        <v>18</v>
      </c>
      <c r="J263">
        <f>H263</f>
        <v>0</v>
      </c>
    </row>
    <row r="264">
      <c r="D264" t="str">
        <v>C1041 - EDRINGTON</v>
      </c>
      <c r="E264">
        <v>19151707</v>
      </c>
      <c r="F264">
        <v>46050</v>
      </c>
      <c r="G264" t="str">
        <v>Cancelado</v>
      </c>
      <c r="H264">
        <f>IF(OR(G264="Sin pagar",G264="Pagar"),NETWORKDAYS($J$114,F264,'Festivos Colombia'!$A$3:$A$22),0)</f>
        <v>0</v>
      </c>
      <c r="I264">
        <f>NETWORKDAYS($J$114,F264,'Festivos Colombia'!$A$3:$A$22)</f>
        <v>18</v>
      </c>
      <c r="J264">
        <f>H264</f>
        <v>0</v>
      </c>
    </row>
    <row r="265">
      <c r="D265" t="str">
        <v>C1042 - EPDM</v>
      </c>
      <c r="E265">
        <v>7501878</v>
      </c>
      <c r="F265">
        <v>46050</v>
      </c>
      <c r="G265" t="str">
        <v>Cancelado</v>
      </c>
      <c r="H265">
        <f>IF(OR(G265="Sin pagar",G265="Pagar"),NETWORKDAYS($J$114,F265,'Festivos Colombia'!$A$3:$A$22),0)</f>
        <v>0</v>
      </c>
      <c r="I265">
        <f>NETWORKDAYS($J$114,F265,'Festivos Colombia'!$A$3:$A$22)</f>
        <v>18</v>
      </c>
      <c r="J265">
        <f>H265</f>
        <v>0</v>
      </c>
    </row>
    <row r="266">
      <c r="D266" t="str">
        <v>C1043 - NEO</v>
      </c>
      <c r="E266">
        <v>52738421</v>
      </c>
      <c r="F266">
        <v>46050</v>
      </c>
      <c r="G266" t="str">
        <v>Cancelado</v>
      </c>
      <c r="H266">
        <f>IF(OR(G266="Sin pagar",G266="Pagar"),NETWORKDAYS($J$114,F266,'Festivos Colombia'!$A$3:$A$22),0)</f>
        <v>0</v>
      </c>
      <c r="I266">
        <f>NETWORKDAYS($J$114,F266,'Festivos Colombia'!$A$3:$A$22)</f>
        <v>18</v>
      </c>
      <c r="J266">
        <f>H266</f>
        <v>0</v>
      </c>
    </row>
    <row r="267">
      <c r="D267" t="str">
        <v>C1050 - HEMMERSBACH</v>
      </c>
      <c r="E267">
        <v>8685745</v>
      </c>
      <c r="F267">
        <v>46050</v>
      </c>
      <c r="G267" t="str">
        <v>Cancelado</v>
      </c>
      <c r="H267">
        <f>IF(OR(G267="Sin pagar",G267="Pagar"),NETWORKDAYS($J$114,F267,'Festivos Colombia'!$A$3:$A$22),0)</f>
        <v>0</v>
      </c>
      <c r="I267">
        <f>NETWORKDAYS($J$114,F267,'Festivos Colombia'!$A$3:$A$22)</f>
        <v>18</v>
      </c>
      <c r="J267">
        <f>H267</f>
        <v>0</v>
      </c>
    </row>
    <row r="268">
      <c r="D268" t="str">
        <v>C1051 - YONYOU</v>
      </c>
      <c r="E268">
        <v>30910845</v>
      </c>
      <c r="F268">
        <v>46050</v>
      </c>
      <c r="G268" t="str">
        <v>Cancelado</v>
      </c>
      <c r="H268">
        <f>IF(OR(G268="Sin pagar",G268="Pagar"),NETWORKDAYS($J$114,F268,'Festivos Colombia'!$A$3:$A$22),0)</f>
        <v>0</v>
      </c>
      <c r="I268">
        <f>NETWORKDAYS($J$114,F268,'Festivos Colombia'!$A$3:$A$22)</f>
        <v>18</v>
      </c>
      <c r="J268">
        <f>H268</f>
        <v>0</v>
      </c>
    </row>
    <row r="269">
      <c r="D269" t="str">
        <v>C1052 - BUBBLE BPM INC</v>
      </c>
      <c r="E269">
        <v>23575996</v>
      </c>
      <c r="F269">
        <v>46050</v>
      </c>
      <c r="G269" t="str">
        <v>Cancelado</v>
      </c>
      <c r="H269">
        <f>IF(OR(G269="Sin pagar",G269="Pagar"),NETWORKDAYS($J$114,F269,'Festivos Colombia'!$A$3:$A$22),0)</f>
        <v>0</v>
      </c>
      <c r="I269">
        <f>NETWORKDAYS($J$114,F269,'Festivos Colombia'!$A$3:$A$22)</f>
        <v>18</v>
      </c>
      <c r="J269">
        <f>H269</f>
        <v>0</v>
      </c>
    </row>
    <row r="270">
      <c r="D270" t="str">
        <v>C1053 - GLOBAL EXPANSION</v>
      </c>
      <c r="E270">
        <v>3998700</v>
      </c>
      <c r="F270">
        <v>46050</v>
      </c>
      <c r="G270" t="str">
        <v>Cancelado</v>
      </c>
      <c r="H270">
        <f>IF(OR(G270="Sin pagar",G270="Pagar"),NETWORKDAYS($J$114,F270,'Festivos Colombia'!$A$3:$A$22),0)</f>
        <v>0</v>
      </c>
      <c r="I270">
        <f>NETWORKDAYS($J$114,F270,'Festivos Colombia'!$A$3:$A$22)</f>
        <v>18</v>
      </c>
      <c r="J270">
        <f>H270</f>
        <v>0</v>
      </c>
    </row>
    <row r="271">
      <c r="D271" t="str">
        <v>C1055 - RIVERMATE</v>
      </c>
      <c r="E271">
        <v>52759167</v>
      </c>
      <c r="F271">
        <v>46050</v>
      </c>
      <c r="G271" t="str">
        <v>Cancelado</v>
      </c>
      <c r="H271">
        <f>IF(OR(G271="Sin pagar",G271="Pagar"),NETWORKDAYS($J$114,F271,'Festivos Colombia'!$A$3:$A$22),0)</f>
        <v>0</v>
      </c>
      <c r="I271">
        <f>NETWORKDAYS($J$114,F271,'Festivos Colombia'!$A$3:$A$22)</f>
        <v>18</v>
      </c>
      <c r="J271">
        <f>H271</f>
        <v>0</v>
      </c>
    </row>
    <row r="272">
      <c r="D272" t="str">
        <v>C1056 - EUROPORTAGE</v>
      </c>
      <c r="E272">
        <v>31840815</v>
      </c>
      <c r="F272">
        <v>46050</v>
      </c>
      <c r="G272" t="str">
        <v>Cancelado</v>
      </c>
      <c r="H272">
        <f>IF(OR(G272="Sin pagar",G272="Pagar"),NETWORKDAYS($J$114,F272,'Festivos Colombia'!$A$3:$A$22),0)</f>
        <v>0</v>
      </c>
      <c r="I272">
        <f>NETWORKDAYS($J$114,F272,'Festivos Colombia'!$A$3:$A$22)</f>
        <v>18</v>
      </c>
      <c r="J272">
        <f>H272</f>
        <v>0</v>
      </c>
    </row>
    <row r="273">
      <c r="D273" t="str">
        <v>C1058 - POC PHARMA</v>
      </c>
      <c r="E273">
        <v>3382000</v>
      </c>
      <c r="F273">
        <v>46050</v>
      </c>
      <c r="G273" t="str">
        <v>Cancelado</v>
      </c>
      <c r="H273">
        <f>IF(OR(G273="Sin pagar",G273="Pagar"),NETWORKDAYS($J$114,F273,'Festivos Colombia'!$A$3:$A$22),0)</f>
        <v>0</v>
      </c>
      <c r="I273">
        <f>NETWORKDAYS($J$114,F273,'Festivos Colombia'!$A$3:$A$22)</f>
        <v>18</v>
      </c>
      <c r="J273">
        <f>H273</f>
        <v>0</v>
      </c>
    </row>
    <row r="274">
      <c r="A274" t="str">
        <f>G274</f>
        <v>Cancelado</v>
      </c>
      <c r="B274">
        <f>IF(I274&lt;=-1,1,IF(I274&lt;=5,2,IF(I274&lt;=15,3,IF(H274&lt;=60,4))))</f>
        <v>4</v>
      </c>
      <c r="C274" t="str">
        <v>1 registro</v>
      </c>
      <c r="D274" t="str">
        <v xml:space="preserve">Embargo Fabian Morales- Banco Agrario </v>
      </c>
      <c r="E274">
        <v>1027020</v>
      </c>
      <c r="F274">
        <v>46050</v>
      </c>
      <c r="G274" t="str">
        <v>Cancelado</v>
      </c>
      <c r="H274">
        <f>IF(OR(G274="Sin pagar",G274="Pagar"),NETWORKDAYS($J$114,F274,'Festivos Colombia'!$A$3:$A$22),0)</f>
        <v>0</v>
      </c>
      <c r="I274">
        <f>NETWORKDAYS($J$114,F274,'Festivos Colombia'!$A$3:$A$22)</f>
        <v>18</v>
      </c>
      <c r="J274">
        <f>H274</f>
        <v>0</v>
      </c>
    </row>
    <row r="275">
      <c r="A275" t="str">
        <f>G275</f>
        <v>Cancelado</v>
      </c>
      <c r="B275">
        <f>IF(I275&lt;=-1,1,IF(I275&lt;=5,2,IF(I275&lt;=15,3,IF(H275&lt;=60,4))))</f>
        <v>4</v>
      </c>
      <c r="C275" t="str">
        <v>FPP443548</v>
      </c>
      <c r="D275" t="str">
        <v>People Pass bienestar, medios de transporte y alimentación</v>
      </c>
      <c r="E275">
        <v>13660409.89</v>
      </c>
      <c r="F275">
        <v>46050</v>
      </c>
      <c r="G275" t="str">
        <v>Cancelado</v>
      </c>
      <c r="H275">
        <f>IF(OR(G275="Sin pagar",G275="Pagar"),NETWORKDAYS($J$114,F275,'Festivos Colombia'!$A$3:$A$22),0)</f>
        <v>0</v>
      </c>
      <c r="I275">
        <f>NETWORKDAYS($J$114,F275,'Festivos Colombia'!$A$3:$A$22)</f>
        <v>18</v>
      </c>
      <c r="J275">
        <f>H275</f>
        <v>0</v>
      </c>
    </row>
    <row r="276">
      <c r="A276" t="str">
        <f>G276</f>
        <v>Cancelado</v>
      </c>
      <c r="B276">
        <f>IF(I276&lt;=-1,1,IF(I276&lt;=5,2,IF(I276&lt;=15,3,IF(H276&lt;=60,4))))</f>
        <v>4</v>
      </c>
      <c r="C276" t="str">
        <v>FPP444211/444270</v>
      </c>
      <c r="D276" t="str">
        <v>People Pass Reembolso Gastos viajes - Carga Inicial personal Root capital</v>
      </c>
      <c r="E276">
        <v>4652414</v>
      </c>
      <c r="F276">
        <v>46051</v>
      </c>
      <c r="G276" t="str">
        <v>Cancelado</v>
      </c>
      <c r="H276">
        <f>IF(OR(G276="Sin pagar",G276="Pagar"),NETWORKDAYS($J$114,F276,'Festivos Colombia'!$A$3:$A$22),0)</f>
        <v>0</v>
      </c>
      <c r="I276">
        <f>NETWORKDAYS($J$114,F276,'Festivos Colombia'!$A$3:$A$22)</f>
        <v>19</v>
      </c>
      <c r="J276">
        <f>H276</f>
        <v>0</v>
      </c>
    </row>
    <row r="277">
      <c r="A277" t="str">
        <f>G277</f>
        <v>Cancelado</v>
      </c>
      <c r="B277">
        <f>IF(I277&lt;=-1,1,IF(I277&lt;=5,2,IF(I277&lt;=15,3,IF(H277&lt;=60,4))))</f>
        <v>4</v>
      </c>
      <c r="C277" t="str">
        <v>18 registros</v>
      </c>
      <c r="D277" t="str">
        <v>Intereses censatías Insider</v>
      </c>
      <c r="E277">
        <v>25243289</v>
      </c>
      <c r="F277">
        <v>46052</v>
      </c>
      <c r="G277" t="str">
        <v>Cancelado</v>
      </c>
      <c r="H277">
        <f>IF(OR(G277="Sin pagar",G277="Pagar"),NETWORKDAYS($J$114,F277,'Festivos Colombia'!$A$3:$A$22),0)</f>
        <v>0</v>
      </c>
      <c r="I277">
        <f>NETWORKDAYS($J$114,F277,'Festivos Colombia'!$A$3:$A$22)</f>
        <v>20</v>
      </c>
      <c r="J277">
        <f>H277</f>
        <v>0</v>
      </c>
    </row>
    <row r="278">
      <c r="D278" t="str">
        <v>C1029 - INSIDER-Nómina liquidado</v>
      </c>
      <c r="E278">
        <v>14779560</v>
      </c>
      <c r="F278">
        <v>46052</v>
      </c>
      <c r="G278" t="str">
        <v>Cancelado</v>
      </c>
      <c r="H278">
        <f>IF(OR(G278="Sin pagar",G278="Pagar"),NETWORKDAYS($J$114,F278,'Festivos Colombia'!$A$3:$A$22),0)</f>
        <v>0</v>
      </c>
      <c r="I278">
        <f>NETWORKDAYS($J$114,F278,'Festivos Colombia'!$A$3:$A$22)</f>
        <v>20</v>
      </c>
      <c r="J278">
        <f>H278</f>
        <v>0</v>
      </c>
    </row>
    <row r="279">
      <c r="D279" t="str">
        <v xml:space="preserve">Ajuste nomina Viviana Guzman </v>
      </c>
      <c r="E279">
        <v>200000</v>
      </c>
      <c r="F279">
        <v>46055</v>
      </c>
      <c r="G279" t="str">
        <v>Cancelado</v>
      </c>
      <c r="H279">
        <f>IF(OR(G279="Sin pagar",G279="Pagar"),NETWORKDAYS($J$114,F279,'Festivos Colombia'!$A$3:$A$22),0)</f>
        <v>0</v>
      </c>
      <c r="I279">
        <f>NETWORKDAYS($J$114,F279,'Festivos Colombia'!$A$3:$A$22)</f>
        <v>21</v>
      </c>
      <c r="J279">
        <f>H279</f>
        <v>0</v>
      </c>
    </row>
    <row r="280">
      <c r="C280" t="str">
        <v>24 registros</v>
      </c>
      <c r="D280" t="str">
        <v>C1029 - INSIDER</v>
      </c>
      <c r="E280">
        <v>404631264</v>
      </c>
      <c r="F280">
        <v>46056</v>
      </c>
      <c r="G280" t="str">
        <v>Cancelado</v>
      </c>
      <c r="H280">
        <f>IF(OR(G280="Sin pagar",G280="Pagar"),NETWORKDAYS($J$114,F280,'Festivos Colombia'!$A$3:$A$22),0)</f>
        <v>0</v>
      </c>
      <c r="I280">
        <f>NETWORKDAYS($J$114,F280,'Festivos Colombia'!$A$3:$A$22)</f>
        <v>22</v>
      </c>
      <c r="J280">
        <f>H280</f>
        <v>0</v>
      </c>
    </row>
    <row r="281">
      <c r="D281" t="str">
        <v xml:space="preserve">LIQUIDACIONES </v>
      </c>
      <c r="E281">
        <f>SUBTOTAL(9,E282:E294)</f>
        <v>109074796</v>
      </c>
    </row>
    <row r="282">
      <c r="A282" t="e">
        <f>#REF!</f>
        <v>#REF!</v>
      </c>
      <c r="B282">
        <f>IF(I282&lt;=-1,1,IF(I282&lt;=5,2,IF(I282&lt;=15,3,IF(H282&lt;=60,4))))</f>
        <v>2</v>
      </c>
      <c r="D282" t="str">
        <v>Liquidación Isabel Aguirre Guarin-remofirst</v>
      </c>
      <c r="E282">
        <f>11757931*0</f>
        <v>0</v>
      </c>
      <c r="F282">
        <v>46027</v>
      </c>
      <c r="G282" t="str">
        <v>Cancelado</v>
      </c>
      <c r="H282">
        <f>IF(OR(G282="Sin pagar",G282="Pagar"),NETWORKDAYS($J$114,F282,'Festivos Colombia'!$A$3:$A$22),0)</f>
        <v>0</v>
      </c>
      <c r="I282">
        <f>NETWORKDAYS($J$114,F282,'Festivos Colombia'!$A$3:$A$22)</f>
        <v>2</v>
      </c>
      <c r="J282">
        <f>H282</f>
        <v>0</v>
      </c>
    </row>
    <row r="283">
      <c r="A283" t="e">
        <f>#REF!</f>
        <v>#REF!</v>
      </c>
      <c r="B283">
        <f>IF(I283&lt;=-1,1,IF(I283&lt;=5,2,IF(I283&lt;=15,3,IF(H283&lt;=60,4))))</f>
        <v>2</v>
      </c>
      <c r="D283" t="str">
        <v>Liquidación Jonathan Novoa Cain -remofirst</v>
      </c>
      <c r="E283">
        <f>7988061*0</f>
        <v>0</v>
      </c>
      <c r="F283">
        <v>46027</v>
      </c>
      <c r="G283" t="str">
        <v>Cancelado</v>
      </c>
      <c r="H283">
        <f>IF(OR(G283="Sin pagar",G283="Pagar"),NETWORKDAYS($J$114,F283,'Festivos Colombia'!$A$3:$A$22),0)</f>
        <v>0</v>
      </c>
      <c r="I283">
        <f>NETWORKDAYS($J$114,F283,'Festivos Colombia'!$A$3:$A$22)</f>
        <v>2</v>
      </c>
      <c r="J283">
        <f>H283</f>
        <v>0</v>
      </c>
    </row>
    <row r="284">
      <c r="A284" t="e">
        <f>#REF!</f>
        <v>#REF!</v>
      </c>
      <c r="B284">
        <f>IF(I284&lt;=-1,1,IF(I284&lt;=5,2,IF(I284&lt;=15,3,IF(H284&lt;=60,4))))</f>
        <v>3</v>
      </c>
      <c r="D284" t="str">
        <v>Liquidación Juan Felipe Rodriguez Alarcón</v>
      </c>
      <c r="E284">
        <v>7714654</v>
      </c>
      <c r="F284">
        <v>46035</v>
      </c>
      <c r="G284" t="str">
        <v>Cancelado</v>
      </c>
      <c r="H284">
        <f>IF(OR(G284="Sin pagar",G284="Pagar"),NETWORKDAYS($J$114,F284,'Festivos Colombia'!$A$3:$A$22),0)</f>
        <v>0</v>
      </c>
      <c r="I284">
        <f>NETWORKDAYS($J$114,F284,'Festivos Colombia'!$A$3:$A$22)</f>
        <v>7</v>
      </c>
      <c r="J284">
        <f>H284</f>
        <v>0</v>
      </c>
    </row>
    <row r="285">
      <c r="A285" t="e">
        <f>#REF!</f>
        <v>#REF!</v>
      </c>
      <c r="B285">
        <f>IF(I285&lt;=-1,1,IF(I285&lt;=5,2,IF(I285&lt;=15,3,IF(H285&lt;=60,4))))</f>
        <v>3</v>
      </c>
      <c r="D285" t="str">
        <v>Liquidación Diana Marcela Hernandez Nieto -S&amp;P</v>
      </c>
      <c r="E285">
        <v>5791128</v>
      </c>
      <c r="F285">
        <v>46042</v>
      </c>
      <c r="G285" t="str">
        <v>Cancelado</v>
      </c>
      <c r="H285">
        <f>IF(OR(G285="Sin pagar",G285="Pagar"),NETWORKDAYS($J$114,F285,'Festivos Colombia'!$A$3:$A$22),0)</f>
        <v>0</v>
      </c>
      <c r="I285">
        <f>NETWORKDAYS($J$114,F285,'Festivos Colombia'!$A$3:$A$22)</f>
        <v>12</v>
      </c>
      <c r="J285">
        <f>H285</f>
        <v>0</v>
      </c>
    </row>
    <row r="286">
      <c r="A286" t="e">
        <f>#REF!</f>
        <v>#REF!</v>
      </c>
      <c r="B286">
        <f>IF(I286&lt;=-1,1,IF(I286&lt;=5,2,IF(I286&lt;=15,3,IF(H286&lt;=60,4))))</f>
        <v>3</v>
      </c>
      <c r="D286" t="str">
        <v>Liquidación Lina Marcela Chinome Guio  -S&amp;P</v>
      </c>
      <c r="E286">
        <v>1952947</v>
      </c>
      <c r="F286">
        <v>46042</v>
      </c>
      <c r="G286" t="str">
        <v>Cancelado</v>
      </c>
      <c r="H286">
        <f>IF(OR(G286="Sin pagar",G286="Pagar"),NETWORKDAYS($J$114,F286,'Festivos Colombia'!$A$3:$A$22),0)</f>
        <v>0</v>
      </c>
      <c r="I286">
        <f>NETWORKDAYS($J$114,F286,'Festivos Colombia'!$A$3:$A$22)</f>
        <v>12</v>
      </c>
      <c r="J286">
        <f>H286</f>
        <v>0</v>
      </c>
    </row>
    <row r="287">
      <c r="A287" t="e">
        <f>#REF!</f>
        <v>#REF!</v>
      </c>
      <c r="B287">
        <f>IF(I287&lt;=-1,1,IF(I287&lt;=5,2,IF(I287&lt;=15,3,IF(H287&lt;=60,4))))</f>
        <v>4</v>
      </c>
      <c r="D287" t="str">
        <v>Liquidación Susana Cano Alvarez -remofirst</v>
      </c>
      <c r="E287">
        <v>25811773</v>
      </c>
      <c r="F287">
        <v>46050</v>
      </c>
      <c r="G287" t="str">
        <v>Cancelado</v>
      </c>
      <c r="H287">
        <f>IF(OR(G287="Sin pagar",G287="Pagar"),NETWORKDAYS($J$114,F287,'Festivos Colombia'!$A$3:$A$22),0)</f>
        <v>0</v>
      </c>
      <c r="I287">
        <f>NETWORKDAYS($J$114,F287,'Festivos Colombia'!$A$3:$A$22)</f>
        <v>18</v>
      </c>
      <c r="J287">
        <f>H287</f>
        <v>0</v>
      </c>
    </row>
    <row r="288">
      <c r="A288" t="e">
        <f>#REF!</f>
        <v>#REF!</v>
      </c>
      <c r="B288">
        <f>IF(I288&lt;=-1,1,IF(I288&lt;=5,2,IF(I288&lt;=15,3,IF(H288&lt;=60,4))))</f>
        <v>4</v>
      </c>
      <c r="D288" t="str">
        <v>Liquidación Lady Tatiana Ballesteros Zuleta-remofirst</v>
      </c>
      <c r="E288">
        <v>122093</v>
      </c>
      <c r="F288">
        <v>46050</v>
      </c>
      <c r="G288" t="str">
        <v>Cancelado</v>
      </c>
      <c r="H288">
        <f>IF(OR(G288="Sin pagar",G288="Pagar"),NETWORKDAYS($J$114,F288,'Festivos Colombia'!$A$3:$A$22),0)</f>
        <v>0</v>
      </c>
      <c r="I288">
        <f>NETWORKDAYS($J$114,F288,'Festivos Colombia'!$A$3:$A$22)</f>
        <v>18</v>
      </c>
      <c r="J288">
        <f>H288</f>
        <v>0</v>
      </c>
    </row>
    <row r="289">
      <c r="A289" t="e">
        <f>#REF!</f>
        <v>#REF!</v>
      </c>
      <c r="B289">
        <f>IF(I289&lt;=-1,1,IF(I289&lt;=5,2,IF(I289&lt;=15,3,IF(H289&lt;=60,4))))</f>
        <v>4</v>
      </c>
      <c r="D289" t="str">
        <v>Liquidación Jesus Dair Yanes Espitia-remofirst</v>
      </c>
      <c r="E289">
        <v>661046</v>
      </c>
      <c r="F289">
        <v>46052</v>
      </c>
      <c r="G289" t="str">
        <v>Cancelado</v>
      </c>
      <c r="H289">
        <f>IF(OR(G289="Sin pagar",G289="Pagar"),NETWORKDAYS($J$114,F289,'Festivos Colombia'!$A$3:$A$22),0)</f>
        <v>0</v>
      </c>
      <c r="I289">
        <f>NETWORKDAYS($J$114,F289,'Festivos Colombia'!$A$3:$A$22)</f>
        <v>20</v>
      </c>
      <c r="J289">
        <f>H289</f>
        <v>0</v>
      </c>
    </row>
    <row r="290">
      <c r="A290" t="e">
        <f>#REF!</f>
        <v>#REF!</v>
      </c>
      <c r="B290">
        <f>IF(I290&lt;=-1,1,IF(I290&lt;=5,2,IF(I290&lt;=15,3,IF(H290&lt;=60,4))))</f>
        <v>4</v>
      </c>
      <c r="D290" t="str">
        <v>Liquidación Juan José Cano Solorzano  -remofirst</v>
      </c>
      <c r="E290">
        <v>5999131</v>
      </c>
      <c r="F290">
        <v>46052</v>
      </c>
      <c r="G290" t="str">
        <v>Cancelado</v>
      </c>
      <c r="H290">
        <f>IF(OR(G290="Sin pagar",G290="Pagar"),NETWORKDAYS($J$114,F290,'Festivos Colombia'!$A$3:$A$22),0)</f>
        <v>0</v>
      </c>
      <c r="I290">
        <f>NETWORKDAYS($J$114,F290,'Festivos Colombia'!$A$3:$A$22)</f>
        <v>20</v>
      </c>
      <c r="J290">
        <f>H290</f>
        <v>0</v>
      </c>
    </row>
    <row r="291">
      <c r="A291" t="e">
        <f>#REF!</f>
        <v>#REF!</v>
      </c>
      <c r="B291">
        <f>IF(I291&lt;=-1,1,IF(I291&lt;=5,2,IF(I291&lt;=15,3,IF(H291&lt;=60,4))))</f>
        <v>4</v>
      </c>
      <c r="D291" t="str">
        <v>Liquidación Kelvin Jetse Marquez Castillo -Insider</v>
      </c>
      <c r="E291">
        <v>9285137</v>
      </c>
      <c r="F291">
        <v>46052</v>
      </c>
      <c r="G291" t="str">
        <v>Cancelado</v>
      </c>
      <c r="H291">
        <f>IF(OR(G291="Sin pagar",G291="Pagar"),NETWORKDAYS($J$114,F291,'Festivos Colombia'!$A$3:$A$22),0)</f>
        <v>0</v>
      </c>
      <c r="I291">
        <f>NETWORKDAYS($J$114,F291,'Festivos Colombia'!$A$3:$A$22)</f>
        <v>20</v>
      </c>
      <c r="J291">
        <f>H291</f>
        <v>0</v>
      </c>
    </row>
    <row r="292">
      <c r="A292" t="e">
        <f>#REF!</f>
        <v>#REF!</v>
      </c>
      <c r="B292">
        <f>IF(I292&lt;=-1,1,IF(I292&lt;=5,2,IF(I292&lt;=15,3,IF(H292&lt;=60,4))))</f>
        <v>4</v>
      </c>
      <c r="D292" t="str">
        <v>Liquidación Nelson Daynel Marquez castillo  -Insider</v>
      </c>
      <c r="E292">
        <v>13535015</v>
      </c>
      <c r="F292">
        <v>46052</v>
      </c>
      <c r="G292" t="str">
        <v>Cancelado</v>
      </c>
      <c r="H292">
        <f>IF(OR(G292="Sin pagar",G292="Pagar"),NETWORKDAYS($J$114,F292,'Festivos Colombia'!$A$3:$A$22),0)</f>
        <v>0</v>
      </c>
      <c r="I292">
        <f>NETWORKDAYS($J$114,F292,'Festivos Colombia'!$A$3:$A$22)</f>
        <v>20</v>
      </c>
      <c r="J292">
        <f>H292</f>
        <v>0</v>
      </c>
    </row>
    <row r="293">
      <c r="A293" t="e">
        <f>#REF!</f>
        <v>#REF!</v>
      </c>
      <c r="B293">
        <f>IF(I293&lt;=-1,1,IF(I293&lt;=5,2,IF(I293&lt;=15,3,IF(H293&lt;=60,4))))</f>
        <v>4</v>
      </c>
      <c r="D293" t="str">
        <v>Liquidación Daniel Ricardo Cifuentes bohorquez  -Insider</v>
      </c>
      <c r="E293">
        <v>19626721</v>
      </c>
      <c r="F293">
        <v>46052</v>
      </c>
      <c r="G293" t="str">
        <v>Cancelado</v>
      </c>
      <c r="H293">
        <f>IF(OR(G293="Sin pagar",G293="Pagar"),NETWORKDAYS($J$114,F293,'Festivos Colombia'!$A$3:$A$22),0)</f>
        <v>0</v>
      </c>
      <c r="I293">
        <f>NETWORKDAYS($J$114,F293,'Festivos Colombia'!$A$3:$A$22)</f>
        <v>20</v>
      </c>
      <c r="J293">
        <f>H293</f>
        <v>0</v>
      </c>
    </row>
    <row r="294">
      <c r="A294" t="e">
        <f>#REF!</f>
        <v>#REF!</v>
      </c>
      <c r="B294">
        <f>IF(I294&lt;=-1,1,IF(I294&lt;=5,2,IF(I294&lt;=15,3,IF(H294&lt;=60,4))))</f>
        <v>4</v>
      </c>
      <c r="D294" t="str">
        <v>Liquidación Jonathan Arley Acero Florez -Insider</v>
      </c>
      <c r="E294">
        <v>18575151</v>
      </c>
      <c r="F294">
        <v>46052</v>
      </c>
      <c r="G294" t="str">
        <v>Cancelado</v>
      </c>
      <c r="H294">
        <f>IF(OR(G294="Sin pagar",G294="Pagar"),NETWORKDAYS($J$114,F294,'Festivos Colombia'!$A$3:$A$22),0)</f>
        <v>0</v>
      </c>
      <c r="I294">
        <f>NETWORKDAYS($J$114,F294,'Festivos Colombia'!$A$3:$A$22)</f>
        <v>20</v>
      </c>
      <c r="J294">
        <f>H294</f>
        <v>0</v>
      </c>
    </row>
    <row r="295">
      <c r="D295" t="str">
        <v>IMPREVISTO</v>
      </c>
      <c r="E295">
        <f>SUBTOTAL(9,E296:E312)</f>
        <v>18377275.7</v>
      </c>
    </row>
    <row r="296">
      <c r="A296" t="str">
        <f>G296</f>
        <v>Cancelado</v>
      </c>
      <c r="B296">
        <f>IF(I296&lt;=-1,1,IF(I296&lt;=5,2,IF(I296&lt;=15,3,IF(H296&lt;=60,4))))</f>
        <v>2</v>
      </c>
      <c r="D296" t="str">
        <v>Reembolso gastos Sandra Bello</v>
      </c>
      <c r="E296">
        <v>197300</v>
      </c>
      <c r="F296">
        <v>46029</v>
      </c>
      <c r="G296" t="str">
        <v>Cancelado</v>
      </c>
      <c r="H296">
        <f>IF(OR(G296="Sin pagar",G296="Pagar"),NETWORKDAYS($J$114,F296,'Festivos Colombia'!$A$3:$A$22),0)</f>
        <v>0</v>
      </c>
      <c r="I296">
        <f>NETWORKDAYS($J$114,F296,'Festivos Colombia'!$A$3:$A$22)</f>
        <v>4</v>
      </c>
      <c r="J296">
        <f>H296</f>
        <v>0</v>
      </c>
    </row>
    <row r="297">
      <c r="A297" t="str">
        <f>G297</f>
        <v>Cancelado</v>
      </c>
      <c r="B297">
        <f>IF(I297&lt;=-1,1,IF(I297&lt;=5,2,IF(I297&lt;=15,3,IF(H297&lt;=60,4))))</f>
        <v>2</v>
      </c>
      <c r="D297" t="str">
        <v>Pago Anexo póliza de contrato Petrobras Seguros Mundial</v>
      </c>
      <c r="E297">
        <v>30934.05</v>
      </c>
      <c r="F297">
        <v>46030</v>
      </c>
      <c r="G297" t="str">
        <v>Cancelado</v>
      </c>
      <c r="H297">
        <f>IF(OR(G297="Sin pagar",G297="Pagar"),NETWORKDAYS($J$114,F297,'Festivos Colombia'!$A$3:$A$22),0)</f>
        <v>0</v>
      </c>
      <c r="I297">
        <f>NETWORKDAYS($J$114,F297,'Festivos Colombia'!$A$3:$A$22)</f>
        <v>5</v>
      </c>
      <c r="J297">
        <f>H297</f>
        <v>0</v>
      </c>
    </row>
    <row r="298">
      <c r="A298" t="str">
        <f>G298</f>
        <v>Cancelado</v>
      </c>
      <c r="B298">
        <f>IF(I298&lt;=-1,1,IF(I298&lt;=5,2,IF(I298&lt;=15,3,IF(H298&lt;=60,4))))</f>
        <v>3</v>
      </c>
      <c r="D298" t="str">
        <v>Reembolso gastos Luisa Diaz pago Linkedln del 20 diciembre</v>
      </c>
      <c r="E298">
        <v>417960.65</v>
      </c>
      <c r="F298">
        <v>46031</v>
      </c>
      <c r="G298" t="str">
        <v>Cancelado</v>
      </c>
      <c r="H298">
        <f>IF(OR(G298="Sin pagar",G298="Pagar"),NETWORKDAYS($J$114,F298,'Festivos Colombia'!$A$3:$A$22),0)</f>
        <v>0</v>
      </c>
      <c r="I298">
        <f>NETWORKDAYS($J$114,F298,'Festivos Colombia'!$A$3:$A$22)</f>
        <v>6</v>
      </c>
      <c r="J298">
        <f>H298</f>
        <v>0</v>
      </c>
    </row>
    <row r="299">
      <c r="A299" t="str">
        <f>G299</f>
        <v>Cancelado</v>
      </c>
      <c r="B299">
        <f>IF(I299&lt;=-1,1,IF(I299&lt;=5,2,IF(I299&lt;=15,3,IF(H299&lt;=60,4))))</f>
        <v>3</v>
      </c>
      <c r="D299" t="str">
        <v>Préstamo Viviana Guzman</v>
      </c>
      <c r="E299">
        <v>2000000</v>
      </c>
      <c r="F299">
        <v>46031</v>
      </c>
      <c r="G299" t="str">
        <v>Cancelado</v>
      </c>
      <c r="H299">
        <f>IF(OR(G299="Sin pagar",G299="Pagar"),NETWORKDAYS($J$114,F299,'Festivos Colombia'!$A$3:$A$22),0)</f>
        <v>0</v>
      </c>
      <c r="I299">
        <f>NETWORKDAYS($J$114,F299,'Festivos Colombia'!$A$3:$A$22)</f>
        <v>6</v>
      </c>
      <c r="J299">
        <f>H299</f>
        <v>0</v>
      </c>
    </row>
    <row r="300">
      <c r="A300" t="str">
        <f>G300</f>
        <v>Cancelado</v>
      </c>
      <c r="B300">
        <f>IF(I300&lt;=-1,1,IF(I300&lt;=5,2,IF(I300&lt;=15,3,IF(H300&lt;=60,4))))</f>
        <v>3</v>
      </c>
      <c r="D300" t="str">
        <v>Pago excedente registro acta nombramiento revisor fiscal</v>
      </c>
      <c r="E300">
        <v>8000</v>
      </c>
      <c r="F300">
        <v>46031</v>
      </c>
      <c r="G300" t="str">
        <v>Cancelado</v>
      </c>
      <c r="H300">
        <f>IF(OR(G300="Sin pagar",G300="Pagar"),NETWORKDAYS($J$114,F300,'Festivos Colombia'!$A$3:$A$22),0)</f>
        <v>0</v>
      </c>
      <c r="I300">
        <f>NETWORKDAYS($J$114,F300,'Festivos Colombia'!$A$3:$A$22)</f>
        <v>6</v>
      </c>
      <c r="J300">
        <f>H300</f>
        <v>0</v>
      </c>
    </row>
    <row r="301">
      <c r="A301" t="str">
        <f>G301</f>
        <v>Cancelado</v>
      </c>
      <c r="B301">
        <f>IF(I301&lt;=-1,1,IF(I301&lt;=5,2,IF(I301&lt;=15,3,IF(H301&lt;=60,4))))</f>
        <v>3</v>
      </c>
      <c r="C301" t="str">
        <v>9753257</v>
      </c>
      <c r="D301" t="str">
        <v>Solicitud camara y comercio de S&amp;P</v>
      </c>
      <c r="E301">
        <v>12100</v>
      </c>
      <c r="F301">
        <v>46036</v>
      </c>
      <c r="G301" t="str">
        <v>Cancelado</v>
      </c>
      <c r="H301">
        <f>IF(OR(G301="Sin pagar",G301="Pagar"),NETWORKDAYS($J$114,F301,'Festivos Colombia'!$A$3:$A$22),0)</f>
        <v>0</v>
      </c>
      <c r="I301">
        <f>NETWORKDAYS($J$114,F301,'Festivos Colombia'!$A$3:$A$22)</f>
        <v>8</v>
      </c>
      <c r="J301">
        <f>H301</f>
        <v>0</v>
      </c>
    </row>
    <row r="302">
      <c r="A302" t="str">
        <f>G302</f>
        <v>Cancelado</v>
      </c>
      <c r="B302">
        <f>IF(I302&lt;=-1,1,IF(I302&lt;=5,2,IF(I302&lt;=15,3,IF(H302&lt;=60,4))))</f>
        <v>3</v>
      </c>
      <c r="C302" t="str">
        <v>9778387</v>
      </c>
      <c r="D302" t="str">
        <v>Solicitud camara y comercio de S&amp;P</v>
      </c>
      <c r="E302">
        <v>12100</v>
      </c>
      <c r="F302">
        <v>46041</v>
      </c>
      <c r="G302" t="str">
        <v>Cancelado</v>
      </c>
      <c r="H302">
        <f>IF(OR(G302="Sin pagar",G302="Pagar"),NETWORKDAYS($J$114,F302,'Festivos Colombia'!$A$3:$A$22),0)</f>
        <v>0</v>
      </c>
      <c r="I302">
        <f>NETWORKDAYS($J$114,F302,'Festivos Colombia'!$A$3:$A$22)</f>
        <v>11</v>
      </c>
      <c r="J302">
        <f>H302</f>
        <v>0</v>
      </c>
    </row>
    <row r="303">
      <c r="A303" t="str">
        <f>G303</f>
        <v>Cancelado</v>
      </c>
      <c r="B303">
        <f>IF(I303&lt;=-1,1,IF(I303&lt;=5,2,IF(I303&lt;=15,3,IF(H303&lt;=60,4))))</f>
        <v>3</v>
      </c>
      <c r="D303" t="str">
        <v>Recarga Mensajeros Urbanos</v>
      </c>
      <c r="E303">
        <v>300000</v>
      </c>
      <c r="F303">
        <v>46036</v>
      </c>
      <c r="G303" t="str">
        <v>Cancelado</v>
      </c>
      <c r="H303">
        <f>IF(OR(G303="Sin pagar",G303="Pagar"),NETWORKDAYS($J$114,F303,'Festivos Colombia'!$A$3:$A$22),0)</f>
        <v>0</v>
      </c>
      <c r="I303">
        <f>NETWORKDAYS($J$114,F303,'Festivos Colombia'!$A$3:$A$22)</f>
        <v>8</v>
      </c>
      <c r="J303">
        <f>H303</f>
        <v>0</v>
      </c>
    </row>
    <row r="304">
      <c r="A304" t="str">
        <f>G304</f>
        <v>Cancelado</v>
      </c>
      <c r="B304">
        <f>IF(I304&lt;=-1,1,IF(I304&lt;=5,2,IF(I304&lt;=15,3,IF(H304&lt;=60,4))))</f>
        <v>3</v>
      </c>
      <c r="C304" t="str">
        <v>CRA2960458</v>
      </c>
      <c r="D304" t="str">
        <v>Pago envio DHL casa Yadira Pineda a Panamá</v>
      </c>
      <c r="E304">
        <v>195543</v>
      </c>
      <c r="F304">
        <v>46041</v>
      </c>
      <c r="G304" t="str">
        <v>Cancelado</v>
      </c>
      <c r="H304">
        <f>IF(OR(G304="Sin pagar",G304="Pagar"),NETWORKDAYS($J$114,F304,'Festivos Colombia'!$A$3:$A$22),0)</f>
        <v>0</v>
      </c>
      <c r="I304">
        <f>NETWORKDAYS($J$114,F304,'Festivos Colombia'!$A$3:$A$22)</f>
        <v>11</v>
      </c>
      <c r="J304">
        <f>H304</f>
        <v>0</v>
      </c>
    </row>
    <row r="305">
      <c r="A305" t="str">
        <f>G305</f>
        <v>Cancelado</v>
      </c>
      <c r="B305">
        <f>IF(I305&lt;=-1,1,IF(I305&lt;=5,2,IF(I305&lt;=15,3,IF(H305&lt;=60,4))))</f>
        <v>3</v>
      </c>
      <c r="D305" t="str">
        <v>Par servicios</v>
      </c>
      <c r="E305">
        <v>586432</v>
      </c>
      <c r="F305">
        <v>46042</v>
      </c>
      <c r="G305" t="str">
        <v>Cancelado</v>
      </c>
      <c r="H305">
        <f>IF(OR(G305="Sin pagar",G305="Pagar"),NETWORKDAYS($J$114,F305,'Festivos Colombia'!$A$3:$A$22),0)</f>
        <v>0</v>
      </c>
      <c r="I305">
        <f>NETWORKDAYS($J$114,F305,'Festivos Colombia'!$A$3:$A$22)</f>
        <v>12</v>
      </c>
      <c r="J305">
        <f>H305</f>
        <v>0</v>
      </c>
    </row>
    <row r="306">
      <c r="A306" t="str">
        <f>G306</f>
        <v>Cancelado</v>
      </c>
      <c r="B306">
        <f>IF(I306&lt;=-1,1,IF(I306&lt;=5,2,IF(I306&lt;=15,3,IF(H306&lt;=60,4))))</f>
        <v>3</v>
      </c>
      <c r="C306" t="str">
        <v>CALL 21071</v>
      </c>
      <c r="D306" t="str">
        <v xml:space="preserve">Compra Monitor Colaborador Victor Bustamante </v>
      </c>
      <c r="E306">
        <v>415000</v>
      </c>
      <c r="F306">
        <v>46042</v>
      </c>
      <c r="G306" t="str">
        <v>Cancelado</v>
      </c>
      <c r="H306">
        <f>IF(OR(G306="Sin pagar",G306="Pagar"),NETWORKDAYS($J$114,F306,'Festivos Colombia'!$A$3:$A$22),0)</f>
        <v>0</v>
      </c>
      <c r="I306">
        <f>NETWORKDAYS($J$114,F306,'Festivos Colombia'!$A$3:$A$22)</f>
        <v>12</v>
      </c>
      <c r="J306">
        <f>H306</f>
        <v>0</v>
      </c>
    </row>
    <row r="307">
      <c r="A307" t="str">
        <f>G307</f>
        <v>Cancelado</v>
      </c>
      <c r="B307">
        <f>IF(I307&lt;=-1,1,IF(I307&lt;=5,2,IF(I307&lt;=15,3,IF(H307&lt;=60,4))))</f>
        <v>3</v>
      </c>
      <c r="D307" t="str">
        <v>Pago Tajeta de presentación  William Romero</v>
      </c>
      <c r="E307">
        <v>141491</v>
      </c>
      <c r="F307">
        <v>46042</v>
      </c>
      <c r="G307" t="str">
        <v>Cancelado</v>
      </c>
      <c r="H307">
        <f>IF(OR(G307="Sin pagar",G307="Pagar"),NETWORKDAYS($J$114,F307,'Festivos Colombia'!$A$3:$A$22),0)</f>
        <v>0</v>
      </c>
      <c r="I307">
        <f>NETWORKDAYS($J$114,F307,'Festivos Colombia'!$A$3:$A$22)</f>
        <v>12</v>
      </c>
      <c r="J307">
        <f>H307</f>
        <v>0</v>
      </c>
    </row>
    <row r="308">
      <c r="A308" t="str">
        <f>G308</f>
        <v>Cancelado</v>
      </c>
      <c r="B308">
        <f>IF(I308&lt;=-1,1,IF(I308&lt;=5,2,IF(I308&lt;=15,3,IF(H308&lt;=60,4))))</f>
        <v>3</v>
      </c>
      <c r="D308" t="str">
        <v>Pago visa para Halja Pilvisto</v>
      </c>
      <c r="E308">
        <v>1039500</v>
      </c>
      <c r="F308">
        <v>46044</v>
      </c>
      <c r="G308" t="str">
        <v>Cancelado</v>
      </c>
      <c r="H308">
        <f>IF(OR(G308="Sin pagar",G308="Pagar"),NETWORKDAYS($J$114,F308,'Festivos Colombia'!$A$3:$A$22),0)</f>
        <v>0</v>
      </c>
      <c r="I308">
        <f>NETWORKDAYS($J$114,F308,'Festivos Colombia'!$A$3:$A$22)</f>
        <v>14</v>
      </c>
      <c r="J308">
        <f>H308</f>
        <v>0</v>
      </c>
    </row>
    <row r="309">
      <c r="A309" t="str">
        <f>G309</f>
        <v>Cancelado</v>
      </c>
      <c r="B309">
        <f>IF(I309&lt;=-1,1,IF(I309&lt;=5,2,IF(I309&lt;=15,3,IF(H309&lt;=60,4))))</f>
        <v>4</v>
      </c>
      <c r="D309" t="str">
        <v>Envio de dinero a cuenta BAC panama para fondeo USD 750 y prestamo Nomina global PA USD 2000</v>
      </c>
      <c r="E309">
        <v>10760100</v>
      </c>
      <c r="F309">
        <v>46048</v>
      </c>
      <c r="G309" t="str">
        <v>Cancelado</v>
      </c>
      <c r="H309">
        <f>IF(OR(G309="Sin pagar",G309="Pagar"),NETWORKDAYS($J$114,F309,'Festivos Colombia'!$A$3:$A$22),0)</f>
        <v>0</v>
      </c>
      <c r="I309">
        <f>NETWORKDAYS($J$114,F309,'Festivos Colombia'!$A$3:$A$22)</f>
        <v>16</v>
      </c>
      <c r="J309">
        <f>H309</f>
        <v>0</v>
      </c>
    </row>
    <row r="310">
      <c r="D310" t="str">
        <v>Pago estudio de visa Bernhard Laugallies - Europortage</v>
      </c>
      <c r="E310">
        <v>207900</v>
      </c>
      <c r="F310">
        <v>46049</v>
      </c>
      <c r="G310" t="str">
        <v>Cancelado</v>
      </c>
    </row>
    <row r="311">
      <c r="A311" t="str">
        <f>G311</f>
        <v>Cancelado</v>
      </c>
      <c r="B311">
        <f>IF(I311&lt;=-1,1,IF(I311&lt;=5,2,IF(I311&lt;=15,3,IF(H311&lt;=60,4))))</f>
        <v>4</v>
      </c>
      <c r="C311" t="str">
        <v>9830901</v>
      </c>
      <c r="D311" t="str">
        <v>Solicitud camara y comercio de S&amp;P</v>
      </c>
      <c r="E311">
        <v>12100</v>
      </c>
      <c r="F311">
        <v>46050</v>
      </c>
      <c r="G311" t="str">
        <v>Cancelado</v>
      </c>
      <c r="H311">
        <f>IF(OR(G311="Sin pagar",G311="Pagar"),NETWORKDAYS($J$114,F311,'Festivos Colombia'!$A$3:$A$22),0)</f>
        <v>0</v>
      </c>
      <c r="I311">
        <f>NETWORKDAYS($J$114,F311,'Festivos Colombia'!$A$3:$A$22)</f>
        <v>18</v>
      </c>
      <c r="J311">
        <f>H311</f>
        <v>0</v>
      </c>
    </row>
    <row r="312">
      <c r="A312" t="str">
        <f>G312</f>
        <v>Cancelado</v>
      </c>
      <c r="B312">
        <f>IF(I312&lt;=-1,1,IF(I312&lt;=5,2,IF(I312&lt;=15,3,IF(H312&lt;=60,4))))</f>
        <v>4</v>
      </c>
      <c r="C312" t="str">
        <v>FO-GC-PP-001</v>
      </c>
      <c r="D312" t="str">
        <v>Donación de cuadernos</v>
      </c>
      <c r="E312">
        <v>2040815</v>
      </c>
      <c r="F312">
        <v>46050</v>
      </c>
      <c r="G312" t="str">
        <v>Cancelado</v>
      </c>
      <c r="H312">
        <f>IF(OR(G312="Sin pagar",G312="Pagar"),NETWORKDAYS($J$114,F312,'Festivos Colombia'!$A$3:$A$22),0)</f>
        <v>0</v>
      </c>
      <c r="I312">
        <f>NETWORKDAYS($J$114,F312,'Festivos Colombia'!$A$3:$A$22)</f>
        <v>18</v>
      </c>
      <c r="J312">
        <f>H312</f>
        <v>0</v>
      </c>
    </row>
    <row r="313">
      <c r="D313" t="str">
        <v>TOTAL EGRESOS</v>
      </c>
      <c r="E313">
        <f>SUBTOTAL(9,E116:E312)</f>
        <v>2644604723.7284007</v>
      </c>
    </row>
    <row r="315">
      <c r="D315" t="str">
        <v>SALDO</v>
      </c>
      <c r="E315">
        <f>E111-E313</f>
        <v>62149996.55606985</v>
      </c>
    </row>
    <row r="316">
      <c r="D316" t="str">
        <v xml:space="preserve">% </v>
      </c>
      <c r="E316">
        <f>IF($E$111=0,0,E315/$E$111)</f>
        <v>0.02296107441517202</v>
      </c>
    </row>
    <row r="318">
      <c r="D318" t="str">
        <v>Nombre</v>
      </c>
    </row>
    <row r="319">
      <c r="D319" t="str">
        <v>Jerson Porras -Tarjeta 7</v>
      </c>
      <c r="E319" t="str">
        <v>Carestream</v>
      </c>
    </row>
    <row r="320">
      <c r="D320" t="str">
        <v>Monica Fabiana Hernandez Pinto - Tarjeta 8</v>
      </c>
      <c r="E320" t="str">
        <v>Root capital</v>
      </c>
    </row>
    <row r="324">
      <c r="D324" t="str">
        <v>Pagos del 01 al 31 enero</v>
      </c>
      <c r="E324">
        <v>0</v>
      </c>
    </row>
    <row r="325">
      <c r="D325" t="str">
        <v xml:space="preserve">4 x mil </v>
      </c>
      <c r="E325">
        <f>(E324*4)/1000</f>
        <v>0</v>
      </c>
    </row>
    <row r="326">
      <c r="D326" t="str">
        <v>Gran total</v>
      </c>
      <c r="E326">
        <f>E324+E325</f>
        <v>0</v>
      </c>
    </row>
    <row r="329">
      <c r="D329" t="str">
        <v>BBVA 05/02/2026</v>
      </c>
      <c r="E329">
        <v>234217.08</v>
      </c>
    </row>
    <row r="330">
      <c r="D330" t="str">
        <v>Bancolombia  05/02/2026</v>
      </c>
      <c r="E330">
        <f>63792408-1876629</f>
        <v>61915779</v>
      </c>
      <c r="K330">
        <f>63792408+768453995+68008797</f>
        <v>900255200</v>
      </c>
    </row>
    <row r="331">
      <c r="D331" t="str">
        <v xml:space="preserve">Total Caja </v>
      </c>
      <c r="E331">
        <f>SUM(E329:E330)</f>
        <v>62149996.08</v>
      </c>
    </row>
    <row r="333">
      <c r="D333" t="str">
        <v>Superavit o Deficit</v>
      </c>
      <c r="E333">
        <f>E331-E326</f>
        <v>62149996.08</v>
      </c>
    </row>
    <row r="336">
      <c r="D336" t="str">
        <v>Banco Panamá S&amp;P USD 05/02/2026</v>
      </c>
      <c r="E336">
        <v>2616.55</v>
      </c>
    </row>
    <row r="337">
      <c r="D337" t="str">
        <v>BAC Costa Rica  ₡ 05/02/2026</v>
      </c>
      <c r="E337">
        <v>30835916.76</v>
      </c>
      <c r="F337">
        <f>E337/505</f>
        <v>61061.221306930696</v>
      </c>
      <c r="G337">
        <f>F337+E338</f>
        <v>88518.15834805119</v>
      </c>
    </row>
    <row r="338">
      <c r="D338" t="str">
        <v>BAC Costa Rica  USD 05/02/2026</v>
      </c>
      <c r="E338">
        <v>27456.937041120487</v>
      </c>
    </row>
    <row r="339">
      <c r="D339" t="str">
        <v>Banco Bibankg Guatemala QTZ 05/02/2026</v>
      </c>
      <c r="E339">
        <v>648684.92</v>
      </c>
      <c r="F339">
        <f>E339/7.46</f>
        <v>86955.08310991958</v>
      </c>
      <c r="G339">
        <f>F339+E340</f>
        <v>88421.43310991957</v>
      </c>
    </row>
    <row r="340">
      <c r="D340" t="str">
        <v>Banco Bibankg Guatemala USD 05/02/2026</v>
      </c>
      <c r="E340">
        <v>1466.3499999999985</v>
      </c>
    </row>
    <row r="341">
      <c r="D341" t="str">
        <v>BCP Perú Soles 05/02/2026</v>
      </c>
      <c r="E341">
        <v>189294.65537186328</v>
      </c>
      <c r="F341">
        <f>E341/3.31</f>
        <v>57188.71763500401</v>
      </c>
      <c r="G341">
        <f>F341+E342+F343+E344</f>
        <v>57804.23814859918</v>
      </c>
      <c r="K341">
        <f>+J341-E341</f>
        <v>-189294.65537186328</v>
      </c>
    </row>
    <row r="342">
      <c r="D342" t="str">
        <v>BCP Perú USD 05/02/2026</v>
      </c>
      <c r="E342">
        <v>131.65</v>
      </c>
    </row>
    <row r="343">
      <c r="D343" t="str">
        <v>BBVA Perú Soles 05/02/2026</v>
      </c>
      <c r="E343">
        <v>1532.299999999993</v>
      </c>
      <c r="F343">
        <f>E343/3.31</f>
        <v>462.93051359516403</v>
      </c>
    </row>
    <row r="344">
      <c r="D344" t="str">
        <v>BBVA Perú USD 05/02/2026</v>
      </c>
      <c r="E344">
        <v>20.94000000000006</v>
      </c>
    </row>
    <row r="345">
      <c r="D345" t="str">
        <v>Bancolombia ACT&amp;J COPS 05/02/2026</v>
      </c>
      <c r="E345">
        <v>1986751.54</v>
      </c>
    </row>
    <row r="347">
      <c r="D347" t="str">
        <v>Banco Aliado Panamá USD 05/02/2026</v>
      </c>
      <c r="E347">
        <v>51472.96</v>
      </c>
      <c r="F347" t="str">
        <v>Dato Informativo no es CTA de S&amp;P</v>
      </c>
    </row>
    <row r="350">
      <c r="D350" t="str">
        <v>Bancos</v>
      </c>
      <c r="E350">
        <v>13</v>
      </c>
    </row>
    <row r="351">
      <c r="D351" t="str">
        <v>Cuentas</v>
      </c>
      <c r="E351">
        <v>17</v>
      </c>
    </row>
  </sheetData>
  <autoFilter ref="C115:K312"/>
  <mergeCells count="2">
    <mergeCell ref="D322:E322"/>
    <mergeCell ref="D335:E335"/>
  </mergeCells>
  <pageMargins left="0.7" right="0.7" top="0.75" bottom="0.75" header="0.3" footer="0.3"/>
  <ignoredErrors>
    <ignoredError numberStoredAsText="1" sqref="A1:X352"/>
  </ignoredErrors>
  <legacyDrawing r:id="rId1"/>
</worksheet>
</file>

<file path=xl/worksheets/sheet4.xml><?xml version="1.0" encoding="utf-8"?>
<worksheet xmlns="http://schemas.openxmlformats.org/spreadsheetml/2006/main" xmlns:r="http://schemas.openxmlformats.org/officeDocument/2006/relationships">
  <dimension ref="A1:X381"/>
  <sheetViews>
    <sheetView workbookViewId="0" rightToLeft="0"/>
  </sheetViews>
  <sheetData>
    <row r="1">
      <c r="E1">
        <v>42400</v>
      </c>
    </row>
    <row r="2">
      <c r="I2">
        <v>1</v>
      </c>
    </row>
    <row r="3">
      <c r="I3">
        <v>2</v>
      </c>
    </row>
    <row r="4">
      <c r="D4" t="str">
        <v>BANCOS</v>
      </c>
      <c r="E4">
        <f>SUBTOTAL(9,E5:E12)</f>
        <v>922776679.82</v>
      </c>
      <c r="I4">
        <v>3</v>
      </c>
    </row>
    <row r="5">
      <c r="D5" t="str">
        <v>Bancos</v>
      </c>
      <c r="E5">
        <f>ENERO!E329+900255200.74</f>
        <v>900489417.82</v>
      </c>
      <c r="I5">
        <v>4</v>
      </c>
    </row>
    <row r="6">
      <c r="C6" t="str">
        <v>Pagado</v>
      </c>
      <c r="D6" t="str">
        <v>Punto medical</v>
      </c>
      <c r="E6">
        <v>2670000</v>
      </c>
    </row>
    <row r="7">
      <c r="C7" t="str">
        <v>Pagado</v>
      </c>
      <c r="D7" t="str">
        <v>Devolución de dinero a cuenta BAC panamá para prestamo Nomina global PA USD 2000</v>
      </c>
      <c r="E7">
        <v>7200000</v>
      </c>
      <c r="I7">
        <v>4</v>
      </c>
    </row>
    <row r="8">
      <c r="C8" t="str">
        <v>Pagado</v>
      </c>
      <c r="D8" t="str">
        <v>Pago incapacidad Suramericana Lina Guio</v>
      </c>
      <c r="E8">
        <v>539025</v>
      </c>
    </row>
    <row r="9">
      <c r="C9" t="str">
        <v>Pagado</v>
      </c>
      <c r="D9" t="str">
        <v>Pago incapacidad Suramericana Ricardo Arambulo</v>
      </c>
      <c r="E9">
        <v>10920122</v>
      </c>
    </row>
    <row r="10">
      <c r="C10" t="str">
        <v>Pagado</v>
      </c>
      <c r="D10" t="str">
        <v>Pago Devolución saldo a favor suramericana</v>
      </c>
      <c r="E10">
        <v>432545</v>
      </c>
    </row>
    <row r="11">
      <c r="C11" t="str">
        <v>Pagado</v>
      </c>
      <c r="D11" t="str">
        <v>Pago Devolución pago tiquete Aereo Ana Guitierrez</v>
      </c>
      <c r="E11">
        <v>525570</v>
      </c>
    </row>
    <row r="12">
      <c r="C12" t="str">
        <v>Pagado</v>
      </c>
      <c r="D12" t="str">
        <v>Devolucion de dinero de Global Peo Services Panamá para el envio del pago SIPE Enero</v>
      </c>
    </row>
    <row r="13">
      <c r="D13" t="str">
        <v>CLIENTES</v>
      </c>
      <c r="E13">
        <f>SUBTOTAL(9,E14:E52)</f>
        <v>632068836.964</v>
      </c>
    </row>
    <row r="14">
      <c r="C14" t="str">
        <v>Sin Pagar</v>
      </c>
      <c r="D14" t="str">
        <v>ACT&amp;J Consultores Factura 1682</v>
      </c>
      <c r="E14">
        <f>1572392.28307*0</f>
        <v>0</v>
      </c>
    </row>
    <row r="15">
      <c r="C15" t="str">
        <v>Pagado</v>
      </c>
      <c r="D15" t="str">
        <v>AECID Factura # 6640</v>
      </c>
      <c r="E15">
        <f>34362712.65</f>
        <v>34362712.65</v>
      </c>
    </row>
    <row r="16">
      <c r="C16" t="str">
        <v>Pagado</v>
      </c>
      <c r="D16" t="str">
        <v>AECID Factura # 5-200</v>
      </c>
      <c r="E16">
        <f>2104000</f>
        <v>2104000</v>
      </c>
    </row>
    <row r="17">
      <c r="C17" t="str">
        <v>Pagado</v>
      </c>
      <c r="D17" t="str">
        <v>Clarke Modet factura # 6618</v>
      </c>
      <c r="E17">
        <v>2629357.62</v>
      </c>
    </row>
    <row r="18">
      <c r="C18" t="str">
        <v>Pagado</v>
      </c>
      <c r="D18" t="str">
        <v>Compassion international factura # 6717</v>
      </c>
      <c r="E18">
        <v>6766084.2</v>
      </c>
    </row>
    <row r="19">
      <c r="C19" t="str">
        <v>Pagado</v>
      </c>
      <c r="D19" t="str">
        <v>Consorcio HL-AB Factura #  6454</v>
      </c>
      <c r="E19">
        <v>318616.52</v>
      </c>
    </row>
    <row r="20">
      <c r="C20" t="str">
        <v>Pagado</v>
      </c>
      <c r="D20" t="str">
        <v>Monica Londoño Factura 6719</v>
      </c>
      <c r="E20">
        <f>190536</f>
        <v>190536</v>
      </c>
    </row>
    <row r="21">
      <c r="C21" t="str">
        <v>Pagado</v>
      </c>
      <c r="D21" t="str">
        <v>Corporación punto azul factura # 6503-6528</v>
      </c>
      <c r="E21">
        <v>3808077</v>
      </c>
    </row>
    <row r="22">
      <c r="C22" t="str">
        <v>Pagado</v>
      </c>
      <c r="D22" t="str">
        <v>Deel Facturas # 6407-6408-6409-6410-6411-6412-6413-6491-6492-6493-6494-6495</v>
      </c>
      <c r="E22">
        <v>39020833.800000004</v>
      </c>
      <c r="F22">
        <v>41322268.2006</v>
      </c>
      <c r="G22">
        <f>(E22-F22)</f>
        <v>-2301434.4005999938</v>
      </c>
    </row>
    <row r="23">
      <c r="C23" t="str">
        <v>Pagado</v>
      </c>
      <c r="D23" t="str">
        <v>Deel Facturas # 6415-6416-6417-6496-6497-6498-6499-126</v>
      </c>
      <c r="E23">
        <v>14229201.600000001</v>
      </c>
      <c r="F23">
        <v>14859057.597600002</v>
      </c>
      <c r="G23">
        <f>(E23-F23)</f>
        <v>-629855.9976000004</v>
      </c>
    </row>
    <row r="24">
      <c r="C24" t="str">
        <v>Pagado</v>
      </c>
      <c r="D24" t="str">
        <v>Deel Facturas #6165-6166-6167-6168-6169-6170-6171-6172-6173-6174-6249-6250-6251-6252-6253-6254-6255-6256-6257-6486-6487-6488-6489-6490-6581-6582-6583-6586-6587-6588-6589</v>
      </c>
      <c r="E24">
        <v>137942032.8</v>
      </c>
      <c r="F24">
        <v>146188672.03712</v>
      </c>
      <c r="G24">
        <f>(E24-F24)</f>
        <v>-8246639.2371200025</v>
      </c>
    </row>
    <row r="25">
      <c r="C25" t="str">
        <v>Pagado</v>
      </c>
      <c r="D25" t="str">
        <v>Deel Facturas # 6175-6176-6177-6178-6179-6258-6259-6260-6261-6262-6500-6592-164-6593-6594</v>
      </c>
      <c r="E25">
        <v>105848993.4</v>
      </c>
      <c r="F25">
        <v>112132374.73936</v>
      </c>
      <c r="G25">
        <f>(E25-F25)</f>
        <v>-6283381.339359999</v>
      </c>
      <c r="K25">
        <f>E19+E33+E39+E40</f>
        <v>35007674.52</v>
      </c>
    </row>
    <row r="26">
      <c r="C26" t="str">
        <v>Pagado</v>
      </c>
      <c r="D26" t="str">
        <v>Deel Facturas # 6584-6585</v>
      </c>
      <c r="E26">
        <v>7843526.399999999</v>
      </c>
      <c r="F26">
        <v>7981254.6888</v>
      </c>
      <c r="G26">
        <f>(E26-F26)</f>
        <v>-137728.2888000002</v>
      </c>
    </row>
    <row r="27">
      <c r="C27" t="str">
        <v>Pagado</v>
      </c>
      <c r="D27" t="str">
        <v>Deel Facturas # 6590-6591</v>
      </c>
      <c r="E27">
        <v>2747269.2</v>
      </c>
      <c r="F27">
        <v>2782525.8214</v>
      </c>
      <c r="G27">
        <f>(E27-F27)</f>
        <v>-35256.621399999596</v>
      </c>
    </row>
    <row r="28">
      <c r="C28" t="str">
        <v>Pagado</v>
      </c>
      <c r="D28" t="str">
        <v>Deel Facturas #6654-6655-6656-201-6657-6658</v>
      </c>
      <c r="E28">
        <v>13980796.399999999</v>
      </c>
      <c r="F28">
        <v>14014539.410400001</v>
      </c>
      <c r="G28">
        <f>(E28-F28)</f>
        <v>-33743.01040000282</v>
      </c>
    </row>
    <row r="29">
      <c r="C29" t="str">
        <v>Pagado</v>
      </c>
      <c r="D29" t="str">
        <v>Deel Facturas # 6645-6647-6648-6650-6651-6652-6653</v>
      </c>
      <c r="E29">
        <v>31640803.584000003</v>
      </c>
      <c r="F29">
        <v>31747484.944800004</v>
      </c>
      <c r="G29">
        <f>(E29-F29)</f>
        <v>-106681.36080000177</v>
      </c>
    </row>
    <row r="30">
      <c r="C30" t="str">
        <v>Sin Pagar</v>
      </c>
      <c r="D30" t="str">
        <v>Dinterweb factura # 5646-5725-5805-5892-5974-6061</v>
      </c>
      <c r="E30">
        <f>7528323*0</f>
        <v>0</v>
      </c>
    </row>
    <row r="31">
      <c r="C31" t="str">
        <v>Sin Pagar</v>
      </c>
      <c r="D31" t="str">
        <v>Distritech facturas # 6631 Llega por Panamá</v>
      </c>
      <c r="E31">
        <f>5391183.76*0</f>
        <v>0</v>
      </c>
    </row>
    <row r="32">
      <c r="C32" t="str">
        <v>Sin Pagar</v>
      </c>
      <c r="D32" t="str">
        <v xml:space="preserve">Dream Tyme resort </v>
      </c>
      <c r="E32">
        <f>23310882*0</f>
        <v>0</v>
      </c>
    </row>
    <row r="33">
      <c r="C33" t="str">
        <v>Pagado</v>
      </c>
      <c r="D33" t="str">
        <v>Ecohl facturas 6428-6429-6430</v>
      </c>
      <c r="E33">
        <v>1276724</v>
      </c>
    </row>
    <row r="34">
      <c r="C34" t="str">
        <v>Pagado</v>
      </c>
      <c r="D34" t="str">
        <v>Gilead Scense Colombia Factura # 6715</v>
      </c>
      <c r="E34">
        <v>1359917.21</v>
      </c>
    </row>
    <row r="35">
      <c r="C35" t="str">
        <v>Pagado</v>
      </c>
      <c r="D35" t="str">
        <v>Global CS Colombia SAS -factura # 6605-5-197</v>
      </c>
      <c r="E35">
        <v>20139313.66</v>
      </c>
    </row>
    <row r="36">
      <c r="C36" t="str">
        <v>Pagado</v>
      </c>
      <c r="D36" t="str">
        <v>Global Projects service AG facturas # 6315-27-45</v>
      </c>
      <c r="E36">
        <v>14472628.2</v>
      </c>
      <c r="F36">
        <v>15456075.3468</v>
      </c>
      <c r="G36">
        <f>(E36-F36)</f>
        <v>-983447.1468000002</v>
      </c>
    </row>
    <row r="37">
      <c r="C37" t="str">
        <v>Pagado</v>
      </c>
      <c r="D37" t="str">
        <v xml:space="preserve">Global Projects service AG facturas # 6534 </v>
      </c>
      <c r="E37">
        <v>2543700</v>
      </c>
      <c r="F37">
        <v>2739268</v>
      </c>
      <c r="G37">
        <f>(E37-F37)</f>
        <v>-195568</v>
      </c>
    </row>
    <row r="38">
      <c r="C38" t="str">
        <v>Pagado</v>
      </c>
      <c r="D38" t="str">
        <v>HL Gestiones factura # 6718</v>
      </c>
      <c r="E38">
        <v>1200756</v>
      </c>
      <c r="I38">
        <v>4</v>
      </c>
    </row>
    <row r="39">
      <c r="C39" t="str">
        <v>Pagado</v>
      </c>
      <c r="D39" t="str">
        <v>HL Ingenieros factura # 6441-6531-6548</v>
      </c>
      <c r="E39">
        <v>1088426</v>
      </c>
    </row>
    <row r="40">
      <c r="C40" t="str">
        <v>Pagado</v>
      </c>
      <c r="D40" t="str">
        <v>Hl Infraestructura factura # 6427-6431-6438-6444-6471-6476-6477</v>
      </c>
      <c r="E40">
        <v>32323908</v>
      </c>
    </row>
    <row r="41">
      <c r="C41" t="str">
        <v>Pagado</v>
      </c>
      <c r="D41" t="str">
        <v>Inversiones el Bosque factura # 6714</v>
      </c>
      <c r="E41">
        <v>2271097.44</v>
      </c>
    </row>
    <row r="42">
      <c r="C42" t="str">
        <v>Pagado</v>
      </c>
      <c r="D42" t="str">
        <v>Live Systems technology factura # 6466-6567</v>
      </c>
      <c r="E42">
        <v>2591024</v>
      </c>
    </row>
    <row r="43">
      <c r="C43" t="str">
        <v>Pagado</v>
      </c>
      <c r="D43" t="str">
        <v>Ortho Clinical Diagnostics # 6635</v>
      </c>
      <c r="E43">
        <v>1451213.81</v>
      </c>
    </row>
    <row r="44">
      <c r="C44" t="str">
        <v>Pagado</v>
      </c>
      <c r="D44" t="str">
        <v>Punto medical FV-4-6316-FV-4-6397-FV-4-6473-FV-4-6579 e intereses</v>
      </c>
      <c r="E44">
        <v>8046831.86</v>
      </c>
    </row>
    <row r="45">
      <c r="C45" t="str">
        <v>Pagado</v>
      </c>
      <c r="D45" t="str">
        <v xml:space="preserve">Safeguard 6400-6401-6384-6385 </v>
      </c>
      <c r="E45">
        <v>32219016.6</v>
      </c>
      <c r="F45">
        <v>34120335</v>
      </c>
      <c r="G45">
        <f>(E45-F45)</f>
        <v>-1901318.3999999985</v>
      </c>
    </row>
    <row r="46">
      <c r="C46" t="str">
        <v>Pagado</v>
      </c>
      <c r="D46" t="str">
        <v>Safeguard 6482-6483-6484</v>
      </c>
      <c r="E46">
        <v>26044852.8</v>
      </c>
      <c r="F46">
        <v>26853239.49</v>
      </c>
      <c r="G46">
        <f>(E46-F46)</f>
        <v>-808386.6899999976</v>
      </c>
    </row>
    <row r="47">
      <c r="C47" t="str">
        <v>Pagado</v>
      </c>
      <c r="D47" t="str">
        <v>S&amp;P Costa Rica factura Nro. 6481-6595-6642-6667</v>
      </c>
      <c r="E47">
        <f>4485*3650</f>
        <v>16370250</v>
      </c>
    </row>
    <row r="48">
      <c r="C48" t="str">
        <v>Pagado</v>
      </c>
      <c r="D48" t="str">
        <v>S&amp;P Guatemala factura Nro. 6302-6377-6480-6641-6666</v>
      </c>
      <c r="E48">
        <f>14122.03*3650</f>
        <v>51545409.5</v>
      </c>
    </row>
    <row r="49">
      <c r="C49" t="str">
        <v>Pagado</v>
      </c>
      <c r="D49" t="str">
        <v>S&amp;P Panamá Pendiente por aclarar las facturas</v>
      </c>
      <c r="E49">
        <f>3082*3650</f>
        <v>11249300</v>
      </c>
    </row>
    <row r="50">
      <c r="C50" t="str">
        <v>Sin Pagar</v>
      </c>
      <c r="D50" t="str">
        <v>Rejimetal  Factura # 4441-4524-4609-4688-4788-4865-4970-5060-5150-5272-5372-5485-5565-5642-5721-5802-588</v>
      </c>
      <c r="E50">
        <f>7370606*0</f>
        <v>0</v>
      </c>
    </row>
    <row r="51">
      <c r="C51" t="str">
        <v>Sin Pagar</v>
      </c>
      <c r="D51" t="str">
        <v>Soluciones ambientales punto azul Factura #  6529</v>
      </c>
      <c r="E51">
        <f>659409.77*0</f>
        <v>0</v>
      </c>
    </row>
    <row r="52">
      <c r="C52" t="str">
        <v>Pagado</v>
      </c>
      <c r="D52" t="str">
        <v>TPL Logistics factura # 6713</v>
      </c>
      <c r="E52">
        <v>2441626.71</v>
      </c>
    </row>
    <row r="53">
      <c r="D53" t="str">
        <v>PE</v>
      </c>
      <c r="E53">
        <f>SUBTOTAL(9,E54:E119)</f>
        <v>2632108004.6745005</v>
      </c>
      <c r="F53">
        <v>1</v>
      </c>
    </row>
    <row r="54">
      <c r="C54" t="str">
        <v>Pagado</v>
      </c>
      <c r="D54" t="str">
        <v>Action Factura # 6664</v>
      </c>
      <c r="E54">
        <v>1244283.46</v>
      </c>
      <c r="F54">
        <v>1208258.2638</v>
      </c>
      <c r="G54">
        <f>(E54-F54)</f>
        <v>36025.19619999989</v>
      </c>
    </row>
    <row r="55">
      <c r="C55" t="str">
        <v>Pagado</v>
      </c>
      <c r="D55" t="str">
        <v>Action Factura # 5-203</v>
      </c>
      <c r="E55">
        <v>11311972.84</v>
      </c>
      <c r="F55">
        <v>10984462.2252</v>
      </c>
      <c r="G55">
        <f>(E55-F55)</f>
        <v>327510.61480000056</v>
      </c>
    </row>
    <row r="56">
      <c r="C56" t="str">
        <v>Pagado</v>
      </c>
      <c r="D56" t="str">
        <v>Bubble BPM Factura # 6609 Enero</v>
      </c>
      <c r="E56">
        <v>439591.9897070901</v>
      </c>
      <c r="F56">
        <v>447027.7908</v>
      </c>
      <c r="G56">
        <f>(E56-F56)</f>
        <v>-7435.80109290994</v>
      </c>
    </row>
    <row r="57">
      <c r="C57" t="str">
        <v>Pagado</v>
      </c>
      <c r="D57" t="str">
        <v>Bubble BPM Factura # 5-175 Enero</v>
      </c>
      <c r="E57">
        <v>3996401.21029291</v>
      </c>
      <c r="F57">
        <v>4064001.2694000006</v>
      </c>
      <c r="G57">
        <f>(E57-F57)</f>
        <v>-67600.05910709035</v>
      </c>
    </row>
    <row r="58">
      <c r="C58" t="str">
        <v>Pagado</v>
      </c>
      <c r="D58" t="str">
        <v>Bubble BPM Factura # 6686</v>
      </c>
      <c r="E58">
        <v>460095.81992514024</v>
      </c>
      <c r="F58">
        <v>447484.6199</v>
      </c>
      <c r="G58">
        <f>(E58-F58)</f>
        <v>12611.20002514025</v>
      </c>
    </row>
    <row r="59">
      <c r="C59" t="str">
        <v>Pagado</v>
      </c>
      <c r="D59" t="str">
        <v>Bubble BPM Factura # 5-215</v>
      </c>
      <c r="E59">
        <v>4182685.9600748606</v>
      </c>
      <c r="F59">
        <v>4068038.7778999996</v>
      </c>
      <c r="G59">
        <f>(E59-F59)</f>
        <v>114647.18217486097</v>
      </c>
    </row>
    <row r="60">
      <c r="C60" t="str">
        <v>Pagado</v>
      </c>
      <c r="D60" t="str">
        <v>Edrington  Factura # 6671</v>
      </c>
      <c r="E60">
        <v>2232759.0912</v>
      </c>
      <c r="F60">
        <v>2169042.7968</v>
      </c>
      <c r="G60">
        <f>(E60-F60)</f>
        <v>63716.29440000001</v>
      </c>
    </row>
    <row r="61">
      <c r="C61" t="str">
        <v>Pagado</v>
      </c>
      <c r="D61" t="str">
        <v>Edrington  Factura # 5-205</v>
      </c>
      <c r="E61">
        <v>40595911.4752</v>
      </c>
      <c r="F61">
        <v>39437425.072799996</v>
      </c>
      <c r="G61">
        <f>(E61-F61)</f>
        <v>1158486.4024000019</v>
      </c>
    </row>
    <row r="62">
      <c r="C62" t="str">
        <v>Pagado</v>
      </c>
      <c r="D62" t="str">
        <v>EPDM Factura # 6683</v>
      </c>
      <c r="E62">
        <v>993693.3</v>
      </c>
      <c r="G62">
        <f>(E62-F62)*0</f>
        <v>0</v>
      </c>
    </row>
    <row r="63">
      <c r="C63" t="str">
        <v>Pagado</v>
      </c>
      <c r="D63" t="str">
        <v>EPDM Factura # 5-212</v>
      </c>
      <c r="E63">
        <v>9936933</v>
      </c>
      <c r="G63">
        <f>(E63-F63)*0</f>
        <v>0</v>
      </c>
    </row>
    <row r="64">
      <c r="C64" t="str">
        <v>Pagado</v>
      </c>
      <c r="D64" t="str">
        <v>Equus Global Expansion, LLC Factura # 6687</v>
      </c>
      <c r="E64">
        <v>657373.9589952454</v>
      </c>
      <c r="F64">
        <v>632480.835</v>
      </c>
      <c r="G64">
        <f>(E64-F64)</f>
        <v>24893.123995245434</v>
      </c>
    </row>
    <row r="65">
      <c r="C65" t="str">
        <v>Pagado</v>
      </c>
      <c r="D65" t="str">
        <v>Equus Global Expansion, LLC Factura # 5-216</v>
      </c>
      <c r="E65">
        <v>5337655.581004755</v>
      </c>
      <c r="F65">
        <v>5135531.781599999</v>
      </c>
      <c r="G65">
        <f>(E65-F65)</f>
        <v>202123.79940475523</v>
      </c>
    </row>
    <row r="66">
      <c r="C66" t="str">
        <v>Pagado</v>
      </c>
      <c r="D66" t="str">
        <v>Europortage Factura # 6673</v>
      </c>
      <c r="E66">
        <v>3008086.516245424</v>
      </c>
      <c r="F66">
        <v>2931678.9432</v>
      </c>
      <c r="G66">
        <f>(E66-F66)</f>
        <v>76407.57304542372</v>
      </c>
    </row>
    <row r="67">
      <c r="C67" t="str">
        <v>Pagado</v>
      </c>
      <c r="D67" t="str">
        <v>Europortage Factura # 5-207</v>
      </c>
      <c r="E67">
        <v>49910068.338154584</v>
      </c>
      <c r="F67">
        <v>48642316.506</v>
      </c>
      <c r="G67">
        <f>(E67-F67)</f>
        <v>1267751.832154587</v>
      </c>
    </row>
    <row r="68">
      <c r="C68" t="str">
        <v>Pagado</v>
      </c>
      <c r="D68" t="str">
        <v>Hemmebarsch GMBH &amp; Co KG , factura # 6623 Febrero</v>
      </c>
      <c r="E68">
        <v>689544.9600000001</v>
      </c>
      <c r="F68">
        <v>714384.0782</v>
      </c>
      <c r="G68">
        <f>(E68-F68)</f>
        <v>-24839.11819999991</v>
      </c>
    </row>
    <row r="69">
      <c r="C69" t="str">
        <v>Pagado</v>
      </c>
      <c r="D69" t="str">
        <v>Hemmebarsch GMBH &amp; Co KG , factura # 6624 Febrero</v>
      </c>
      <c r="E69">
        <v>460560</v>
      </c>
      <c r="F69">
        <v>477150.51249999995</v>
      </c>
      <c r="G69">
        <f>(E69-F69)</f>
        <v>-16590.512499999953</v>
      </c>
    </row>
    <row r="70">
      <c r="C70" t="str">
        <v>Pagado</v>
      </c>
      <c r="D70" t="str">
        <v>Hemmebarsch GMBH &amp; Co KG , factura # 5-189 Febrero</v>
      </c>
      <c r="E70">
        <v>6895632</v>
      </c>
      <c r="F70">
        <v>7144029.7524999995</v>
      </c>
      <c r="G70">
        <f>(E70-F70)</f>
        <v>-248397.75249999948</v>
      </c>
    </row>
    <row r="71">
      <c r="C71" t="str">
        <v>Pagado</v>
      </c>
      <c r="D71" t="str">
        <v>Hemmebarsch GMBH &amp; Co KG , factura # 5-190 Febrero</v>
      </c>
      <c r="E71">
        <v>4605527.04</v>
      </c>
      <c r="F71">
        <v>4771429.5368</v>
      </c>
      <c r="G71">
        <f>(E71-F71)</f>
        <v>-165902.49679999985</v>
      </c>
    </row>
    <row r="72">
      <c r="C72" t="str">
        <v>Sin Pagar</v>
      </c>
      <c r="D72" t="str">
        <v>Hemmebarsch GMBH &amp; Co KG , factura # 6700 Marzo</v>
      </c>
      <c r="E72">
        <f>337854.6085*0</f>
        <v>0</v>
      </c>
      <c r="G72">
        <f>(E72-F72)</f>
        <v>0</v>
      </c>
    </row>
    <row r="73">
      <c r="C73" t="str">
        <v>Sin Pagar</v>
      </c>
      <c r="D73" t="str">
        <v>Hemmebarsch GMBH &amp; Co KG , factura # 6703 Marzo</v>
      </c>
      <c r="E73">
        <f>2480352.4331*0</f>
        <v>0</v>
      </c>
      <c r="G73">
        <f>(E73-F73)</f>
        <v>0</v>
      </c>
    </row>
    <row r="74">
      <c r="C74" t="str">
        <v>Sin Pagar</v>
      </c>
      <c r="D74" t="str">
        <v>Hemmebarsch GMBH &amp; Co KG , factura # 5-224 Marzo</v>
      </c>
      <c r="E74">
        <f>3378616.9512*0</f>
        <v>0</v>
      </c>
      <c r="G74">
        <f>(E74-F74)</f>
        <v>0</v>
      </c>
    </row>
    <row r="75">
      <c r="C75" t="str">
        <v>Pagado</v>
      </c>
      <c r="D75" t="str">
        <v>Hong kong yonyou xinfushe cloud technology co., limited Factura 6559-Diciembre</v>
      </c>
      <c r="E75">
        <v>2743902</v>
      </c>
      <c r="F75">
        <v>2855434.869</v>
      </c>
      <c r="G75">
        <f>(E75-F75)</f>
        <v>-111532.86899999995</v>
      </c>
    </row>
    <row r="76">
      <c r="C76" t="str">
        <v>Pagado</v>
      </c>
      <c r="D76" t="str">
        <v>Hong kong yonyou xinfushe cloud technology co., limited Factura 5-152 - Diciembre</v>
      </c>
      <c r="E76">
        <v>51195457.8</v>
      </c>
      <c r="F76">
        <v>53276427.2691</v>
      </c>
      <c r="G76">
        <f>(E76-F76)</f>
        <v>-2080969.469100006</v>
      </c>
    </row>
    <row r="77">
      <c r="C77" t="str">
        <v>Pagado</v>
      </c>
      <c r="D77" t="str">
        <v>Hong kong yonyou xinfushe cloud technology co., limited Factura 6608- Enero</v>
      </c>
      <c r="E77">
        <f>2730497.364*0</f>
        <v>0</v>
      </c>
      <c r="F77">
        <f>707376.616*0</f>
        <v>0</v>
      </c>
      <c r="G77">
        <f>(E77-F77)*0</f>
        <v>0</v>
      </c>
    </row>
    <row r="78">
      <c r="C78" t="str">
        <v>Pagado</v>
      </c>
      <c r="D78" t="str">
        <v>Hong kong yonyou xinfushe cloud technology co., limited Factura 5-174 Enero</v>
      </c>
      <c r="E78">
        <f>3879460.4936*0</f>
        <v>0</v>
      </c>
      <c r="F78">
        <f>43507906.9584*0</f>
        <v>0</v>
      </c>
      <c r="G78">
        <f>(E78-F78)*0</f>
        <v>0</v>
      </c>
    </row>
    <row r="79">
      <c r="C79" t="str">
        <v>Pagado</v>
      </c>
      <c r="D79" t="str">
        <v>Hong kong yonyou xinfushe cloud technology co., limited Factura 5-186 Enero</v>
      </c>
      <c r="E79">
        <f>1398839.0056*0</f>
        <v>0</v>
      </c>
      <c r="F79">
        <f>21217642.2864*0</f>
        <v>0</v>
      </c>
      <c r="G79">
        <f>(E79-F79)*0</f>
        <v>0</v>
      </c>
    </row>
    <row r="80">
      <c r="C80" t="str">
        <v>Pagado</v>
      </c>
      <c r="D80" t="str">
        <v>Hong kong yonyou xinfushe cloud technology co., limited Factura 6702- Febrero</v>
      </c>
      <c r="E80">
        <v>2756946.7800000003</v>
      </c>
      <c r="F80">
        <v>2687562.045</v>
      </c>
      <c r="G80">
        <f>(E80-F80)</f>
        <v>69384.73500000034</v>
      </c>
    </row>
    <row r="81">
      <c r="C81" t="str">
        <v>Pagado</v>
      </c>
      <c r="D81" t="str">
        <v>Hong kong yonyou xinfushe cloud technology co., limited Factura 5-226 Febrero</v>
      </c>
      <c r="E81">
        <v>50970823.344</v>
      </c>
      <c r="F81">
        <v>49688028.515999995</v>
      </c>
      <c r="G81">
        <f>(E81-F81)</f>
        <v>1282794.8280000016</v>
      </c>
    </row>
    <row r="82">
      <c r="C82" t="str">
        <v>Pagado</v>
      </c>
      <c r="D82" t="str">
        <v>Flexco Factura # 6680</v>
      </c>
      <c r="E82">
        <v>1299786.762703057</v>
      </c>
      <c r="F82">
        <v>1249690.0039</v>
      </c>
      <c r="G82">
        <f>(E82-F82)</f>
        <v>50096.75880305702</v>
      </c>
    </row>
    <row r="83">
      <c r="C83" t="str">
        <v>Pagado</v>
      </c>
      <c r="D83" t="str">
        <v>Flexco Factura # 5-209</v>
      </c>
      <c r="E83">
        <v>14442046.477296943</v>
      </c>
      <c r="F83">
        <v>13885416.9287</v>
      </c>
      <c r="G83">
        <f>(E83-F83)</f>
        <v>556629.5485969428</v>
      </c>
    </row>
    <row r="84">
      <c r="C84" t="str">
        <v>Pagado</v>
      </c>
      <c r="D84" t="str">
        <v>Insider factura  # 160 Diciembre</v>
      </c>
      <c r="E84">
        <v>3791577</v>
      </c>
      <c r="F84">
        <v>3973041.075</v>
      </c>
      <c r="G84">
        <f>(E84-F84)</f>
        <v>-181464.0750000002</v>
      </c>
    </row>
    <row r="85">
      <c r="C85" t="str">
        <v>Pagado</v>
      </c>
      <c r="D85" t="str">
        <v>Insider factura  # 188  expenses</v>
      </c>
      <c r="E85">
        <v>5675860.88</v>
      </c>
      <c r="F85">
        <v>5737325.271600001</v>
      </c>
      <c r="G85">
        <f>(E85-F85)</f>
        <v>-61464.39160000067</v>
      </c>
    </row>
    <row r="86">
      <c r="C86" t="str">
        <v>Pagado</v>
      </c>
      <c r="D86" t="str">
        <v>Insider factura  # 6639</v>
      </c>
      <c r="E86">
        <f>23056440.5522066*0</f>
        <v>0</v>
      </c>
      <c r="F86">
        <f>22996377.768*0</f>
        <v>0</v>
      </c>
      <c r="G86">
        <f>(E86-F86)*0</f>
        <v>0</v>
      </c>
    </row>
    <row r="87">
      <c r="C87" t="str">
        <v>Pagado</v>
      </c>
      <c r="D87" t="str">
        <v>Insider factura  # 199</v>
      </c>
      <c r="E87">
        <f>745415764.649794*0</f>
        <v>0</v>
      </c>
      <c r="F87">
        <f>743473932.123*0</f>
        <v>0</v>
      </c>
      <c r="G87">
        <f>(E87-F87)*0</f>
        <v>0</v>
      </c>
    </row>
    <row r="88">
      <c r="C88" t="str">
        <v>Pagado</v>
      </c>
      <c r="D88" t="str">
        <v>Insider factura  # 6722</v>
      </c>
      <c r="E88">
        <v>19962473.75792909</v>
      </c>
      <c r="F88">
        <v>19662072.023999996</v>
      </c>
      <c r="G88">
        <f>(E88-F88)</f>
        <v>300401.7339290939</v>
      </c>
    </row>
    <row r="89">
      <c r="C89" t="str">
        <v>Pagado</v>
      </c>
      <c r="D89" t="str">
        <v>Insider factura  # 216</v>
      </c>
      <c r="E89">
        <v>703298764.9685711</v>
      </c>
      <c r="F89">
        <v>692715298.6593</v>
      </c>
      <c r="G89">
        <f>(E89-F89)</f>
        <v>10583466.309271097</v>
      </c>
    </row>
    <row r="90">
      <c r="C90" t="str">
        <v>Pagado</v>
      </c>
      <c r="D90" t="str">
        <v>Minudoc OÜ ( SIFFI) Factura # 6689</v>
      </c>
      <c r="E90">
        <v>2138606.85015122</v>
      </c>
      <c r="F90">
        <v>2094641.5039999997</v>
      </c>
      <c r="G90">
        <f>(E90-F90)</f>
        <v>43965.34615122015</v>
      </c>
    </row>
    <row r="91">
      <c r="C91" t="str">
        <v>Pagado</v>
      </c>
      <c r="D91" t="str">
        <v>Minudoc OÜ ( SIFFI) Factura # 5-218</v>
      </c>
      <c r="E91">
        <v>6054893.412477233</v>
      </c>
      <c r="F91">
        <v>5930417.2916</v>
      </c>
      <c r="G91">
        <f>(E91-F91)</f>
        <v>124476.12087723333</v>
      </c>
    </row>
    <row r="92">
      <c r="C92" t="str">
        <v>Pagado</v>
      </c>
      <c r="D92" t="str">
        <v>Minudoc OÜ ( SIFFI) Factura # 5-219</v>
      </c>
      <c r="E92">
        <v>9422938.57737155</v>
      </c>
      <c r="F92">
        <v>9229222.394199999</v>
      </c>
      <c r="G92">
        <f>(E92-F92)</f>
        <v>193716.18317155167</v>
      </c>
    </row>
    <row r="93">
      <c r="C93" t="str">
        <v>Pagado</v>
      </c>
      <c r="D93" t="str">
        <v>MKD Factura # 6679</v>
      </c>
      <c r="E93">
        <v>520041.32</v>
      </c>
      <c r="F93">
        <v>498827.1818</v>
      </c>
      <c r="G93">
        <f>(E93-F93)</f>
        <v>21214.138199999987</v>
      </c>
    </row>
    <row r="94">
      <c r="C94" t="str">
        <v>Pagado</v>
      </c>
      <c r="D94" t="str">
        <v>MKD Factura # 5-208</v>
      </c>
      <c r="E94">
        <v>4727618.14</v>
      </c>
      <c r="F94">
        <v>4534763.571099999</v>
      </c>
      <c r="G94">
        <f>(E94-F94)</f>
        <v>192854.5689000003</v>
      </c>
    </row>
    <row r="95">
      <c r="C95" t="str">
        <v>Pagado</v>
      </c>
      <c r="D95" t="str">
        <v>Nazdar Factura # 6701</v>
      </c>
      <c r="E95">
        <v>3680038.0513348626</v>
      </c>
      <c r="F95">
        <v>3538928.0715</v>
      </c>
      <c r="G95">
        <f>(E95-F95)</f>
        <v>141109.97983486252</v>
      </c>
    </row>
    <row r="96">
      <c r="C96" t="str">
        <v>Pagado</v>
      </c>
      <c r="D96" t="str">
        <v>Nazdar Factura # 5-225</v>
      </c>
      <c r="E96">
        <v>61333793.55866514</v>
      </c>
      <c r="F96">
        <v>58981967.23199999</v>
      </c>
      <c r="G96">
        <f>(E96-F96)</f>
        <v>2351826.326665148</v>
      </c>
    </row>
    <row r="97">
      <c r="C97" t="str">
        <v>Pagado</v>
      </c>
      <c r="D97" t="str">
        <v>Neo Factura # 6613</v>
      </c>
      <c r="E97">
        <v>5499958.239778785</v>
      </c>
      <c r="F97">
        <f>'MONETIZACIONES PEND'!Q442</f>
        <v>5494632.9165</v>
      </c>
      <c r="G97">
        <f>(E97-F97)</f>
        <v>5325.323278784752</v>
      </c>
    </row>
    <row r="98">
      <c r="C98" t="str">
        <v>Pagado</v>
      </c>
      <c r="D98" t="str">
        <v>Neo Factura # FV-5-181</v>
      </c>
      <c r="E98">
        <v>59718741.59399501</v>
      </c>
      <c r="F98">
        <f>'MONETIZACIONES PEND'!Q443</f>
        <v>59660919.044999994</v>
      </c>
      <c r="G98">
        <f>(E98-F98)</f>
        <v>57822.548995018005</v>
      </c>
    </row>
    <row r="99">
      <c r="C99" t="str">
        <v>Pagado</v>
      </c>
      <c r="D99" t="str">
        <v>Neo Factura # 6638</v>
      </c>
      <c r="E99">
        <v>232127.47344980136</v>
      </c>
      <c r="F99">
        <f>'MONETIZACIONES PEND'!Q444</f>
        <v>231902.7165</v>
      </c>
      <c r="G99">
        <f>(E99-F99)</f>
        <v>224.75694980134722</v>
      </c>
    </row>
    <row r="100">
      <c r="C100" t="str">
        <v>Pagado</v>
      </c>
      <c r="D100" t="str">
        <v>Neo Factura # FV-5-196</v>
      </c>
      <c r="E100">
        <v>2901356.292776387</v>
      </c>
      <c r="F100">
        <f>'MONETIZACIONES PEND'!Q445</f>
        <v>2898547.0605</v>
      </c>
      <c r="G100">
        <f>(E100-F100)</f>
        <v>2809.232276387047</v>
      </c>
    </row>
    <row r="101">
      <c r="C101" t="str">
        <v>Pagado</v>
      </c>
      <c r="D101" t="str">
        <v>Neo Factura # 6682</v>
      </c>
      <c r="E101">
        <v>5953181.984942068</v>
      </c>
      <c r="F101">
        <v>5726343.290999999</v>
      </c>
      <c r="G101">
        <f>(E101-F101)</f>
        <v>226838.69394206908</v>
      </c>
    </row>
    <row r="102">
      <c r="C102" t="str">
        <v>Pagado</v>
      </c>
      <c r="D102" t="str">
        <v>Neo Factura # FV-5-211</v>
      </c>
      <c r="E102">
        <v>74414737.97505794</v>
      </c>
      <c r="F102">
        <v>71579255.7044</v>
      </c>
      <c r="G102">
        <f>(E102-F102)</f>
        <v>2835482.2706579417</v>
      </c>
    </row>
    <row r="103">
      <c r="C103" t="str">
        <v>Pagado</v>
      </c>
      <c r="D103" t="str">
        <v>Oncehub Factura # 6681</v>
      </c>
      <c r="E103">
        <v>881517.5415626297</v>
      </c>
      <c r="F103">
        <v>859504.8</v>
      </c>
      <c r="G103">
        <f>(E103-F103)</f>
        <v>22012.7415626297</v>
      </c>
    </row>
    <row r="104">
      <c r="C104" t="str">
        <v>Pagado</v>
      </c>
      <c r="D104" t="str">
        <v>Oncehub Factura # 5-210</v>
      </c>
      <c r="E104">
        <v>12034110.178437369</v>
      </c>
      <c r="F104">
        <v>11733601.4026</v>
      </c>
      <c r="G104">
        <f>(E104-F104)</f>
        <v>300508.77583736926</v>
      </c>
    </row>
    <row r="105">
      <c r="C105" t="str">
        <v>Pagado</v>
      </c>
      <c r="D105" t="str">
        <v>Poc Pharma Limited Factura # 6706</v>
      </c>
      <c r="E105">
        <v>1749609.6</v>
      </c>
      <c r="F105">
        <v>1718793.6</v>
      </c>
      <c r="G105">
        <f>(E105-F105)</f>
        <v>30816</v>
      </c>
    </row>
    <row r="106">
      <c r="C106" t="str">
        <v>Pagado</v>
      </c>
      <c r="D106" t="str">
        <v>Poc Pharma Limited Factura # 5-230</v>
      </c>
      <c r="E106">
        <v>8018861.748999999</v>
      </c>
      <c r="F106">
        <v>7877624.959</v>
      </c>
      <c r="G106">
        <f>(E106-F106)</f>
        <v>141236.7899999991</v>
      </c>
    </row>
    <row r="107">
      <c r="C107" t="str">
        <v>Pagado</v>
      </c>
      <c r="D107" t="str">
        <v>Poc Pharma Limited Factura # 5-231</v>
      </c>
      <c r="E107">
        <v>1199211.58</v>
      </c>
      <c r="F107">
        <v>1178089.78</v>
      </c>
      <c r="G107">
        <f>(E107-F107)</f>
        <v>21121.800000000047</v>
      </c>
      <c r="J107" t="str">
        <v>Ingreso</v>
      </c>
      <c r="K107">
        <f>G54+G55+G58+G59+G60+G61+G64+G65+G66+G67+G80+G81+G82+G83+G88+G89+G90+G91+G92+G93+G94+G95+G96+G97+G98+G99+G100+G101+G102+G103+G104+G105+G106+G107+G110+G111+G115+G116+G117+G118+G119-72938</f>
        <v>58405344.1851002</v>
      </c>
    </row>
    <row r="108">
      <c r="C108" t="str">
        <v>Pagado</v>
      </c>
      <c r="D108" t="str">
        <v>Remofirst Factura # 5-162 Diciembre</v>
      </c>
      <c r="E108">
        <v>23016847.887000002</v>
      </c>
      <c r="F108">
        <v>23615660.702700004</v>
      </c>
      <c r="G108">
        <f>(E108-F108)</f>
        <v>-598812.815700002</v>
      </c>
      <c r="J108" t="str">
        <v>Gastos</v>
      </c>
      <c r="K108">
        <f>G22+G23+G24+G25+G26+G27+G28+G28+G36+G37+G45+G46+G56+G57+G68+G69+G70+G71+G75+G76+G84+G85+G108+G109</f>
        <v>-25223277.243080005</v>
      </c>
      <c r="L108">
        <f>+K109-G120</f>
        <v>0.35039999336004257</v>
      </c>
    </row>
    <row r="109">
      <c r="C109" t="str">
        <v>Pagado</v>
      </c>
      <c r="D109" t="str">
        <v>Remofirst Factura # 6580- Diciembre</v>
      </c>
      <c r="E109">
        <v>2604743.4</v>
      </c>
      <c r="F109">
        <v>2672509.14</v>
      </c>
      <c r="G109">
        <f>(E109-F109)</f>
        <v>-67765.74000000022</v>
      </c>
      <c r="J109" t="str">
        <v>Balanza</v>
      </c>
      <c r="K109">
        <f>SUM(K107:K108)</f>
        <v>33182066.942020193</v>
      </c>
    </row>
    <row r="110">
      <c r="C110" t="str">
        <v>Pagado</v>
      </c>
      <c r="D110" t="str">
        <v>Remofirst Factura # 6670</v>
      </c>
      <c r="E110">
        <v>46851194.88</v>
      </c>
      <c r="F110">
        <v>45514201.32</v>
      </c>
      <c r="G110">
        <f>(E110-F110)</f>
        <v>1336993.5600000024</v>
      </c>
    </row>
    <row r="111">
      <c r="C111" t="str">
        <v>Pagado</v>
      </c>
      <c r="D111" t="str">
        <v>Remofirst Factura # 5-204</v>
      </c>
      <c r="E111">
        <v>1166161236.7872</v>
      </c>
      <c r="F111">
        <v>1132882468.3908</v>
      </c>
      <c r="G111">
        <f>(E111-F111)</f>
        <v>33278768.396399975</v>
      </c>
    </row>
    <row r="112">
      <c r="C112" t="str">
        <v>Pagado</v>
      </c>
      <c r="D112" t="str">
        <v>Rivermate Factura # 6674</v>
      </c>
      <c r="E112">
        <f>1095096-74977</f>
        <v>1020119</v>
      </c>
      <c r="F112">
        <v>1095096</v>
      </c>
      <c r="K112">
        <f>SUM(F112:F114)</f>
        <v>72876718.06</v>
      </c>
      <c r="L112">
        <v>72801741</v>
      </c>
      <c r="M112">
        <f>L112-K112</f>
        <v>-74977.06000000238</v>
      </c>
    </row>
    <row r="113">
      <c r="C113" t="str">
        <v>Pagado</v>
      </c>
      <c r="D113" t="str">
        <v>Rivermate Factura # 5-206</v>
      </c>
      <c r="E113">
        <v>71609812.06</v>
      </c>
      <c r="F113">
        <v>71609812.06</v>
      </c>
      <c r="G113">
        <f>(E113-F113)*0</f>
        <v>0</v>
      </c>
    </row>
    <row r="114">
      <c r="C114" t="str">
        <v>Pagado</v>
      </c>
      <c r="D114" t="str">
        <v>Rivermate Factura # 6674</v>
      </c>
      <c r="E114">
        <v>171810</v>
      </c>
      <c r="F114">
        <v>171810</v>
      </c>
      <c r="G114">
        <f>(E114-F114)*0</f>
        <v>0</v>
      </c>
    </row>
    <row r="115">
      <c r="C115" t="str">
        <v>Pagado</v>
      </c>
      <c r="D115" t="str">
        <v>Root capital factura # 6611</v>
      </c>
      <c r="E115">
        <f>'MONETIZACIONES PEND'!$R$419</f>
        <v>2118334.68</v>
      </c>
      <c r="F115">
        <f>'MONETIZACIONES PEND'!Q419</f>
        <v>2114318.052</v>
      </c>
      <c r="G115">
        <f>(E115-F115)</f>
        <v>4016.628000000026</v>
      </c>
    </row>
    <row r="116">
      <c r="C116" t="str">
        <v>Pagado</v>
      </c>
      <c r="D116" t="str">
        <v>Root capital  # FV-5-177</v>
      </c>
      <c r="E116">
        <f>'MONETIZACIONES PEND'!$R$420</f>
        <v>23536942.830000002</v>
      </c>
      <c r="F116">
        <f>'MONETIZACIONES PEND'!Q420</f>
        <v>23492313.837</v>
      </c>
      <c r="G116">
        <f>(E116-F116)</f>
        <v>44628.993000000715</v>
      </c>
    </row>
    <row r="117">
      <c r="C117" t="str">
        <v>Pagado</v>
      </c>
      <c r="D117" t="str">
        <v>Root capital  # FV-5-180</v>
      </c>
      <c r="E117">
        <f>'MONETIZACIONES PEND'!$R$421</f>
        <v>7942481.399999999</v>
      </c>
      <c r="F117">
        <f>'MONETIZACIONES PEND'!Q421</f>
        <v>7927421.459999999</v>
      </c>
      <c r="G117">
        <f>(E117-F117)</f>
        <v>15059.94000000041</v>
      </c>
    </row>
    <row r="118">
      <c r="C118" t="str">
        <v>Pagado</v>
      </c>
      <c r="D118" t="str">
        <v>Root capital factura # 6688</v>
      </c>
      <c r="E118">
        <v>1937281.36</v>
      </c>
      <c r="F118">
        <v>1858253.4964</v>
      </c>
      <c r="G118">
        <f>(E118-F118)</f>
        <v>79027.86360000004</v>
      </c>
    </row>
    <row r="119">
      <c r="C119" t="str">
        <v>Pagado</v>
      </c>
      <c r="D119" t="str">
        <v>Root capital  # FV-5-217</v>
      </c>
      <c r="E119">
        <v>21559439.96</v>
      </c>
      <c r="F119">
        <v>20679961.8854</v>
      </c>
      <c r="G119">
        <f>(E119-F119)</f>
        <v>879478.0745999999</v>
      </c>
    </row>
    <row r="120">
      <c r="D120" t="str">
        <v>TOTAL INGRESOS</v>
      </c>
      <c r="E120">
        <f>SUBTOTAL(9,E4:E119)</f>
        <v>4186953521.4585004</v>
      </c>
      <c r="G120">
        <f>SUM(G14:G119)</f>
        <v>33182066.5916202</v>
      </c>
    </row>
    <row r="123">
      <c r="C123" t="str">
        <v xml:space="preserve">CUENTAS X PAGAR MES </v>
      </c>
      <c r="E123" t="str">
        <v>FEBRERO</v>
      </c>
      <c r="F123" t="str">
        <v>Fecha de Elaboración:</v>
      </c>
      <c r="J123">
        <v>46055</v>
      </c>
    </row>
    <row r="124">
      <c r="C124" t="str">
        <v>Factura</v>
      </c>
      <c r="D124" t="str">
        <v>PROVEEDOR</v>
      </c>
      <c r="E124" t="str">
        <v>VALOR</v>
      </c>
      <c r="F124" t="str">
        <v>Fecha vencimiento</v>
      </c>
      <c r="G124" t="str">
        <v>Estado</v>
      </c>
      <c r="J124" t="str">
        <v>KPI</v>
      </c>
      <c r="K124" t="str">
        <v>Objeto</v>
      </c>
    </row>
    <row r="125">
      <c r="D125" t="str">
        <v>PAGOS ANTICIPADOS</v>
      </c>
      <c r="E125">
        <f>SUBTOTAL(9,E126:E128)</f>
        <v>13860000</v>
      </c>
    </row>
    <row r="126">
      <c r="A126" t="str">
        <f>G126</f>
        <v>Cancelado</v>
      </c>
      <c r="B126">
        <f>IF(I126&lt;=-1,1,IF(I126&lt;=5,2,IF(I126&lt;=15,3,IF(H126&lt;=60,4))))</f>
        <v>2</v>
      </c>
      <c r="D126" t="str">
        <v>Anticipo nómina Action</v>
      </c>
      <c r="E126">
        <f>4747292*0</f>
        <v>0</v>
      </c>
      <c r="F126">
        <v>46055</v>
      </c>
      <c r="G126" t="str">
        <v>Cancelado</v>
      </c>
      <c r="H126">
        <f>IF(OR(G126="Sin pagar",G126="Pagar"),NETWORKDAYS($J$123,F126,'Festivos Colombia'!$A$3:$A$22),0)</f>
        <v>0</v>
      </c>
      <c r="I126">
        <f>NETWORKDAYS($J$123,F126,'Festivos Colombia'!$A$3:$A$22)</f>
        <v>1</v>
      </c>
      <c r="J126">
        <f>H126</f>
        <v>0</v>
      </c>
    </row>
    <row r="127">
      <c r="A127" t="str">
        <f>G127</f>
        <v>Cancelado</v>
      </c>
      <c r="B127">
        <f>IF(I127&lt;=-1,1,IF(I127&lt;=5,2,IF(I127&lt;=15,3,IF(H127&lt;=60,4))))</f>
        <v>3</v>
      </c>
      <c r="D127" t="str">
        <v>Anticipo nómina Nazdar</v>
      </c>
      <c r="E127">
        <v>9500000</v>
      </c>
      <c r="F127">
        <v>46066</v>
      </c>
      <c r="G127" t="str">
        <v>Cancelado</v>
      </c>
      <c r="H127">
        <f>IF(OR(G127="Sin pagar",G127="Pagar"),NETWORKDAYS($J$123,F127,'Festivos Colombia'!$A$3:$A$22),0)</f>
        <v>0</v>
      </c>
      <c r="I127">
        <f>NETWORKDAYS($J$123,F127,'Festivos Colombia'!$A$3:$A$22)</f>
        <v>10</v>
      </c>
      <c r="J127">
        <f>H127</f>
        <v>0</v>
      </c>
    </row>
    <row r="128">
      <c r="A128" t="str">
        <f>G128</f>
        <v>Cancelado</v>
      </c>
      <c r="B128">
        <f>IF(I128&lt;=-1,1,IF(I128&lt;=5,2,IF(I128&lt;=15,3,IF(H128&lt;=60,4))))</f>
        <v>3</v>
      </c>
      <c r="D128" t="str">
        <v>Anticipo nómina Action</v>
      </c>
      <c r="E128">
        <v>4360000</v>
      </c>
      <c r="F128">
        <v>46066</v>
      </c>
      <c r="G128" t="str">
        <v>Cancelado</v>
      </c>
      <c r="H128">
        <f>IF(OR(G128="Sin pagar",G128="Pagar"),NETWORKDAYS($J$123,F128,'Festivos Colombia'!$A$3:$A$22),0)</f>
        <v>0</v>
      </c>
      <c r="I128">
        <f>NETWORKDAYS($J$123,F128,'Festivos Colombia'!$A$3:$A$22)</f>
        <v>10</v>
      </c>
      <c r="J128">
        <f>H128</f>
        <v>0</v>
      </c>
    </row>
    <row r="129">
      <c r="D129" t="str">
        <v xml:space="preserve">SEGURIDAD SOCIAL   </v>
      </c>
      <c r="E129">
        <f>SUBTOTAL(9,E130:E131)</f>
        <v>553825400</v>
      </c>
    </row>
    <row r="130">
      <c r="A130" t="str">
        <f>G130</f>
        <v>Cancelado</v>
      </c>
      <c r="B130">
        <f>IF(I130&lt;=-1,1,IF(I130&lt;=5,2,IF(I130&lt;=15,3,IF(H130&lt;=60,4))))</f>
        <v>3</v>
      </c>
      <c r="C130">
        <v>176206200</v>
      </c>
      <c r="D130" t="str">
        <v xml:space="preserve">Seguridad social </v>
      </c>
      <c r="E130">
        <v>553473400</v>
      </c>
      <c r="F130">
        <v>46065</v>
      </c>
      <c r="G130" t="str">
        <v>Cancelado</v>
      </c>
      <c r="H130">
        <f>IF(OR(G130="Sin pagar",G130="Pagar"),NETWORKDAYS($J$123,F130,'Festivos Colombia'!$A$3:$A$22),0)</f>
        <v>0</v>
      </c>
      <c r="I130">
        <f>NETWORKDAYS($J$123,F130,'Festivos Colombia'!$A$3:$A$22)</f>
        <v>9</v>
      </c>
      <c r="J130">
        <f>H130</f>
        <v>0</v>
      </c>
    </row>
    <row r="131">
      <c r="A131" t="str">
        <f>G131</f>
        <v>Cancelado</v>
      </c>
      <c r="B131">
        <f>IF(I131&lt;=-1,1,IF(I131&lt;=5,2,IF(I131&lt;=15,3,IF(H131&lt;=60,4))))</f>
        <v>4</v>
      </c>
      <c r="C131">
        <v>176206200</v>
      </c>
      <c r="D131" t="str">
        <v>Seguridad social -Planilla tipo N - Enero</v>
      </c>
      <c r="E131">
        <v>352000</v>
      </c>
      <c r="F131">
        <v>46085</v>
      </c>
      <c r="G131" t="str">
        <v>Cancelado</v>
      </c>
      <c r="H131">
        <f>IF(OR(G131="Sin pagar",G131="Pagar"),NETWORKDAYS($J$123,F131,'Festivos Colombia'!$A$3:$A$22),0)</f>
        <v>0</v>
      </c>
      <c r="I131">
        <f>NETWORKDAYS($J$123,F131,'Festivos Colombia'!$A$3:$A$22)</f>
        <v>23</v>
      </c>
      <c r="J131">
        <f>H131</f>
        <v>0</v>
      </c>
    </row>
    <row r="132">
      <c r="D132" t="str">
        <v>AFC´S</v>
      </c>
      <c r="E132">
        <f>SUBTOTAL(9,E133:E135)</f>
        <v>14755460</v>
      </c>
    </row>
    <row r="133">
      <c r="A133" t="str">
        <f>G133</f>
        <v>Cancelado</v>
      </c>
      <c r="B133">
        <f>IF(I133&lt;=-1,1,IF(I133&lt;=5,2,IF(I133&lt;=15,3,IF(H133&lt;=60,4))))</f>
        <v>4</v>
      </c>
      <c r="D133" t="str">
        <v xml:space="preserve">AFC Dafuturo cheque </v>
      </c>
      <c r="E133">
        <v>1000000</v>
      </c>
      <c r="F133">
        <v>46080</v>
      </c>
      <c r="G133" t="str">
        <v>Cancelado</v>
      </c>
      <c r="H133">
        <f>IF(OR(G133="Sin pagar",G133="Pagar"),NETWORKDAYS($J$123,F133,'Festivos Colombia'!$A$3:$A$22),0)</f>
        <v>0</v>
      </c>
      <c r="I133">
        <f>NETWORKDAYS($J$123,F133,'Festivos Colombia'!$A$3:$A$22)</f>
        <v>20</v>
      </c>
      <c r="J133">
        <f>H133</f>
        <v>0</v>
      </c>
    </row>
    <row r="134">
      <c r="A134" t="str">
        <f>G134</f>
        <v>Cancelado</v>
      </c>
      <c r="B134">
        <f>IF(I134&lt;=-1,1,IF(I134&lt;=5,2,IF(I134&lt;=15,3,IF(H134&lt;=60,4))))</f>
        <v>4</v>
      </c>
      <c r="D134" t="str">
        <v xml:space="preserve">AFC OER electronico </v>
      </c>
      <c r="E134">
        <f>7600000+4000000</f>
        <v>11600000</v>
      </c>
      <c r="F134">
        <v>46080</v>
      </c>
      <c r="G134" t="str">
        <v>Cancelado</v>
      </c>
      <c r="H134">
        <f>IF(OR(G134="Sin pagar",G134="Pagar"),NETWORKDAYS($J$123,F134,'Festivos Colombia'!$A$3:$A$22),0)</f>
        <v>0</v>
      </c>
      <c r="I134">
        <f>NETWORKDAYS($J$123,F134,'Festivos Colombia'!$A$3:$A$22)</f>
        <v>20</v>
      </c>
      <c r="J134">
        <f>H134</f>
        <v>0</v>
      </c>
    </row>
    <row r="135">
      <c r="A135" t="str">
        <f>G135</f>
        <v>Cancelado</v>
      </c>
      <c r="B135">
        <f>IF(I135&lt;=-1,1,IF(I135&lt;=5,2,IF(I135&lt;=15,3,IF(H135&lt;=60,4))))</f>
        <v>4</v>
      </c>
      <c r="D135" t="str">
        <v xml:space="preserve">AFC Edward Forero electronico </v>
      </c>
      <c r="E135">
        <v>2155460</v>
      </c>
      <c r="F135">
        <v>46080</v>
      </c>
      <c r="G135" t="str">
        <v>Cancelado</v>
      </c>
      <c r="H135">
        <f>IF(OR(G135="Sin pagar",G135="Pagar"),NETWORKDAYS($J$123,F135,'Festivos Colombia'!$A$3:$A$22),0)</f>
        <v>0</v>
      </c>
      <c r="I135">
        <f>NETWORKDAYS($J$123,F135,'Festivos Colombia'!$A$3:$A$22)</f>
        <v>20</v>
      </c>
      <c r="J135">
        <f>H135</f>
        <v>0</v>
      </c>
    </row>
    <row r="136">
      <c r="D136" t="str">
        <v xml:space="preserve">IMPUESTOS </v>
      </c>
      <c r="E136">
        <f>SUBTOTAL(9,E137:E138)</f>
        <v>202328000</v>
      </c>
      <c r="J136">
        <f>H136</f>
        <v>0</v>
      </c>
    </row>
    <row r="137">
      <c r="A137" t="str">
        <f>G137</f>
        <v>Cancelado</v>
      </c>
      <c r="B137">
        <f>IF(I137&lt;=-1,1,IF(I137&lt;=5,2,IF(I137&lt;=15,3,IF(H137&lt;=60,4))))</f>
        <v>3</v>
      </c>
      <c r="D137" t="str">
        <v xml:space="preserve">RETENCIÓN EN LA FUENTE </v>
      </c>
      <c r="E137">
        <f>189690000+138000</f>
        <v>189828000</v>
      </c>
      <c r="F137">
        <v>46071</v>
      </c>
      <c r="G137" t="str">
        <v>Cancelado</v>
      </c>
      <c r="H137">
        <f>IF(OR(G137="Sin pagar",G137="Pagar"),NETWORKDAYS($J$123,F137,'Festivos Colombia'!$A$3:$A$22),0)</f>
        <v>0</v>
      </c>
      <c r="I137">
        <f>NETWORKDAYS($J$123,F137,'Festivos Colombia'!$A$3:$A$22)</f>
        <v>13</v>
      </c>
      <c r="J137">
        <f>H137</f>
        <v>0</v>
      </c>
    </row>
    <row r="138">
      <c r="D138" t="str">
        <v xml:space="preserve">ICA ANUAL </v>
      </c>
      <c r="E138">
        <v>12500000</v>
      </c>
      <c r="F138">
        <v>46079</v>
      </c>
      <c r="G138" t="str">
        <v>Cancelado</v>
      </c>
      <c r="H138">
        <f>IF(OR(G138="Sin pagar",G138="Pagar"),NETWORKDAYS($J$123,F138,'Festivos Colombia'!$A$3:$A$22),0)</f>
        <v>0</v>
      </c>
      <c r="I138">
        <f>NETWORKDAYS($J$123,F138,'Festivos Colombia'!$A$3:$A$22)</f>
        <v>19</v>
      </c>
      <c r="J138">
        <f>H138</f>
        <v>0</v>
      </c>
    </row>
    <row r="139">
      <c r="D139" t="str">
        <v>ARRIENDO, INTERNET, TELEFONIA Y GASTOS DE OFICINA</v>
      </c>
      <c r="E139">
        <f>SUBTOTAL(9,E140:E165)</f>
        <v>15504181.913</v>
      </c>
      <c r="J139">
        <f>H139</f>
        <v>0</v>
      </c>
    </row>
    <row r="140">
      <c r="A140" t="str">
        <f>G140</f>
        <v>Cancelado</v>
      </c>
      <c r="B140">
        <f>IF(I140&lt;=-1,1,IF(I140&lt;=5,2,IF(I140&lt;=15,3,IF(H140&lt;=60,4))))</f>
        <v>2</v>
      </c>
      <c r="C140">
        <v>3</v>
      </c>
      <c r="D140" t="str">
        <v xml:space="preserve">Giovanna Guio-Reembolso de gastos </v>
      </c>
      <c r="E140">
        <v>292000</v>
      </c>
      <c r="F140">
        <v>46058</v>
      </c>
      <c r="G140" t="str">
        <v>Cancelado</v>
      </c>
      <c r="H140">
        <f>IF(OR(G140="Sin pagar",G140="Pagar"),NETWORKDAYS($J$123,F140,'Festivos Colombia'!$A$3:$A$22),0)</f>
        <v>0</v>
      </c>
      <c r="I140">
        <f>NETWORKDAYS($J$123,F140,'Festivos Colombia'!$A$3:$A$22)</f>
        <v>4</v>
      </c>
      <c r="J140">
        <f>H140</f>
        <v>0</v>
      </c>
    </row>
    <row r="141">
      <c r="A141" t="str">
        <f>G141</f>
        <v>Cancelado</v>
      </c>
      <c r="B141">
        <f>IF(I141&lt;=-1,1,IF(I141&lt;=5,2,IF(I141&lt;=15,3,IF(H141&lt;=60,4))))</f>
        <v>2</v>
      </c>
      <c r="C141" t="str">
        <v>FEWP-6576</v>
      </c>
      <c r="D141" t="str">
        <v>WORKPLACE SOLUTIONS GROUP SAS (SPACIO)-Sala de juntas 9 horas</v>
      </c>
      <c r="E141">
        <v>401399.68</v>
      </c>
      <c r="F141">
        <v>46058</v>
      </c>
      <c r="G141" t="str">
        <v>Cancelado</v>
      </c>
      <c r="H141">
        <f>IF(OR(G141="Sin pagar",G141="Pagar"),NETWORKDAYS($J$123,F141,'Festivos Colombia'!$A$3:$A$22),0)</f>
        <v>0</v>
      </c>
      <c r="I141">
        <f>NETWORKDAYS($J$123,F141,'Festivos Colombia'!$A$3:$A$22)</f>
        <v>4</v>
      </c>
      <c r="J141">
        <f>H141</f>
        <v>0</v>
      </c>
    </row>
    <row r="142">
      <c r="A142" t="str">
        <f>G142</f>
        <v>Cancelado</v>
      </c>
      <c r="B142">
        <f>IF(I142&lt;=-1,1,IF(I142&lt;=5,2,IF(I142&lt;=15,3,IF(H142&lt;=60,4))))</f>
        <v>2</v>
      </c>
      <c r="C142" t="str">
        <v>FEWP-6563</v>
      </c>
      <c r="D142" t="str">
        <v>WORKPLACE SOLUTIONS GROUP SAS (SPACIO)</v>
      </c>
      <c r="E142">
        <v>358066.76</v>
      </c>
      <c r="F142">
        <v>46058</v>
      </c>
      <c r="G142" t="str">
        <v>Cancelado</v>
      </c>
      <c r="H142">
        <f>IF(OR(G142="Sin pagar",G142="Pagar"),NETWORKDAYS($J$123,F142,'Festivos Colombia'!$A$3:$A$22),0)</f>
        <v>0</v>
      </c>
      <c r="I142">
        <f>NETWORKDAYS($J$123,F142,'Festivos Colombia'!$A$3:$A$22)</f>
        <v>4</v>
      </c>
      <c r="J142">
        <f>H142</f>
        <v>0</v>
      </c>
    </row>
    <row r="143">
      <c r="A143" t="str">
        <f>G143</f>
        <v>Cancelado</v>
      </c>
      <c r="B143">
        <f>IF(I143&lt;=-1,1,IF(I143&lt;=5,2,IF(I143&lt;=15,3,IF(H143&lt;=60,4))))</f>
        <v>2</v>
      </c>
      <c r="C143" t="str">
        <v>580831420908</v>
      </c>
      <c r="D143" t="str">
        <v>Movistar Office 365</v>
      </c>
      <c r="E143">
        <v>362747</v>
      </c>
      <c r="F143">
        <v>46058</v>
      </c>
      <c r="G143" t="str">
        <v>Cancelado</v>
      </c>
      <c r="H143">
        <f>IF(OR(G143="Sin pagar",G143="Pagar"),NETWORKDAYS($J$123,F143,'Festivos Colombia'!$A$3:$A$22),0)</f>
        <v>0</v>
      </c>
      <c r="I143">
        <f>NETWORKDAYS($J$123,F143,'Festivos Colombia'!$A$3:$A$22)</f>
        <v>4</v>
      </c>
      <c r="J143">
        <f>H143</f>
        <v>0</v>
      </c>
    </row>
    <row r="144">
      <c r="A144" t="str">
        <f>G144</f>
        <v>Cancelado</v>
      </c>
      <c r="B144">
        <f>IF(I144&lt;=-1,1,IF(I144&lt;=5,2,IF(I144&lt;=15,3,IF(H144&lt;=60,4))))</f>
        <v>2</v>
      </c>
      <c r="C144" t="str">
        <v>13</v>
      </c>
      <c r="D144" t="str">
        <v>Yoana Herrera</v>
      </c>
      <c r="E144">
        <v>660557</v>
      </c>
      <c r="F144">
        <v>46058</v>
      </c>
      <c r="G144" t="str">
        <v>Cancelado</v>
      </c>
      <c r="H144">
        <f>IF(OR(G144="Sin pagar",G144="Pagar"),NETWORKDAYS($J$123,F144,'Festivos Colombia'!$A$3:$A$22),0)</f>
        <v>0</v>
      </c>
      <c r="I144">
        <f>NETWORKDAYS($J$123,F144,'Festivos Colombia'!$A$3:$A$22)</f>
        <v>4</v>
      </c>
      <c r="J144">
        <f>H144</f>
        <v>0</v>
      </c>
    </row>
    <row r="145">
      <c r="A145" t="str">
        <f>G145</f>
        <v>Cancelado</v>
      </c>
      <c r="B145">
        <f>IF(I145&lt;=-1,1,IF(I145&lt;=5,2,IF(I145&lt;=15,3,IF(H145&lt;=60,4))))</f>
        <v>2</v>
      </c>
      <c r="C145" t="str">
        <v>3</v>
      </c>
      <c r="D145" t="str">
        <v>Diana Carolina Cortes</v>
      </c>
      <c r="E145">
        <v>450000</v>
      </c>
      <c r="F145">
        <v>46058</v>
      </c>
      <c r="G145" t="str">
        <v>Cancelado</v>
      </c>
      <c r="H145">
        <f>IF(OR(G145="Sin pagar",G145="Pagar"),NETWORKDAYS($J$123,F145,'Festivos Colombia'!$A$3:$A$22),0)</f>
        <v>0</v>
      </c>
      <c r="I145">
        <f>NETWORKDAYS($J$123,F145,'Festivos Colombia'!$A$3:$A$22)</f>
        <v>4</v>
      </c>
      <c r="J145">
        <f>H145</f>
        <v>0</v>
      </c>
    </row>
    <row r="146">
      <c r="A146" t="str">
        <f>G146</f>
        <v>Cancelado</v>
      </c>
      <c r="B146">
        <f>IF(I146&lt;=-1,1,IF(I146&lt;=5,2,IF(I146&lt;=15,3,IF(H146&lt;=60,4))))</f>
        <v>2</v>
      </c>
      <c r="C146">
        <v>33</v>
      </c>
      <c r="D146" t="str">
        <v>Dario Mendez</v>
      </c>
      <c r="E146">
        <v>500000</v>
      </c>
      <c r="F146">
        <v>46059</v>
      </c>
      <c r="G146" t="str">
        <v>Cancelado</v>
      </c>
      <c r="H146">
        <f>IF(OR(G146="Sin pagar",G146="Pagar"),NETWORKDAYS($J$123,F146,'Festivos Colombia'!$A$3:$A$22),0)</f>
        <v>0</v>
      </c>
      <c r="I146">
        <f>NETWORKDAYS($J$123,F146,'Festivos Colombia'!$A$3:$A$22)</f>
        <v>5</v>
      </c>
      <c r="J146">
        <f>H146</f>
        <v>0</v>
      </c>
    </row>
    <row r="147">
      <c r="A147" t="str">
        <f>G147</f>
        <v>Cancelado</v>
      </c>
      <c r="B147">
        <f>IF(I147&lt;=-1,1,IF(I147&lt;=5,2,IF(I147&lt;=15,3,IF(H147&lt;=60,4))))</f>
        <v>3</v>
      </c>
      <c r="C147" t="str">
        <v>S/N</v>
      </c>
      <c r="D147" t="str">
        <v>Renovación SIIGO</v>
      </c>
      <c r="E147">
        <v>3828226</v>
      </c>
      <c r="F147">
        <v>46065</v>
      </c>
      <c r="G147" t="str">
        <v>Cancelado</v>
      </c>
      <c r="H147">
        <f>IF(OR(G147="Sin pagar",G147="Pagar"),NETWORKDAYS($J$123,F147,'Festivos Colombia'!$A$3:$A$22),0)</f>
        <v>0</v>
      </c>
      <c r="I147">
        <f>NETWORKDAYS($J$123,F147,'Festivos Colombia'!$A$3:$A$22)</f>
        <v>9</v>
      </c>
      <c r="J147">
        <f>H147</f>
        <v>0</v>
      </c>
    </row>
    <row r="148">
      <c r="A148" t="str">
        <f>G148</f>
        <v>Cancelado</v>
      </c>
      <c r="B148">
        <f>IF(I148&lt;=-1,1,IF(I148&lt;=5,2,IF(I148&lt;=15,3,IF(H148&lt;=60,4))))</f>
        <v>3</v>
      </c>
      <c r="C148">
        <v>27377</v>
      </c>
      <c r="D148" t="str">
        <v>Parking remofirst</v>
      </c>
      <c r="E148">
        <v>667200.5129999999</v>
      </c>
      <c r="F148">
        <v>46066</v>
      </c>
      <c r="G148" t="str">
        <v>Cancelado</v>
      </c>
      <c r="H148">
        <f>IF(OR(G148="Sin pagar",G148="Pagar"),NETWORKDAYS($J$123,F148,'Festivos Colombia'!$A$3:$A$22),0)</f>
        <v>0</v>
      </c>
      <c r="I148">
        <f>NETWORKDAYS($J$123,F148,'Festivos Colombia'!$A$3:$A$22)</f>
        <v>10</v>
      </c>
      <c r="J148">
        <f>H148</f>
        <v>0</v>
      </c>
    </row>
    <row r="149">
      <c r="A149" t="str">
        <f>G149</f>
        <v>Cancelado</v>
      </c>
      <c r="B149">
        <f>IF(I149&lt;=-1,1,IF(I149&lt;=5,2,IF(I149&lt;=15,3,IF(H149&lt;=60,4))))</f>
        <v>3</v>
      </c>
      <c r="C149" t="str">
        <v>FE-56980</v>
      </c>
      <c r="D149" t="str">
        <v>BUK colombia SAS-Sucricpión Diciembre</v>
      </c>
      <c r="E149">
        <f>1244113.7</f>
        <v>1244113.7</v>
      </c>
      <c r="F149">
        <v>46066</v>
      </c>
      <c r="G149" t="str">
        <v>Cancelado</v>
      </c>
      <c r="H149">
        <f>IF(OR(G149="Sin pagar",G149="Pagar"),NETWORKDAYS($J$123,F149,'Festivos Colombia'!$A$3:$A$22),0)</f>
        <v>0</v>
      </c>
      <c r="I149">
        <f>NETWORKDAYS($J$123,F149,'Festivos Colombia'!$A$3:$A$22)</f>
        <v>10</v>
      </c>
      <c r="J149">
        <f>H149</f>
        <v>0</v>
      </c>
    </row>
    <row r="150">
      <c r="A150" t="str">
        <f>G150</f>
        <v>Cancelado</v>
      </c>
      <c r="B150">
        <f>IF(I150&lt;=-1,1,IF(I150&lt;=5,2,IF(I150&lt;=15,3,IF(H150&lt;=60,4))))</f>
        <v>3</v>
      </c>
      <c r="C150">
        <v>34</v>
      </c>
      <c r="D150" t="str">
        <v>Dario Mendez</v>
      </c>
      <c r="E150">
        <v>690000</v>
      </c>
      <c r="F150">
        <v>46072</v>
      </c>
      <c r="G150" t="str">
        <v>Cancelado</v>
      </c>
      <c r="H150">
        <f>IF(OR(G150="Sin pagar",G150="Pagar"),NETWORKDAYS($J$123,F150,'Festivos Colombia'!$A$3:$A$22),0)</f>
        <v>0</v>
      </c>
      <c r="I150">
        <f>NETWORKDAYS($J$123,F150,'Festivos Colombia'!$A$3:$A$22)</f>
        <v>14</v>
      </c>
      <c r="J150">
        <f>H150</f>
        <v>0</v>
      </c>
    </row>
    <row r="151">
      <c r="A151" t="str">
        <f>G151</f>
        <v>Cancelado</v>
      </c>
      <c r="B151">
        <f>IF(I151&lt;=-1,1,IF(I151&lt;=5,2,IF(I151&lt;=15,3,IF(H151&lt;=60,4))))</f>
        <v>3</v>
      </c>
      <c r="C151">
        <v>35</v>
      </c>
      <c r="D151" t="str">
        <v>Dario Mendez</v>
      </c>
      <c r="E151">
        <v>558000</v>
      </c>
      <c r="F151">
        <v>46072</v>
      </c>
      <c r="G151" t="str">
        <v>Cancelado</v>
      </c>
      <c r="H151">
        <f>IF(OR(G151="Sin pagar",G151="Pagar"),NETWORKDAYS($J$123,F151,'Festivos Colombia'!$A$3:$A$22),0)</f>
        <v>0</v>
      </c>
      <c r="I151">
        <f>NETWORKDAYS($J$123,F151,'Festivos Colombia'!$A$3:$A$22)</f>
        <v>14</v>
      </c>
      <c r="J151">
        <f>H151</f>
        <v>0</v>
      </c>
    </row>
    <row r="152">
      <c r="A152" t="str">
        <f>G152</f>
        <v>Cancelado</v>
      </c>
      <c r="B152">
        <f>IF(I152&lt;=-1,1,IF(I152&lt;=5,2,IF(I152&lt;=15,3,IF(H152&lt;=60,4))))</f>
        <v>3</v>
      </c>
      <c r="C152" t="str">
        <v>FEWP-6595</v>
      </c>
      <c r="D152" t="str">
        <v>WORKPLACE SOLUTIONS GROUP SAS (SPACIO)-Sala de juntas eventual</v>
      </c>
      <c r="E152">
        <v>150524.88</v>
      </c>
      <c r="F152">
        <v>46073</v>
      </c>
      <c r="G152" t="str">
        <v>Cancelado</v>
      </c>
      <c r="H152">
        <f>IF(OR(G152="Sin pagar",G152="Pagar"),NETWORKDAYS($J$123,F152,'Festivos Colombia'!$A$3:$A$22),0)</f>
        <v>0</v>
      </c>
      <c r="I152">
        <f>NETWORKDAYS($J$123,F152,'Festivos Colombia'!$A$3:$A$22)</f>
        <v>15</v>
      </c>
      <c r="J152">
        <f>H152</f>
        <v>0</v>
      </c>
    </row>
    <row r="153">
      <c r="A153" t="str">
        <f>G153</f>
        <v>Cancelado</v>
      </c>
      <c r="B153">
        <f>IF(I153&lt;=-1,1,IF(I153&lt;=5,2,IF(I153&lt;=15,3,IF(H153&lt;=60,4))))</f>
        <v>3</v>
      </c>
      <c r="C153" t="str">
        <v>FEWP-6607</v>
      </c>
      <c r="D153" t="str">
        <v>WORKPLACE SOLUTIONS GROUP SAS (SPACIO)-Sala de juntas eventual</v>
      </c>
      <c r="E153">
        <v>150524.88</v>
      </c>
      <c r="F153">
        <v>46073</v>
      </c>
      <c r="G153" t="str">
        <v>Cancelado</v>
      </c>
      <c r="H153">
        <f>IF(OR(G153="Sin pagar",G153="Pagar"),NETWORKDAYS($J$123,F153,'Festivos Colombia'!$A$3:$A$22),0)</f>
        <v>0</v>
      </c>
      <c r="I153">
        <f>NETWORKDAYS($J$123,F153,'Festivos Colombia'!$A$3:$A$22)</f>
        <v>15</v>
      </c>
      <c r="J153">
        <f>H153</f>
        <v>0</v>
      </c>
    </row>
    <row r="154">
      <c r="A154" t="str">
        <f>G154</f>
        <v>Cancelado</v>
      </c>
      <c r="B154">
        <f>IF(I154&lt;=-1,1,IF(I154&lt;=5,2,IF(I154&lt;=15,3,IF(H154&lt;=60,4))))</f>
        <v>3</v>
      </c>
      <c r="C154" t="str">
        <v>63</v>
      </c>
      <c r="D154" t="str">
        <v>Rafael Mier (arriendo Bodega para S&amp;P)</v>
      </c>
      <c r="E154">
        <v>180000</v>
      </c>
      <c r="F154">
        <v>46073</v>
      </c>
      <c r="G154" t="str">
        <v>Cancelado</v>
      </c>
      <c r="H154">
        <f>IF(OR(G154="Sin pagar",G154="Pagar"),NETWORKDAYS($J$123,F154,'Festivos Colombia'!$A$3:$A$22),0)</f>
        <v>0</v>
      </c>
      <c r="I154">
        <f>NETWORKDAYS($J$123,F154,'Festivos Colombia'!$A$3:$A$22)</f>
        <v>15</v>
      </c>
      <c r="J154">
        <f>H154</f>
        <v>0</v>
      </c>
    </row>
    <row r="155">
      <c r="A155" t="str">
        <f>G155</f>
        <v>Cancelado</v>
      </c>
      <c r="B155">
        <f>IF(I155&lt;=-1,1,IF(I155&lt;=5,2,IF(I155&lt;=15,3,IF(H155&lt;=60,4))))</f>
        <v>3</v>
      </c>
      <c r="C155">
        <v>27567</v>
      </c>
      <c r="D155" t="str">
        <v>Parking remofirst</v>
      </c>
      <c r="E155">
        <v>23850</v>
      </c>
      <c r="F155">
        <v>46073</v>
      </c>
      <c r="G155" t="str">
        <v>Cancelado</v>
      </c>
      <c r="H155">
        <f>IF(OR(G155="Sin pagar",G155="Pagar"),NETWORKDAYS($J$123,F155,'Festivos Colombia'!$A$3:$A$22),0)</f>
        <v>0</v>
      </c>
      <c r="I155">
        <f>NETWORKDAYS($J$123,F155,'Festivos Colombia'!$A$3:$A$22)</f>
        <v>15</v>
      </c>
      <c r="J155">
        <f>H155</f>
        <v>0</v>
      </c>
    </row>
    <row r="156">
      <c r="A156" t="str">
        <f>G156</f>
        <v>Cancelado</v>
      </c>
      <c r="B156">
        <f>IF(I156&lt;=-1,1,IF(I156&lt;=5,2,IF(I156&lt;=15,3,IF(H156&lt;=60,4))))</f>
        <v>3</v>
      </c>
      <c r="C156">
        <v>17</v>
      </c>
      <c r="D156" t="str">
        <v>Edgar Rafael Obrador Borja</v>
      </c>
      <c r="E156">
        <v>1609302.5</v>
      </c>
      <c r="F156">
        <v>46072</v>
      </c>
      <c r="G156" t="str">
        <v>Cancelado</v>
      </c>
      <c r="H156">
        <f>IF(OR(G156="Sin pagar",G156="Pagar"),NETWORKDAYS($J$123,F156,'Festivos Colombia'!$A$3:$A$22),0)</f>
        <v>0</v>
      </c>
      <c r="I156">
        <f>NETWORKDAYS($J$123,F156,'Festivos Colombia'!$A$3:$A$22)</f>
        <v>14</v>
      </c>
      <c r="J156">
        <f>H156</f>
        <v>0</v>
      </c>
    </row>
    <row r="157">
      <c r="A157" t="str">
        <f>G157</f>
        <v>Cancelado</v>
      </c>
      <c r="B157">
        <f>IF(I157&lt;=-1,1,IF(I157&lt;=5,2,IF(I157&lt;=15,3,IF(H157&lt;=60,4))))</f>
        <v>4</v>
      </c>
      <c r="C157" t="str">
        <v>BEC509497930</v>
      </c>
      <c r="D157" t="str">
        <v>MovistaR Telefonía</v>
      </c>
      <c r="E157">
        <v>946770</v>
      </c>
      <c r="F157">
        <v>46078</v>
      </c>
      <c r="G157" t="str">
        <v>Cancelado</v>
      </c>
      <c r="H157">
        <f>IF(OR(G157="Sin pagar",G157="Pagar"),NETWORKDAYS($J$123,F157,'Festivos Colombia'!$A$3:$A$22),0)</f>
        <v>0</v>
      </c>
      <c r="I157">
        <f>NETWORKDAYS($J$123,F157,'Festivos Colombia'!$A$3:$A$22)</f>
        <v>18</v>
      </c>
      <c r="J157">
        <f>H157</f>
        <v>0</v>
      </c>
    </row>
    <row r="158">
      <c r="A158" t="str">
        <f>G158</f>
        <v>Cancelado</v>
      </c>
      <c r="B158">
        <f>IF(I158&lt;=-1,1,IF(I158&lt;=5,2,IF(I158&lt;=15,3,IF(H158&lt;=60,4))))</f>
        <v>4</v>
      </c>
      <c r="C158" t="str">
        <v>192</v>
      </c>
      <c r="D158" t="str">
        <v>Caja menor</v>
      </c>
      <c r="E158">
        <v>221750</v>
      </c>
      <c r="F158">
        <v>46080</v>
      </c>
      <c r="G158" t="str">
        <v>Cancelado</v>
      </c>
      <c r="H158">
        <f>IF(OR(G158="Sin pagar",G158="Pagar"),NETWORKDAYS($J$123,F158,'Festivos Colombia'!$A$3:$A$22),0)</f>
        <v>0</v>
      </c>
      <c r="I158">
        <f>NETWORKDAYS($J$123,F158,'Festivos Colombia'!$A$3:$A$22)</f>
        <v>20</v>
      </c>
      <c r="J158">
        <f>H158</f>
        <v>0</v>
      </c>
    </row>
    <row r="159">
      <c r="A159" t="str">
        <f>G159</f>
        <v>Cancelado</v>
      </c>
      <c r="B159">
        <f>IF(I159&lt;=-1,1,IF(I159&lt;=5,2,IF(I159&lt;=15,3,IF(H159&lt;=60,4))))</f>
        <v>4</v>
      </c>
      <c r="C159" t="str">
        <v>003 -292490364</v>
      </c>
      <c r="D159" t="str">
        <v>Claro Office 365-Febrero</v>
      </c>
      <c r="E159">
        <v>1379355</v>
      </c>
      <c r="F159">
        <v>46085</v>
      </c>
      <c r="G159" t="str">
        <v>Cancelado</v>
      </c>
      <c r="H159">
        <f>IF(OR(G159="Sin pagar",G159="Pagar"),NETWORKDAYS($J$123,F159,'Festivos Colombia'!$A$3:$A$22),0)</f>
        <v>0</v>
      </c>
      <c r="I159">
        <f>NETWORKDAYS($J$123,F159,'Festivos Colombia'!$A$3:$A$22)</f>
        <v>23</v>
      </c>
      <c r="J159">
        <f>H159</f>
        <v>0</v>
      </c>
    </row>
    <row r="160">
      <c r="A160" t="str">
        <f>G160</f>
        <v>Cancelado</v>
      </c>
      <c r="B160">
        <f>IF(I160&lt;=-1,1,IF(I160&lt;=5,2,IF(I160&lt;=15,3,IF(H160&lt;=60,4))))</f>
        <v>4</v>
      </c>
      <c r="C160">
        <v>6027748555</v>
      </c>
      <c r="D160" t="str">
        <v>Claro-Telefonia -Febrero</v>
      </c>
      <c r="E160">
        <v>829794</v>
      </c>
      <c r="F160">
        <v>46085</v>
      </c>
      <c r="G160" t="str">
        <v>Cancelado</v>
      </c>
      <c r="H160">
        <f>IF(OR(G160="Sin pagar",G160="Pagar"),NETWORKDAYS($J$123,F160,'Festivos Colombia'!$A$3:$A$22),0)</f>
        <v>0</v>
      </c>
      <c r="I160">
        <f>NETWORKDAYS($J$123,F160,'Festivos Colombia'!$A$3:$A$22)</f>
        <v>23</v>
      </c>
      <c r="J160">
        <f>H160</f>
        <v>0</v>
      </c>
    </row>
    <row r="161">
      <c r="A161" t="str">
        <f>G161</f>
        <v>Sin Pagar</v>
      </c>
      <c r="B161">
        <f>IF(I161&lt;=-1,1,IF(I161&lt;=5,2,IF(I161&lt;=15,3,IF(H161&lt;=60,4))))</f>
        <v>4</v>
      </c>
      <c r="C161" t="str">
        <v>FE-56934</v>
      </c>
      <c r="D161" t="str">
        <v xml:space="preserve">BUK colombia SAS-Sucricpión Febrero 2026 Bukplay E-learning - Enero 2026 | 53 empleados </v>
      </c>
      <c r="E161">
        <f>1244113.7*0</f>
        <v>0</v>
      </c>
      <c r="F161">
        <v>46087</v>
      </c>
      <c r="G161" t="str">
        <v>Sin Pagar</v>
      </c>
      <c r="H161">
        <f>IF(OR(G161="Sin pagar",G161="Pagar"),NETWORKDAYS($J$123,F161,'Festivos Colombia'!$A$3:$A$22),0)</f>
        <v>25</v>
      </c>
      <c r="I161">
        <f>NETWORKDAYS($J$123,F161,'Festivos Colombia'!$A$3:$A$22)</f>
        <v>25</v>
      </c>
      <c r="J161">
        <f>H161</f>
        <v>25</v>
      </c>
    </row>
    <row r="162">
      <c r="A162" t="str">
        <f>G162</f>
        <v>Sin Pagar</v>
      </c>
      <c r="B162">
        <f>IF(I162&lt;=-1,1,IF(I162&lt;=5,2,IF(I162&lt;=15,3,IF(H162&lt;=60,4))))</f>
        <v>4</v>
      </c>
      <c r="C162" t="str">
        <v>580831430799</v>
      </c>
      <c r="D162" t="str">
        <v>Movistar Office 365</v>
      </c>
      <c r="E162">
        <f>368688*0</f>
        <v>0</v>
      </c>
      <c r="F162">
        <v>46087</v>
      </c>
      <c r="G162" t="str">
        <v>Sin Pagar</v>
      </c>
      <c r="H162">
        <f>IF(OR(G162="Sin pagar",G162="Pagar"),NETWORKDAYS($J$123,F162,'Festivos Colombia'!$A$3:$A$22),0)</f>
        <v>25</v>
      </c>
      <c r="I162">
        <f>NETWORKDAYS($J$123,F162,'Festivos Colombia'!$A$3:$A$22)</f>
        <v>25</v>
      </c>
      <c r="J162">
        <f>H162</f>
        <v>25</v>
      </c>
    </row>
    <row r="163">
      <c r="A163" t="str">
        <f>G163</f>
        <v>Sin Pagar</v>
      </c>
      <c r="B163">
        <f>IF(I163&lt;=-1,1,IF(I163&lt;=5,2,IF(I163&lt;=15,3,IF(H163&lt;=60,4))))</f>
        <v>4</v>
      </c>
      <c r="C163" t="str">
        <v>FEWP-6700</v>
      </c>
      <c r="D163" t="str">
        <v>WORKPLACE SOLUTIONS GROUP SAS (SPACIO)</v>
      </c>
      <c r="E163">
        <f>358066.76*0</f>
        <v>0</v>
      </c>
      <c r="F163">
        <v>46087</v>
      </c>
      <c r="G163" t="str">
        <v>Sin Pagar</v>
      </c>
      <c r="H163">
        <f>IF(OR(G163="Sin pagar",G163="Pagar"),NETWORKDAYS($J$123,F163,'Festivos Colombia'!$A$3:$A$22),0)</f>
        <v>25</v>
      </c>
      <c r="I163">
        <f>NETWORKDAYS($J$123,F163,'Festivos Colombia'!$A$3:$A$22)</f>
        <v>25</v>
      </c>
      <c r="J163">
        <f>H163</f>
        <v>25</v>
      </c>
    </row>
    <row r="164">
      <c r="A164" t="str">
        <f>G164</f>
        <v>Sin Pagar</v>
      </c>
      <c r="B164">
        <f>IF(I164&lt;=-1,1,IF(I164&lt;=5,2,IF(I164&lt;=15,3,IF(H164&lt;=60,4))))</f>
        <v>4</v>
      </c>
      <c r="C164">
        <v>27768</v>
      </c>
      <c r="D164" t="str">
        <v>Parking remofirst</v>
      </c>
      <c r="E164">
        <f>926800*0</f>
        <v>0</v>
      </c>
      <c r="F164">
        <v>46087</v>
      </c>
      <c r="G164" t="str">
        <v>Sin Pagar</v>
      </c>
      <c r="H164">
        <f>IF(OR(G164="Sin pagar",G164="Pagar"),NETWORKDAYS($J$123,F164,'Festivos Colombia'!$A$3:$A$22),0)</f>
        <v>25</v>
      </c>
      <c r="I164">
        <f>NETWORKDAYS($J$123,F164,'Festivos Colombia'!$A$3:$A$22)</f>
        <v>25</v>
      </c>
      <c r="J164">
        <f>H164</f>
        <v>25</v>
      </c>
    </row>
    <row r="165">
      <c r="A165" t="str">
        <f>G165</f>
        <v>Sin Pagar</v>
      </c>
      <c r="B165">
        <f>IF(I165&lt;=-1,1,IF(I165&lt;=5,2,IF(I165&lt;=15,3,IF(H165&lt;=60,4))))</f>
        <v>4</v>
      </c>
      <c r="C165">
        <v>36</v>
      </c>
      <c r="D165" t="str">
        <v>Dario Mendez</v>
      </c>
      <c r="E165">
        <f>1001838*0</f>
        <v>0</v>
      </c>
      <c r="F165">
        <v>46087</v>
      </c>
      <c r="G165" t="str">
        <v>Sin Pagar</v>
      </c>
      <c r="H165">
        <f>IF(OR(G165="Sin pagar",G165="Pagar"),NETWORKDAYS($J$123,F165,'Festivos Colombia'!$A$3:$A$22),0)</f>
        <v>25</v>
      </c>
      <c r="I165">
        <f>NETWORKDAYS($J$123,F165,'Festivos Colombia'!$A$3:$A$22)</f>
        <v>25</v>
      </c>
      <c r="J165">
        <f>H165</f>
        <v>25</v>
      </c>
    </row>
    <row r="166">
      <c r="D166" t="str">
        <v>PLANES COMPLEMENTARIOS Y PREPAGADAS</v>
      </c>
      <c r="E166">
        <f>SUBTOTAL(9,E167:E169)</f>
        <v>2933702</v>
      </c>
    </row>
    <row r="167">
      <c r="A167" t="str">
        <f>G167</f>
        <v>Cancelado</v>
      </c>
      <c r="B167">
        <f>IF(I167&lt;=-1,1,IF(I167&lt;=5,2,IF(I167&lt;=15,3,IF(H167&lt;=60,4))))</f>
        <v>2</v>
      </c>
      <c r="C167" t="str">
        <v>SD01 17321557</v>
      </c>
      <c r="D167" t="str">
        <v>Plan medicina prepagada Eduard Forero</v>
      </c>
      <c r="E167">
        <v>1064823</v>
      </c>
      <c r="F167">
        <v>46058</v>
      </c>
      <c r="G167" t="str">
        <v>Cancelado</v>
      </c>
      <c r="H167">
        <f>IF(OR(G167="Sin pagar",G167="Pagar"),NETWORKDAYS($J$123,F167,'Festivos Colombia'!$A$3:$A$22),0)</f>
        <v>0</v>
      </c>
      <c r="I167">
        <f>NETWORKDAYS($J$123,F167,'Festivos Colombia'!$A$3:$A$22)</f>
        <v>4</v>
      </c>
      <c r="J167">
        <f>H167</f>
        <v>0</v>
      </c>
    </row>
    <row r="168">
      <c r="A168" t="str">
        <f>G168</f>
        <v>Cancelado</v>
      </c>
      <c r="B168">
        <f>IF(I168&lt;=-1,1,IF(I168&lt;=5,2,IF(I168&lt;=15,3,IF(H168&lt;=60,4))))</f>
        <v>4</v>
      </c>
      <c r="C168" t="str">
        <v>219912177994</v>
      </c>
      <c r="D168" t="str">
        <v>Plan complementario Ricardo Arambulo</v>
      </c>
      <c r="E168">
        <f>804056</f>
        <v>804056</v>
      </c>
      <c r="F168">
        <v>46078</v>
      </c>
      <c r="G168" t="str">
        <v>Cancelado</v>
      </c>
      <c r="H168">
        <f>IF(OR(G168="Sin pagar",G168="Pagar"),NETWORKDAYS($J$123,F168,'Festivos Colombia'!$A$3:$A$22),0)</f>
        <v>0</v>
      </c>
      <c r="I168">
        <f>NETWORKDAYS($J$123,F168,'Festivos Colombia'!$A$3:$A$22)</f>
        <v>18</v>
      </c>
      <c r="J168">
        <f>H168</f>
        <v>0</v>
      </c>
    </row>
    <row r="169">
      <c r="A169" t="str">
        <f>G169</f>
        <v>Cancelado</v>
      </c>
      <c r="B169">
        <f>IF(I169&lt;=-1,1,IF(I169&lt;=5,2,IF(I169&lt;=15,3,IF(H169&lt;=60,4))))</f>
        <v>4</v>
      </c>
      <c r="C169" t="str">
        <v xml:space="preserve"> SD0117523829</v>
      </c>
      <c r="D169" t="str">
        <v>Plan medicina prepagada Eduard Forero</v>
      </c>
      <c r="E169">
        <v>1064823</v>
      </c>
      <c r="F169">
        <v>46079</v>
      </c>
      <c r="G169" t="str">
        <v>Cancelado</v>
      </c>
      <c r="H169">
        <f>IF(OR(G169="Sin pagar",G169="Pagar"),NETWORKDAYS($J$123,F169,'Festivos Colombia'!$A$3:$A$22),0)</f>
        <v>0</v>
      </c>
      <c r="I169">
        <f>NETWORKDAYS($J$123,F169,'Festivos Colombia'!$A$3:$A$22)</f>
        <v>19</v>
      </c>
      <c r="J169">
        <f>H169</f>
        <v>0</v>
      </c>
    </row>
    <row r="170">
      <c r="D170" t="str">
        <v>PÓLIZAS Y SEGUROS</v>
      </c>
      <c r="E170">
        <f>SUBTOTAL(9,E171:E176)</f>
        <v>10138313</v>
      </c>
    </row>
    <row r="171">
      <c r="A171" t="str">
        <f>G171</f>
        <v>Cancelado</v>
      </c>
      <c r="B171">
        <f>IF(I171&lt;=-1,1,IF(I171&lt;=5,2,IF(I171&lt;=15,3,IF(H171&lt;=60,4))))</f>
        <v>2</v>
      </c>
      <c r="C171">
        <v>20833353072</v>
      </c>
      <c r="D171" t="str">
        <v>Poliza Suramericana Póliza #  083004098664</v>
      </c>
      <c r="E171">
        <f>9337</f>
        <v>9337</v>
      </c>
      <c r="F171">
        <v>46058</v>
      </c>
      <c r="G171" t="str">
        <v>Cancelado</v>
      </c>
      <c r="H171">
        <f>IF(OR(G171="Sin pagar",G171="Pagar"),NETWORKDAYS($J$123,F171,'Festivos Colombia'!$A$3:$A$22),0)</f>
        <v>0</v>
      </c>
      <c r="I171">
        <f>NETWORKDAYS($J$123,F171,'Festivos Colombia'!$A$3:$A$22)</f>
        <v>4</v>
      </c>
      <c r="J171">
        <f>H171</f>
        <v>0</v>
      </c>
    </row>
    <row r="172">
      <c r="A172" t="str">
        <f>G172</f>
        <v>Cancelado</v>
      </c>
      <c r="B172">
        <f>IF(I172&lt;=-1,1,IF(I172&lt;=5,2,IF(I172&lt;=15,3,IF(H172&lt;=60,4))))</f>
        <v>2</v>
      </c>
      <c r="C172">
        <v>20833367727</v>
      </c>
      <c r="D172" t="str">
        <v>Poliza Suramericana Póliza #  083004098664</v>
      </c>
      <c r="E172">
        <v>54787</v>
      </c>
      <c r="F172">
        <v>46058</v>
      </c>
      <c r="G172" t="str">
        <v>Cancelado</v>
      </c>
      <c r="H172">
        <f>IF(OR(G172="Sin pagar",G172="Pagar"),NETWORKDAYS($J$123,F172,'Festivos Colombia'!$A$3:$A$22),0)</f>
        <v>0</v>
      </c>
      <c r="I172">
        <f>NETWORKDAYS($J$123,F172,'Festivos Colombia'!$A$3:$A$22)</f>
        <v>4</v>
      </c>
      <c r="J172">
        <f>H172</f>
        <v>0</v>
      </c>
    </row>
    <row r="173">
      <c r="A173" t="str">
        <f>G173</f>
        <v>Cancelado</v>
      </c>
      <c r="B173">
        <f>IF(I173&lt;=-1,1,IF(I173&lt;=5,2,IF(I173&lt;=15,3,IF(H173&lt;=60,4))))</f>
        <v>2</v>
      </c>
      <c r="C173">
        <v>20833367728</v>
      </c>
      <c r="D173" t="str">
        <v>Poliza Suramericana Póliza #  083004098664</v>
      </c>
      <c r="E173">
        <v>668368</v>
      </c>
      <c r="F173">
        <v>46058</v>
      </c>
      <c r="G173" t="str">
        <v>Cancelado</v>
      </c>
      <c r="H173">
        <f>IF(OR(G173="Sin pagar",G173="Pagar"),NETWORKDAYS($J$123,F173,'Festivos Colombia'!$A$3:$A$22),0)</f>
        <v>0</v>
      </c>
      <c r="I173">
        <f>NETWORKDAYS($J$123,F173,'Festivos Colombia'!$A$3:$A$22)</f>
        <v>4</v>
      </c>
      <c r="J173">
        <f>H173</f>
        <v>0</v>
      </c>
    </row>
    <row r="174">
      <c r="A174" t="str">
        <f>G174</f>
        <v>Cancelado</v>
      </c>
      <c r="B174">
        <f>IF(I174&lt;=-1,1,IF(I174&lt;=5,2,IF(I174&lt;=15,3,IF(H174&lt;=60,4))))</f>
        <v>2</v>
      </c>
      <c r="C174">
        <v>20911209135</v>
      </c>
      <c r="D174" t="str">
        <v>Poliza Suramericana Póliza #  091000808492</v>
      </c>
      <c r="E174">
        <v>418127</v>
      </c>
      <c r="F174">
        <v>46058</v>
      </c>
      <c r="G174" t="str">
        <v>Cancelado</v>
      </c>
      <c r="H174">
        <f>IF(OR(G174="Sin pagar",G174="Pagar"),NETWORKDAYS($J$123,F174,'Festivos Colombia'!$A$3:$A$22),0)</f>
        <v>0</v>
      </c>
      <c r="I174">
        <f>NETWORKDAYS($J$123,F174,'Festivos Colombia'!$A$3:$A$22)</f>
        <v>4</v>
      </c>
      <c r="J174">
        <f>H174</f>
        <v>0</v>
      </c>
    </row>
    <row r="175">
      <c r="A175" t="str">
        <f>G175</f>
        <v>Cancelado</v>
      </c>
      <c r="B175">
        <f>IF(I175&lt;=-1,1,IF(I175&lt;=5,2,IF(I175&lt;=15,3,IF(H175&lt;=60,4))))</f>
        <v>4</v>
      </c>
      <c r="C175">
        <v>20911213423</v>
      </c>
      <c r="D175" t="str">
        <v>Poliza Suramericana Póliza #  091000808492</v>
      </c>
      <c r="E175">
        <v>8987694</v>
      </c>
      <c r="F175">
        <v>46078</v>
      </c>
      <c r="G175" t="str">
        <v>Cancelado</v>
      </c>
      <c r="H175">
        <f>IF(OR(G175="Sin pagar",G175="Pagar"),NETWORKDAYS($J$123,F175,'Festivos Colombia'!$A$3:$A$22),0)</f>
        <v>0</v>
      </c>
      <c r="I175">
        <f>NETWORKDAYS($J$123,F175,'Festivos Colombia'!$A$3:$A$22)</f>
        <v>18</v>
      </c>
      <c r="J175">
        <f>H175</f>
        <v>0</v>
      </c>
    </row>
    <row r="176">
      <c r="A176" t="str">
        <f>G176</f>
        <v>Sin Pagar</v>
      </c>
      <c r="B176">
        <f>IF(I176&lt;=-1,1,IF(I176&lt;=5,2,IF(I176&lt;=15,3,IF(H176&lt;=60,4))))</f>
        <v>4</v>
      </c>
      <c r="C176">
        <v>208333411030</v>
      </c>
      <c r="D176" t="str">
        <v>Poliza Suramericana Póliza #  083004098664</v>
      </c>
      <c r="E176">
        <f>668368*0</f>
        <v>0</v>
      </c>
      <c r="F176">
        <v>46095</v>
      </c>
      <c r="G176" t="str">
        <v>Sin Pagar</v>
      </c>
      <c r="H176">
        <f>IF(OR(G176="Sin pagar",G176="Pagar"),NETWORKDAYS($J$123,F176,'Festivos Colombia'!$A$3:$A$22),0)</f>
        <v>30</v>
      </c>
      <c r="I176">
        <f>NETWORKDAYS($J$123,F176,'Festivos Colombia'!$A$3:$A$22)</f>
        <v>30</v>
      </c>
      <c r="J176">
        <f>H176</f>
        <v>30</v>
      </c>
    </row>
    <row r="177">
      <c r="D177" t="str">
        <v>SERVICIOS DE MENSAJERÍA</v>
      </c>
      <c r="E177">
        <f>SUBTOTAL(9,E178:E183)</f>
        <v>623728</v>
      </c>
    </row>
    <row r="178">
      <c r="A178" t="str">
        <f>G178</f>
        <v>Cancelado</v>
      </c>
      <c r="B178">
        <f>IF(I178&lt;=-1,1,IF(I178&lt;=5,2,IF(I178&lt;=15,3,IF(H178&lt;=60,4))))</f>
        <v>2</v>
      </c>
      <c r="C178">
        <v>57</v>
      </c>
      <c r="D178" t="str">
        <v>Yecid Martin</v>
      </c>
      <c r="E178">
        <v>39000</v>
      </c>
      <c r="F178">
        <v>46059</v>
      </c>
      <c r="G178" t="str">
        <v>Cancelado</v>
      </c>
      <c r="H178">
        <f>IF(OR(G178="Sin pagar",G178="Pagar"),NETWORKDAYS($J$123,F178,'Festivos Colombia'!$A$3:$A$22),0)</f>
        <v>0</v>
      </c>
      <c r="I178">
        <f>NETWORKDAYS($J$123,F178,'Festivos Colombia'!$A$3:$A$22)</f>
        <v>5</v>
      </c>
      <c r="J178">
        <f>H178</f>
        <v>0</v>
      </c>
    </row>
    <row r="179">
      <c r="A179" t="str">
        <f>G179</f>
        <v>Cancelado</v>
      </c>
      <c r="B179">
        <f>IF(I179&lt;=-1,1,IF(I179&lt;=5,2,IF(I179&lt;=15,3,IF(H179&lt;=60,4))))</f>
        <v>3</v>
      </c>
      <c r="C179">
        <v>58</v>
      </c>
      <c r="D179" t="str">
        <v>Yecid Martin</v>
      </c>
      <c r="E179">
        <v>106500</v>
      </c>
      <c r="F179">
        <v>46066</v>
      </c>
      <c r="G179" t="str">
        <v>Cancelado</v>
      </c>
      <c r="H179">
        <f>IF(OR(G179="Sin pagar",G179="Pagar"),NETWORKDAYS($J$123,F179,'Festivos Colombia'!$A$3:$A$22),0)</f>
        <v>0</v>
      </c>
      <c r="I179">
        <f>NETWORKDAYS($J$123,F179,'Festivos Colombia'!$A$3:$A$22)</f>
        <v>10</v>
      </c>
      <c r="J179">
        <f>H179</f>
        <v>0</v>
      </c>
    </row>
    <row r="180">
      <c r="A180" t="str">
        <f>G180</f>
        <v>Cancelado</v>
      </c>
      <c r="B180">
        <f>IF(I180&lt;=-1,1,IF(I180&lt;=5,2,IF(I180&lt;=15,3,IF(H180&lt;=60,4))))</f>
        <v>3</v>
      </c>
      <c r="C180">
        <v>20</v>
      </c>
      <c r="D180" t="str">
        <v>Mundo express</v>
      </c>
      <c r="E180">
        <v>116000</v>
      </c>
      <c r="F180">
        <v>46073</v>
      </c>
      <c r="G180" t="str">
        <v>Cancelado</v>
      </c>
      <c r="H180">
        <f>IF(OR(G180="Sin pagar",G180="Pagar"),NETWORKDAYS($J$123,F180,'Festivos Colombia'!$A$3:$A$22),0)</f>
        <v>0</v>
      </c>
      <c r="I180">
        <f>NETWORKDAYS($J$123,F180,'Festivos Colombia'!$A$3:$A$22)</f>
        <v>15</v>
      </c>
      <c r="J180">
        <f>H180</f>
        <v>0</v>
      </c>
    </row>
    <row r="181">
      <c r="A181" t="str">
        <f>G181</f>
        <v>Cancelado</v>
      </c>
      <c r="B181">
        <f>IF(I181&lt;=-1,1,IF(I181&lt;=5,2,IF(I181&lt;=15,3,IF(H181&lt;=60,4))))</f>
        <v>3</v>
      </c>
      <c r="C181">
        <v>59</v>
      </c>
      <c r="D181" t="str">
        <v>Yecid Martin</v>
      </c>
      <c r="E181">
        <v>78000</v>
      </c>
      <c r="F181">
        <v>46072</v>
      </c>
      <c r="G181" t="str">
        <v>Cancelado</v>
      </c>
      <c r="H181">
        <f>IF(OR(G181="Sin pagar",G181="Pagar"),NETWORKDAYS($J$123,F181,'Festivos Colombia'!$A$3:$A$22),0)</f>
        <v>0</v>
      </c>
      <c r="I181">
        <f>NETWORKDAYS($J$123,F181,'Festivos Colombia'!$A$3:$A$22)</f>
        <v>14</v>
      </c>
      <c r="J181">
        <f>H181</f>
        <v>0</v>
      </c>
    </row>
    <row r="182">
      <c r="A182" t="str">
        <f>G182</f>
        <v>Cancelado</v>
      </c>
      <c r="B182">
        <f>IF(I182&lt;=-1,1,IF(I182&lt;=5,2,IF(I182&lt;=15,3,IF(H182&lt;=60,4))))</f>
        <v>4</v>
      </c>
      <c r="C182">
        <v>60</v>
      </c>
      <c r="D182" t="str">
        <v>Yecid Martin</v>
      </c>
      <c r="E182">
        <v>284228</v>
      </c>
      <c r="F182">
        <v>46080</v>
      </c>
      <c r="G182" t="str">
        <v>Cancelado</v>
      </c>
      <c r="H182">
        <f>IF(OR(G182="Sin pagar",G182="Pagar"),NETWORKDAYS($J$123,F182,'Festivos Colombia'!$A$3:$A$22),0)</f>
        <v>0</v>
      </c>
      <c r="I182">
        <f>NETWORKDAYS($J$123,F182,'Festivos Colombia'!$A$3:$A$22)</f>
        <v>20</v>
      </c>
      <c r="J182">
        <f>H182</f>
        <v>0</v>
      </c>
    </row>
    <row r="183">
      <c r="A183" t="str">
        <f>G183</f>
        <v>Sin Pagar</v>
      </c>
      <c r="B183">
        <f>IF(I183&lt;=-1,1,IF(I183&lt;=5,2,IF(I183&lt;=15,3,IF(H183&lt;=60,4))))</f>
        <v>4</v>
      </c>
      <c r="C183">
        <v>21</v>
      </c>
      <c r="D183" t="str">
        <v>Mundo express</v>
      </c>
      <c r="E183">
        <f>78000*0</f>
        <v>0</v>
      </c>
      <c r="F183">
        <v>46087</v>
      </c>
      <c r="G183" t="str">
        <v>Sin Pagar</v>
      </c>
      <c r="H183">
        <f>IF(OR(G183="Sin pagar",G183="Pagar"),NETWORKDAYS($J$123,F183,'Festivos Colombia'!$A$3:$A$22),0)</f>
        <v>25</v>
      </c>
      <c r="I183">
        <f>NETWORKDAYS($J$123,F183,'Festivos Colombia'!$A$3:$A$22)</f>
        <v>25</v>
      </c>
      <c r="J183">
        <f>H183</f>
        <v>25</v>
      </c>
    </row>
    <row r="184">
      <c r="D184" t="str">
        <v>REEMBOLSO SAIPEM</v>
      </c>
      <c r="E184">
        <f>SUBTOTAL(9,E185:E185)</f>
        <v>0</v>
      </c>
    </row>
    <row r="185">
      <c r="D185" t="str">
        <v>Reembolso previsto</v>
      </c>
      <c r="E185">
        <v>0</v>
      </c>
      <c r="F185">
        <v>46080</v>
      </c>
      <c r="G185" t="str">
        <v>Cancelado</v>
      </c>
      <c r="H185">
        <f>IF(OR(G185="Sin pagar",G185="Pagar"),NETWORKDAYS($J$123,F185,'Festivos Colombia'!$A$3:$A$22),0)</f>
        <v>0</v>
      </c>
      <c r="I185">
        <f>NETWORKDAYS($J$123,F185,'Festivos Colombia'!$A$3:$A$22)</f>
        <v>20</v>
      </c>
      <c r="J185">
        <f>H185</f>
        <v>0</v>
      </c>
    </row>
    <row r="186">
      <c r="D186" t="str">
        <v>EXAMENES MÉDICOS SAIPEM y OTROS</v>
      </c>
      <c r="E186">
        <f>SUBTOTAL(9,E187:E188)</f>
        <v>2181200</v>
      </c>
    </row>
    <row r="187">
      <c r="D187" t="str">
        <v>Examenes Medicos Nestor José Padilla - SAIPEM</v>
      </c>
      <c r="E187">
        <f>2137576*0</f>
        <v>0</v>
      </c>
      <c r="F187">
        <v>46056</v>
      </c>
      <c r="G187" t="str">
        <v>Cancelado</v>
      </c>
      <c r="H187">
        <f>IF(OR(G187="Sin pagar",G187="Pagar"),NETWORKDAYS($J$123,F187,'Festivos Colombia'!$A$3:$A$22),0)</f>
        <v>0</v>
      </c>
      <c r="I187">
        <f>NETWORKDAYS($J$123,F187,'Festivos Colombia'!$A$3:$A$22)</f>
        <v>2</v>
      </c>
      <c r="J187">
        <f>H187</f>
        <v>0</v>
      </c>
    </row>
    <row r="188">
      <c r="D188" t="str">
        <v>Examenes Medicos Diego Andrés Montes  - SAIPEM</v>
      </c>
      <c r="E188">
        <v>2181200</v>
      </c>
      <c r="F188">
        <v>46070</v>
      </c>
      <c r="G188" t="str">
        <v>Cancelado</v>
      </c>
      <c r="H188">
        <f>IF(OR(G188="Sin pagar",G188="Pagar"),NETWORKDAYS($J$123,F188,'Festivos Colombia'!$A$3:$A$22),0)</f>
        <v>0</v>
      </c>
      <c r="I188">
        <f>NETWORKDAYS($J$123,F188,'Festivos Colombia'!$A$3:$A$22)</f>
        <v>12</v>
      </c>
      <c r="J188">
        <f>H188</f>
        <v>0</v>
      </c>
    </row>
    <row r="189">
      <c r="D189" t="str">
        <v>TIQUETES AÉREOS , HOTELES SAIPEM-AECID - ROOT CAPITAL</v>
      </c>
      <c r="E189">
        <f>SUBTOTAL(9,E190:E192)</f>
        <v>3589416</v>
      </c>
    </row>
    <row r="190">
      <c r="D190" t="str">
        <v>Tiquetes Montería -Bogota y VSA Nestor José Padilla -Saipem</v>
      </c>
      <c r="E190">
        <v>1484670</v>
      </c>
      <c r="F190">
        <v>46056</v>
      </c>
      <c r="G190" t="str">
        <v>Cancelado</v>
      </c>
      <c r="H190">
        <f>IF(OR(G190="Sin pagar",G190="Pagar"),NETWORKDAYS($J$123,F190,'Festivos Colombia'!$A$3:$A$22),0)</f>
        <v>0</v>
      </c>
      <c r="I190">
        <f>NETWORKDAYS($J$123,F190,'Festivos Colombia'!$A$3:$A$22)</f>
        <v>2</v>
      </c>
      <c r="J190">
        <f>H190</f>
        <v>0</v>
      </c>
    </row>
    <row r="191">
      <c r="D191" t="str">
        <v>Tiquete y hotel Diego Andrés Montes Medellín-Bogotá y VSA</v>
      </c>
      <c r="E191">
        <v>1454616</v>
      </c>
      <c r="F191">
        <v>46070</v>
      </c>
      <c r="G191" t="str">
        <v>Cancelado</v>
      </c>
      <c r="H191">
        <f>IF(OR(G191="Sin pagar",G191="Pagar"),NETWORKDAYS($J$123,F191,'Festivos Colombia'!$A$3:$A$22),0)</f>
        <v>0</v>
      </c>
      <c r="I191">
        <f>NETWORKDAYS($J$123,F191,'Festivos Colombia'!$A$3:$A$22)</f>
        <v>12</v>
      </c>
      <c r="J191">
        <f>H191</f>
        <v>0</v>
      </c>
    </row>
    <row r="192">
      <c r="D192" t="str">
        <v>Tiquete Previsto Mercede Alvarez AECID Bogota -Cali y VSA</v>
      </c>
      <c r="E192">
        <v>650130</v>
      </c>
      <c r="F192">
        <v>46071</v>
      </c>
      <c r="G192" t="str">
        <v>Cancelado</v>
      </c>
      <c r="H192">
        <f>IF(OR(G192="Sin pagar",G192="Pagar"),NETWORKDAYS($J$123,F192,'Festivos Colombia'!$A$3:$A$22),0)</f>
        <v>0</v>
      </c>
      <c r="I192">
        <f>NETWORKDAYS($J$123,F192,'Festivos Colombia'!$A$3:$A$22)</f>
        <v>13</v>
      </c>
      <c r="J192">
        <f>H192</f>
        <v>0</v>
      </c>
    </row>
    <row r="193">
      <c r="D193" t="str">
        <v>REEMBOLSOS REMOFIRST-YON YOU-AECID</v>
      </c>
      <c r="E193">
        <f>SUBTOTAL(9,E194:E195)</f>
        <v>5948650</v>
      </c>
    </row>
    <row r="194">
      <c r="A194" t="str">
        <f>G194</f>
        <v>Cancelado</v>
      </c>
      <c r="B194">
        <f>IF(I194&lt;=-1,1,IF(I194&lt;=5,2,IF(I194&lt;=15,3,IF(H194&lt;=60,4))))</f>
        <v>4</v>
      </c>
      <c r="D194" t="str">
        <v>Reembolso Eduardo Andrés Santos Contreras - Yon Yuo</v>
      </c>
      <c r="E194">
        <v>5948650</v>
      </c>
      <c r="F194">
        <v>46079</v>
      </c>
      <c r="G194" t="str">
        <v>Cancelado</v>
      </c>
      <c r="H194">
        <f>IF(OR(G194="Sin pagar",G194="Pagar"),NETWORKDAYS($J$123,F194,'Festivos Colombia'!$A$3:$A$22),0)</f>
        <v>0</v>
      </c>
      <c r="I194">
        <f>NETWORKDAYS($J$123,F194,'Festivos Colombia'!$A$3:$A$22)</f>
        <v>19</v>
      </c>
      <c r="J194">
        <f>H194</f>
        <v>0</v>
      </c>
    </row>
    <row r="195">
      <c r="A195" t="str">
        <f>G195</f>
        <v>Sin Pagar</v>
      </c>
      <c r="B195">
        <f>IF(I195&lt;=-1,1,IF(I195&lt;=5,2,IF(I195&lt;=15,3,IF(H195&lt;=60,4))))</f>
        <v>4</v>
      </c>
      <c r="D195" t="str">
        <v>Reembolso Sandra de los Rios comisón 24-25  febrero Guajira  - AECID</v>
      </c>
      <c r="E195">
        <f>1204896.67*0</f>
        <v>0</v>
      </c>
      <c r="F195">
        <v>46087</v>
      </c>
      <c r="G195" t="str">
        <v>Sin Pagar</v>
      </c>
      <c r="H195">
        <f>IF(OR(G195="Sin pagar",G195="Pagar"),NETWORKDAYS($J$123,F195,'Festivos Colombia'!$A$3:$A$22),0)</f>
        <v>25</v>
      </c>
      <c r="I195">
        <f>NETWORKDAYS($J$123,F195,'Festivos Colombia'!$A$3:$A$22)</f>
        <v>25</v>
      </c>
      <c r="J195">
        <f>H195</f>
        <v>25</v>
      </c>
    </row>
    <row r="196">
      <c r="D196" t="str">
        <v>REEMBOLSOS INSIDER</v>
      </c>
      <c r="E196">
        <f>SUBTOTAL(9,E197:E207)</f>
        <v>6526982.34</v>
      </c>
    </row>
    <row r="197">
      <c r="A197" t="str">
        <f>G197</f>
        <v>Cancelado</v>
      </c>
      <c r="B197">
        <f>IF(I197&lt;=-1,1,IF(I197&lt;=5,2,IF(I197&lt;=15,3,IF(H197&lt;=60,4))))</f>
        <v>4</v>
      </c>
      <c r="D197" t="str">
        <v>Reembolso   Miranda Vergara huyna 15 - Remofirst - INSIGTHFUL</v>
      </c>
      <c r="E197">
        <v>1096470</v>
      </c>
      <c r="F197">
        <v>46079</v>
      </c>
      <c r="G197" t="str">
        <v>Cancelado</v>
      </c>
      <c r="H197">
        <f>IF(OR(G197="Sin pagar",G197="Pagar"),NETWORKDAYS($J$123,F197,'Festivos Colombia'!$A$3:$A$22),0)</f>
        <v>0</v>
      </c>
      <c r="I197">
        <f>NETWORKDAYS($J$123,F197,'Festivos Colombia'!$A$3:$A$22)</f>
        <v>19</v>
      </c>
      <c r="J197">
        <f>H197</f>
        <v>0</v>
      </c>
    </row>
    <row r="198">
      <c r="D198" t="str">
        <v>Reembolso   Orlando  Mendez davila 06 - Remofirst - TC1 CORPORATION SAC</v>
      </c>
      <c r="E198">
        <v>54797.45</v>
      </c>
      <c r="F198">
        <v>46079</v>
      </c>
      <c r="G198" t="str">
        <v>Cancelado</v>
      </c>
      <c r="H198">
        <f>IF(OR(G198="Sin pagar",G198="Pagar"),NETWORKDAYS($J$123,F198,'Festivos Colombia'!$A$3:$A$22),0)</f>
        <v>0</v>
      </c>
      <c r="I198">
        <f>NETWORKDAYS($J$123,F198,'Festivos Colombia'!$A$3:$A$22)</f>
        <v>19</v>
      </c>
      <c r="J198">
        <f>H198</f>
        <v>0</v>
      </c>
    </row>
    <row r="199">
      <c r="D199" t="str">
        <v>Reembolso    Monica Maria agudelo magalhaes 53 - Remofirst - Remote Medicine, Inc</v>
      </c>
      <c r="E199">
        <v>24950</v>
      </c>
      <c r="F199">
        <v>46079</v>
      </c>
      <c r="G199" t="str">
        <v>Cancelado</v>
      </c>
      <c r="H199">
        <f>IF(OR(G199="Sin pagar",G199="Pagar"),NETWORKDAYS($J$123,F199,'Festivos Colombia'!$A$3:$A$22),0)</f>
        <v>0</v>
      </c>
      <c r="I199">
        <f>NETWORKDAYS($J$123,F199,'Festivos Colombia'!$A$3:$A$22)</f>
        <v>19</v>
      </c>
      <c r="J199">
        <f>H199</f>
        <v>0</v>
      </c>
    </row>
    <row r="200">
      <c r="D200" t="str">
        <v>Reembolso   Diana Cristian murillo  alzate  24 - Remofirst - Prometryx, Inc</v>
      </c>
      <c r="E200">
        <v>350000</v>
      </c>
      <c r="F200">
        <v>46079</v>
      </c>
      <c r="G200" t="str">
        <v>Cancelado</v>
      </c>
      <c r="H200">
        <f>IF(OR(G200="Sin pagar",G200="Pagar"),NETWORKDAYS($J$123,F200,'Festivos Colombia'!$A$3:$A$22),0)</f>
        <v>0</v>
      </c>
      <c r="I200">
        <f>NETWORKDAYS($J$123,F200,'Festivos Colombia'!$A$3:$A$22)</f>
        <v>19</v>
      </c>
      <c r="J200">
        <f>H200</f>
        <v>0</v>
      </c>
    </row>
    <row r="201">
      <c r="D201" t="str">
        <v>Reembolso   Lisset Cristina franco mejía 24 - Remofirst - Prometryx, Inc</v>
      </c>
      <c r="E201">
        <v>523200</v>
      </c>
      <c r="F201">
        <v>46079</v>
      </c>
      <c r="G201" t="str">
        <v>Cancelado</v>
      </c>
      <c r="H201">
        <f>IF(OR(G201="Sin pagar",G201="Pagar"),NETWORKDAYS($J$123,F201,'Festivos Colombia'!$A$3:$A$22),0)</f>
        <v>0</v>
      </c>
      <c r="I201">
        <f>NETWORKDAYS($J$123,F201,'Festivos Colombia'!$A$3:$A$22)</f>
        <v>19</v>
      </c>
      <c r="J201">
        <f>H201</f>
        <v>0</v>
      </c>
    </row>
    <row r="202">
      <c r="D202" t="str">
        <v>Reembolso   Cindy Lorena Nomesque  Medina  25 - Remofirst - ISLAMIC RELIEF</v>
      </c>
      <c r="E202">
        <v>145800</v>
      </c>
      <c r="F202">
        <v>46079</v>
      </c>
      <c r="G202" t="str">
        <v>Cancelado</v>
      </c>
      <c r="H202">
        <f>IF(OR(G202="Sin pagar",G202="Pagar"),NETWORKDAYS($J$123,F202,'Festivos Colombia'!$A$3:$A$22),0)</f>
        <v>0</v>
      </c>
      <c r="I202">
        <f>NETWORKDAYS($J$123,F202,'Festivos Colombia'!$A$3:$A$22)</f>
        <v>19</v>
      </c>
      <c r="J202">
        <f>H202</f>
        <v>0</v>
      </c>
    </row>
    <row r="203">
      <c r="D203" t="str">
        <v>Reembolso   Emma Soraya Rojas Navarrete 25 - Remofirst - ISLAMIC RELIEF</v>
      </c>
      <c r="E203">
        <v>1219169.57</v>
      </c>
      <c r="F203">
        <v>46079</v>
      </c>
      <c r="G203" t="str">
        <v>Cancelado</v>
      </c>
      <c r="H203">
        <f>IF(OR(G203="Sin pagar",G203="Pagar"),NETWORKDAYS($J$123,F203,'Festivos Colombia'!$A$3:$A$22),0)</f>
        <v>0</v>
      </c>
      <c r="I203">
        <f>NETWORKDAYS($J$123,F203,'Festivos Colombia'!$A$3:$A$22)</f>
        <v>19</v>
      </c>
      <c r="J203">
        <f>H203</f>
        <v>0</v>
      </c>
    </row>
    <row r="204">
      <c r="D204" t="str">
        <v>Reembolso   Karen Sofía Farfán Barrero 13 - Remofirst - ONE FIREFLY, LLC</v>
      </c>
      <c r="E204">
        <v>742724.32</v>
      </c>
      <c r="F204">
        <v>46079</v>
      </c>
      <c r="G204" t="str">
        <v>Cancelado</v>
      </c>
      <c r="H204">
        <f>IF(OR(G204="Sin pagar",G204="Pagar"),NETWORKDAYS($J$123,F204,'Festivos Colombia'!$A$3:$A$22),0)</f>
        <v>0</v>
      </c>
      <c r="I204">
        <f>NETWORKDAYS($J$123,F204,'Festivos Colombia'!$A$3:$A$22)</f>
        <v>19</v>
      </c>
      <c r="J204">
        <f>H204</f>
        <v>0</v>
      </c>
    </row>
    <row r="205">
      <c r="D205" t="str">
        <v>Reembolso   Christian Nicanor Poveda Ruiz 02 - Remofirst - FERROUS</v>
      </c>
      <c r="E205">
        <v>577381</v>
      </c>
      <c r="F205">
        <v>46079</v>
      </c>
      <c r="G205" t="str">
        <v>Cancelado</v>
      </c>
      <c r="H205">
        <f>IF(OR(G205="Sin pagar",G205="Pagar"),NETWORKDAYS($J$123,F205,'Festivos Colombia'!$A$3:$A$22),0)</f>
        <v>0</v>
      </c>
      <c r="I205">
        <f>NETWORKDAYS($J$123,F205,'Festivos Colombia'!$A$3:$A$22)</f>
        <v>19</v>
      </c>
      <c r="J205">
        <f>H205</f>
        <v>0</v>
      </c>
    </row>
    <row r="206">
      <c r="D206" t="str">
        <v>Reembolso   Sandra Lucia Barrios Angulo 38 - Remofirst - Quantic Vision, S.A</v>
      </c>
      <c r="E206">
        <v>150000</v>
      </c>
      <c r="F206">
        <v>46079</v>
      </c>
      <c r="G206" t="str">
        <v>Cancelado</v>
      </c>
      <c r="H206">
        <f>IF(OR(G206="Sin pagar",G206="Pagar"),NETWORKDAYS($J$123,F206,'Festivos Colombia'!$A$3:$A$22),0)</f>
        <v>0</v>
      </c>
      <c r="I206">
        <f>NETWORKDAYS($J$123,F206,'Festivos Colombia'!$A$3:$A$22)</f>
        <v>19</v>
      </c>
      <c r="J206">
        <f>H206</f>
        <v>0</v>
      </c>
    </row>
    <row r="207">
      <c r="D207" t="str">
        <v>Reembolso   Mary Eleanor Klerlein  56 - Remofirst - Spitfire Strategies LLC</v>
      </c>
      <c r="E207">
        <v>1642490</v>
      </c>
      <c r="F207">
        <v>46079</v>
      </c>
      <c r="G207" t="str">
        <v>Cancelado</v>
      </c>
      <c r="H207">
        <f>IF(OR(G207="Sin pagar",G207="Pagar"),NETWORKDAYS($J$123,F207,'Festivos Colombia'!$A$3:$A$22),0)</f>
        <v>0</v>
      </c>
      <c r="I207">
        <f>NETWORKDAYS($J$123,F207,'Festivos Colombia'!$A$3:$A$22)</f>
        <v>19</v>
      </c>
      <c r="J207">
        <f>H207</f>
        <v>0</v>
      </c>
    </row>
    <row r="208">
      <c r="D208" t="str">
        <v>ASESORÍAS</v>
      </c>
      <c r="E208">
        <f>SUBTOTAL(9,E209:E238)</f>
        <v>70026005.50367999</v>
      </c>
    </row>
    <row r="209">
      <c r="A209" t="str">
        <f>G209</f>
        <v>Cancelado</v>
      </c>
      <c r="B209">
        <f>IF(I209&lt;=-1,1,IF(I209&lt;=5,2,IF(I209&lt;=15,3,IF(H209&lt;=60,4))))</f>
        <v>2</v>
      </c>
      <c r="C209" t="str">
        <v>FE36</v>
      </c>
      <c r="D209" t="str">
        <v>Curso planeación de nómina</v>
      </c>
      <c r="E209">
        <f>809200*0</f>
        <v>0</v>
      </c>
      <c r="F209">
        <v>46055</v>
      </c>
      <c r="G209" t="str">
        <v>Cancelado</v>
      </c>
      <c r="H209">
        <f>IF(OR(G209="Sin pagar",G209="Pagar"),NETWORKDAYS($J$123,F209,'Festivos Colombia'!$A$3:$A$22),0)</f>
        <v>0</v>
      </c>
      <c r="I209">
        <f>NETWORKDAYS($J$123,F209,'Festivos Colombia'!$A$3:$A$22)</f>
        <v>1</v>
      </c>
      <c r="J209">
        <f>H209</f>
        <v>0</v>
      </c>
    </row>
    <row r="210">
      <c r="A210" t="str">
        <f>G210</f>
        <v>Cancelado</v>
      </c>
      <c r="B210">
        <f>IF(I210&lt;=-1,1,IF(I210&lt;=5,2,IF(I210&lt;=15,3,IF(H210&lt;=60,4))))</f>
        <v>2</v>
      </c>
      <c r="C210" t="str">
        <v>FE-2064</v>
      </c>
      <c r="D210" t="str">
        <v>Plurum 80% escuela de liderazgo</v>
      </c>
      <c r="E210">
        <f>41353724</f>
        <v>41353724</v>
      </c>
      <c r="F210">
        <v>46058</v>
      </c>
      <c r="G210" t="str">
        <v>Cancelado</v>
      </c>
      <c r="H210">
        <f>IF(OR(G210="Sin pagar",G210="Pagar"),NETWORKDAYS($J$123,F210,'Festivos Colombia'!$A$3:$A$22),0)</f>
        <v>0</v>
      </c>
      <c r="I210">
        <f>NETWORKDAYS($J$123,F210,'Festivos Colombia'!$A$3:$A$22)</f>
        <v>4</v>
      </c>
      <c r="J210">
        <f>H210</f>
        <v>0</v>
      </c>
    </row>
    <row r="211">
      <c r="A211" t="str">
        <f>G211</f>
        <v>Cancelado</v>
      </c>
      <c r="B211">
        <f>IF(I211&lt;=-1,1,IF(I211&lt;=5,2,IF(I211&lt;=15,3,IF(H211&lt;=60,4))))</f>
        <v>2</v>
      </c>
      <c r="C211">
        <v>8</v>
      </c>
      <c r="D211" t="str">
        <v>José Joaquín Salcedo Duran ( Consultoria en seguridad información)</v>
      </c>
      <c r="E211">
        <f>3100000</f>
        <v>3100000</v>
      </c>
      <c r="F211">
        <v>46058</v>
      </c>
      <c r="G211" t="str">
        <v>Cancelado</v>
      </c>
      <c r="H211">
        <f>IF(OR(G211="Sin pagar",G211="Pagar"),NETWORKDAYS($J$123,F211,'Festivos Colombia'!$A$3:$A$22),0)</f>
        <v>0</v>
      </c>
      <c r="I211">
        <f>NETWORKDAYS($J$123,F211,'Festivos Colombia'!$A$3:$A$22)</f>
        <v>4</v>
      </c>
      <c r="J211">
        <f>H211</f>
        <v>0</v>
      </c>
    </row>
    <row r="212">
      <c r="A212" t="str">
        <f>G212</f>
        <v>Cancelado</v>
      </c>
      <c r="B212">
        <f>IF(I212&lt;=-1,1,IF(I212&lt;=5,2,IF(I212&lt;=15,3,IF(H212&lt;=60,4))))</f>
        <v>2</v>
      </c>
      <c r="C212" t="str">
        <v>FENI-11542</v>
      </c>
      <c r="D212" t="str">
        <v>Nixcom Servicio técnico mensual</v>
      </c>
      <c r="E212">
        <v>798238</v>
      </c>
      <c r="F212">
        <v>46058</v>
      </c>
      <c r="G212" t="str">
        <v>Cancelado</v>
      </c>
      <c r="H212">
        <f>IF(OR(G212="Sin pagar",G212="Pagar"),NETWORKDAYS($J$123,F212,'Festivos Colombia'!$A$3:$A$22),0)</f>
        <v>0</v>
      </c>
      <c r="I212">
        <f>NETWORKDAYS($J$123,F212,'Festivos Colombia'!$A$3:$A$22)</f>
        <v>4</v>
      </c>
      <c r="J212">
        <f>H212</f>
        <v>0</v>
      </c>
    </row>
    <row r="213">
      <c r="A213" t="str">
        <f>G213</f>
        <v>Cancelado</v>
      </c>
      <c r="B213">
        <f>IF(I213&lt;=-1,1,IF(I213&lt;=5,2,IF(I213&lt;=15,3,IF(H213&lt;=60,4))))</f>
        <v>2</v>
      </c>
      <c r="C213" t="str">
        <v>FE-399</v>
      </c>
      <c r="D213" t="str">
        <v>ACT&amp;J Consultores  S&amp;P</v>
      </c>
      <c r="E213">
        <f>4065250</f>
        <v>4065250</v>
      </c>
      <c r="F213">
        <v>46058</v>
      </c>
      <c r="G213" t="str">
        <v>Cancelado</v>
      </c>
      <c r="H213">
        <f>IF(OR(G213="Sin pagar",G213="Pagar"),NETWORKDAYS($J$123,F213,'Festivos Colombia'!$A$3:$A$22),0)</f>
        <v>0</v>
      </c>
      <c r="I213">
        <f>NETWORKDAYS($J$123,F213,'Festivos Colombia'!$A$3:$A$22)</f>
        <v>4</v>
      </c>
      <c r="J213">
        <f>H213</f>
        <v>0</v>
      </c>
    </row>
    <row r="214">
      <c r="A214" t="str">
        <f>G214</f>
        <v>Cancelado</v>
      </c>
      <c r="B214">
        <f>IF(I214&lt;=-1,1,IF(I214&lt;=5,2,IF(I214&lt;=15,3,IF(H214&lt;=60,4))))</f>
        <v>2</v>
      </c>
      <c r="C214" t="str">
        <v>FENI-11463</v>
      </c>
      <c r="D214" t="str">
        <v>Nixcom Servicio técnico mensual</v>
      </c>
      <c r="E214">
        <v>1186677.7159</v>
      </c>
      <c r="F214">
        <v>46058</v>
      </c>
      <c r="G214" t="str">
        <v>Cancelado</v>
      </c>
      <c r="H214">
        <f>IF(OR(G214="Sin pagar",G214="Pagar"),NETWORKDAYS($J$123,F214,'Festivos Colombia'!$A$3:$A$22),0)</f>
        <v>0</v>
      </c>
      <c r="I214">
        <f>NETWORKDAYS($J$123,F214,'Festivos Colombia'!$A$3:$A$22)</f>
        <v>4</v>
      </c>
      <c r="J214">
        <f>H214</f>
        <v>0</v>
      </c>
    </row>
    <row r="215">
      <c r="A215" t="str">
        <f>G215</f>
        <v>Cancelado</v>
      </c>
      <c r="B215">
        <f>IF(I215&lt;=-1,1,IF(I215&lt;=5,2,IF(I215&lt;=15,3,IF(H215&lt;=60,4))))</f>
        <v>3</v>
      </c>
      <c r="C215">
        <v>1</v>
      </c>
      <c r="D215" t="str">
        <v>Karina Elizabeth Atencio de simancas</v>
      </c>
      <c r="E215">
        <v>595404</v>
      </c>
      <c r="F215">
        <v>46072</v>
      </c>
      <c r="G215" t="str">
        <v>Cancelado</v>
      </c>
      <c r="H215">
        <f>IF(OR(G215="Sin pagar",G215="Pagar"),NETWORKDAYS($J$123,F215,'Festivos Colombia'!$A$3:$A$22),0)</f>
        <v>0</v>
      </c>
      <c r="I215">
        <f>NETWORKDAYS($J$123,F215,'Festivos Colombia'!$A$3:$A$22)</f>
        <v>14</v>
      </c>
      <c r="J215">
        <f>H215</f>
        <v>0</v>
      </c>
    </row>
    <row r="216">
      <c r="A216" t="str">
        <f>G216</f>
        <v>Cancelado</v>
      </c>
      <c r="B216">
        <f>IF(I216&lt;=-1,1,IF(I216&lt;=5,2,IF(I216&lt;=15,3,IF(H216&lt;=60,4))))</f>
        <v>3</v>
      </c>
      <c r="C216" t="str">
        <v>FE 401</v>
      </c>
      <c r="D216" t="str">
        <v>ACT&amp;J Consultores  Global CS Colombia enero 2026</v>
      </c>
      <c r="E216">
        <v>3665694</v>
      </c>
      <c r="F216">
        <v>46072</v>
      </c>
      <c r="G216" t="str">
        <v>Cancelado</v>
      </c>
      <c r="H216">
        <f>IF(OR(G216="Sin pagar",G216="Pagar"),NETWORKDAYS($J$123,F216,'Festivos Colombia'!$A$3:$A$22),0)</f>
        <v>0</v>
      </c>
      <c r="I216">
        <f>NETWORKDAYS($J$123,F216,'Festivos Colombia'!$A$3:$A$22)</f>
        <v>14</v>
      </c>
      <c r="J216">
        <f>H216</f>
        <v>0</v>
      </c>
    </row>
    <row r="217">
      <c r="A217" t="str">
        <f>G217</f>
        <v>Cancelado</v>
      </c>
      <c r="B217">
        <f>IF(I217&lt;=-1,1,IF(I217&lt;=5,2,IF(I217&lt;=15,3,IF(H217&lt;=60,4))))</f>
        <v>3</v>
      </c>
      <c r="C217" t="str">
        <v>BPA 6679</v>
      </c>
      <c r="D217" t="str">
        <v>Barrera Palacios</v>
      </c>
      <c r="E217">
        <f>1723309.31</f>
        <v>1723309.31</v>
      </c>
      <c r="F217">
        <v>46073</v>
      </c>
      <c r="G217" t="str">
        <v>Cancelado</v>
      </c>
      <c r="H217">
        <f>IF(OR(G217="Sin pagar",G217="Pagar"),NETWORKDAYS($J$123,F217,'Festivos Colombia'!$A$3:$A$22),0)</f>
        <v>0</v>
      </c>
      <c r="I217">
        <f>NETWORKDAYS($J$123,F217,'Festivos Colombia'!$A$3:$A$22)</f>
        <v>15</v>
      </c>
      <c r="J217">
        <f>H217</f>
        <v>0</v>
      </c>
    </row>
    <row r="218">
      <c r="A218" t="str">
        <f>G218</f>
        <v>Cancelado</v>
      </c>
      <c r="B218">
        <f>IF(I218&lt;=-1,1,IF(I218&lt;=5,2,IF(I218&lt;=15,3,IF(H218&lt;=60,4))))</f>
        <v>4</v>
      </c>
      <c r="C218" t="str">
        <v>02-26</v>
      </c>
      <c r="D218" t="str">
        <v>Yadira Pineda- servicios Diciembre  y mensajeria service Panamá -Pago por Panamá</v>
      </c>
      <c r="E218">
        <f>600*0</f>
        <v>0</v>
      </c>
      <c r="F218">
        <v>46080</v>
      </c>
      <c r="G218" t="str">
        <v>Cancelado</v>
      </c>
      <c r="H218">
        <f>IF(OR(G218="Sin pagar",G218="Pagar"),NETWORKDAYS($J$123,F218,'Festivos Colombia'!$A$3:$A$22),0)</f>
        <v>0</v>
      </c>
      <c r="I218">
        <f>NETWORKDAYS($J$123,F218,'Festivos Colombia'!$A$3:$A$22)</f>
        <v>20</v>
      </c>
      <c r="J218">
        <f>H218</f>
        <v>0</v>
      </c>
    </row>
    <row r="219">
      <c r="A219" t="str">
        <f>G219</f>
        <v>Cancelado</v>
      </c>
      <c r="B219">
        <f>IF(I219&lt;=-1,1,IF(I219&lt;=5,2,IF(I219&lt;=15,3,IF(H219&lt;=60,4))))</f>
        <v>3</v>
      </c>
      <c r="C219">
        <v>9</v>
      </c>
      <c r="D219" t="str">
        <v>Sebastían Romero Espitia</v>
      </c>
      <c r="E219">
        <v>340000.55778</v>
      </c>
      <c r="F219">
        <v>46073</v>
      </c>
      <c r="G219" t="str">
        <v>Cancelado</v>
      </c>
      <c r="H219">
        <f>IF(OR(G219="Sin pagar",G219="Pagar"),NETWORKDAYS($J$123,F219,'Festivos Colombia'!$A$3:$A$22),0)</f>
        <v>0</v>
      </c>
      <c r="I219">
        <f>NETWORKDAYS($J$123,F219,'Festivos Colombia'!$A$3:$A$22)</f>
        <v>15</v>
      </c>
      <c r="J219">
        <f>H219</f>
        <v>0</v>
      </c>
    </row>
    <row r="220">
      <c r="A220" t="str">
        <f>G220</f>
        <v>Cancelado</v>
      </c>
      <c r="B220">
        <f>IF(I220&lt;=-1,1,IF(I220&lt;=5,2,IF(I220&lt;=15,3,IF(H220&lt;=60,4))))</f>
        <v>3</v>
      </c>
      <c r="C220" t="str">
        <v>CLOA105244495</v>
      </c>
      <c r="D220" t="str">
        <v>Carvajal</v>
      </c>
      <c r="E220">
        <v>77395</v>
      </c>
      <c r="F220">
        <v>46073</v>
      </c>
      <c r="G220" t="str">
        <v>Cancelado</v>
      </c>
      <c r="H220">
        <f>IF(OR(G220="Sin pagar",G220="Pagar"),NETWORKDAYS($J$123,F220,'Festivos Colombia'!$A$3:$A$22),0)</f>
        <v>0</v>
      </c>
      <c r="I220">
        <f>NETWORKDAYS($J$123,F220,'Festivos Colombia'!$A$3:$A$22)</f>
        <v>15</v>
      </c>
      <c r="J220">
        <f>H220</f>
        <v>0</v>
      </c>
    </row>
    <row r="221">
      <c r="A221" t="str">
        <f>G221</f>
        <v>Cancelado</v>
      </c>
      <c r="B221">
        <f>IF(I221&lt;=-1,1,IF(I221&lt;=5,2,IF(I221&lt;=15,3,IF(H221&lt;=60,4))))</f>
        <v>3</v>
      </c>
      <c r="C221">
        <v>260201</v>
      </c>
      <c r="D221" t="str">
        <v xml:space="preserve">Analia Lorena Di Nicola </v>
      </c>
      <c r="E221">
        <v>475363.2</v>
      </c>
      <c r="F221">
        <v>46073</v>
      </c>
      <c r="G221" t="str">
        <v>Cancelado</v>
      </c>
      <c r="H221">
        <f>IF(OR(G221="Sin pagar",G221="Pagar"),NETWORKDAYS($J$123,F221,'Festivos Colombia'!$A$3:$A$22),0)</f>
        <v>0</v>
      </c>
      <c r="I221">
        <f>NETWORKDAYS($J$123,F221,'Festivos Colombia'!$A$3:$A$22)</f>
        <v>15</v>
      </c>
      <c r="J221">
        <f>H221</f>
        <v>0</v>
      </c>
    </row>
    <row r="222">
      <c r="A222" t="str">
        <f>G222</f>
        <v>Cancelado</v>
      </c>
      <c r="B222">
        <f>IF(I222&lt;=-1,1,IF(I222&lt;=5,2,IF(I222&lt;=15,3,IF(H222&lt;=60,4))))</f>
        <v>3</v>
      </c>
      <c r="C222">
        <v>24</v>
      </c>
      <c r="D222" t="str">
        <v xml:space="preserve">Edward Felipe Forero Osorio </v>
      </c>
      <c r="E222">
        <v>1489471.36</v>
      </c>
      <c r="F222">
        <v>46072</v>
      </c>
      <c r="G222" t="str">
        <v>Cancelado</v>
      </c>
      <c r="H222">
        <f>IF(OR(G222="Sin pagar",G222="Pagar"),NETWORKDAYS($J$123,F222,'Festivos Colombia'!$A$3:$A$22),0)</f>
        <v>0</v>
      </c>
      <c r="I222">
        <f>NETWORKDAYS($J$123,F222,'Festivos Colombia'!$A$3:$A$22)</f>
        <v>14</v>
      </c>
      <c r="J222">
        <f>H222</f>
        <v>0</v>
      </c>
    </row>
    <row r="223">
      <c r="A223" t="str">
        <f>G223</f>
        <v>Cancelado</v>
      </c>
      <c r="B223">
        <f>IF(I223&lt;=-1,1,IF(I223&lt;=5,2,IF(I223&lt;=15,3,IF(H223&lt;=60,4))))</f>
        <v>3</v>
      </c>
      <c r="C223">
        <v>16</v>
      </c>
      <c r="D223" t="str">
        <v xml:space="preserve">Sara Forero Osorio </v>
      </c>
      <c r="E223">
        <v>1489471.36</v>
      </c>
      <c r="F223">
        <v>46072</v>
      </c>
      <c r="G223" t="str">
        <v>Cancelado</v>
      </c>
      <c r="H223">
        <f>IF(OR(G223="Sin pagar",G223="Pagar"),NETWORKDAYS($J$123,F223,'Festivos Colombia'!$A$3:$A$22),0)</f>
        <v>0</v>
      </c>
      <c r="I223">
        <f>NETWORKDAYS($J$123,F223,'Festivos Colombia'!$A$3:$A$22)</f>
        <v>14</v>
      </c>
      <c r="J223">
        <f>H223</f>
        <v>0</v>
      </c>
    </row>
    <row r="224">
      <c r="A224" t="str">
        <f>G224</f>
        <v>Cancelado</v>
      </c>
      <c r="B224">
        <f>IF(I224&lt;=-1,1,IF(I224&lt;=5,2,IF(I224&lt;=15,3,IF(H224&lt;=60,4))))</f>
        <v>4</v>
      </c>
      <c r="C224">
        <v>9</v>
      </c>
      <c r="D224" t="str">
        <v>Luis Ernesto Solano-Eduard Forero</v>
      </c>
      <c r="E224">
        <v>496170</v>
      </c>
      <c r="F224">
        <v>46078</v>
      </c>
      <c r="G224" t="str">
        <v>Cancelado</v>
      </c>
      <c r="H224">
        <f>IF(OR(G224="Sin pagar",G224="Pagar"),NETWORKDAYS($J$123,F224,'Festivos Colombia'!$A$3:$A$22),0)</f>
        <v>0</v>
      </c>
      <c r="I224">
        <f>NETWORKDAYS($J$123,F224,'Festivos Colombia'!$A$3:$A$22)</f>
        <v>18</v>
      </c>
      <c r="J224">
        <f>H224</f>
        <v>0</v>
      </c>
    </row>
    <row r="225">
      <c r="A225" t="str">
        <f>G225</f>
        <v>Cancelado</v>
      </c>
      <c r="B225">
        <f>IF(I225&lt;=-1,1,IF(I225&lt;=5,2,IF(I225&lt;=15,3,IF(H225&lt;=60,4))))</f>
        <v>4</v>
      </c>
      <c r="C225" t="str">
        <v>2026-002</v>
      </c>
      <c r="D225" t="str">
        <v xml:space="preserve">Pedro Pablo oviedo Cutiva- Cuenta Ricardo Arambulo </v>
      </c>
      <c r="E225">
        <v>1438893</v>
      </c>
      <c r="F225">
        <v>46080</v>
      </c>
      <c r="G225" t="str">
        <v>Cancelado</v>
      </c>
      <c r="H225">
        <f>IF(OR(G225="Sin pagar",G225="Pagar"),NETWORKDAYS($J$123,F225,'Festivos Colombia'!$A$3:$A$22),0)</f>
        <v>0</v>
      </c>
      <c r="I225">
        <f>NETWORKDAYS($J$123,F225,'Festivos Colombia'!$A$3:$A$22)</f>
        <v>20</v>
      </c>
      <c r="J225">
        <f>H225</f>
        <v>0</v>
      </c>
    </row>
    <row r="226">
      <c r="A226" t="str">
        <f>G226</f>
        <v>Cancelado</v>
      </c>
      <c r="B226">
        <f>IF(I226&lt;=-1,1,IF(I226&lt;=5,2,IF(I226&lt;=15,3,IF(H226&lt;=60,4))))</f>
        <v>4</v>
      </c>
      <c r="C226" t="str">
        <v>FE 402</v>
      </c>
      <c r="D226" t="str">
        <v>ACT&amp;J Consultores S&amp;P febrero 2026</v>
      </c>
      <c r="E226">
        <v>4065250</v>
      </c>
      <c r="F226">
        <v>46080</v>
      </c>
      <c r="G226" t="str">
        <v>Cancelado</v>
      </c>
      <c r="H226">
        <f>IF(OR(G226="Sin pagar",G226="Pagar"),NETWORKDAYS($J$123,F226,'Festivos Colombia'!$A$3:$A$22),0)</f>
        <v>0</v>
      </c>
      <c r="I226">
        <f>NETWORKDAYS($J$123,F226,'Festivos Colombia'!$A$3:$A$22)</f>
        <v>20</v>
      </c>
      <c r="J226">
        <f>H226</f>
        <v>0</v>
      </c>
    </row>
    <row r="227">
      <c r="A227" t="str">
        <f>G227</f>
        <v>Cancelado</v>
      </c>
      <c r="B227">
        <f>IF(I227&lt;=-1,1,IF(I227&lt;=5,2,IF(I227&lt;=15,3,IF(H227&lt;=60,4))))</f>
        <v>4</v>
      </c>
      <c r="C227" t="str">
        <v>FE 402</v>
      </c>
      <c r="D227" t="str">
        <v>ACT&amp;J Consultores Global CS Colombia febrero 2026</v>
      </c>
      <c r="E227">
        <v>3665694</v>
      </c>
      <c r="F227">
        <v>46080</v>
      </c>
      <c r="G227" t="str">
        <v>Cancelado</v>
      </c>
      <c r="H227">
        <f>IF(OR(G227="Sin pagar",G227="Pagar"),NETWORKDAYS($J$123,F227,'Festivos Colombia'!$A$3:$A$22),0)</f>
        <v>0</v>
      </c>
      <c r="I227">
        <f>NETWORKDAYS($J$123,F227,'Festivos Colombia'!$A$3:$A$22)</f>
        <v>20</v>
      </c>
      <c r="J227">
        <f>H227</f>
        <v>0</v>
      </c>
    </row>
    <row r="228">
      <c r="A228" t="str">
        <f>G228</f>
        <v>Sin Pagar</v>
      </c>
      <c r="B228">
        <f>IF(I228&lt;=-1,1,IF(I228&lt;=5,2,IF(I228&lt;=15,3,IF(H228&lt;=60,4))))</f>
        <v>4</v>
      </c>
      <c r="C228" t="str">
        <v>EMPR62186</v>
      </c>
      <c r="D228" t="str">
        <v>Compensar bienestar a la carta diciembre 2025</v>
      </c>
      <c r="E228">
        <f>1219000*0</f>
        <v>0</v>
      </c>
      <c r="F228">
        <v>46085</v>
      </c>
      <c r="G228" t="str">
        <v>Sin Pagar</v>
      </c>
      <c r="H228">
        <f>IF(OR(G228="Sin pagar",G228="Pagar"),NETWORKDAYS($J$123,F228,'Festivos Colombia'!$A$3:$A$22),0)</f>
        <v>23</v>
      </c>
      <c r="I228">
        <f>NETWORKDAYS($J$123,F228,'Festivos Colombia'!$A$3:$A$22)</f>
        <v>23</v>
      </c>
      <c r="J228">
        <f>H228</f>
        <v>23</v>
      </c>
    </row>
    <row r="229">
      <c r="A229" t="str">
        <f>G229</f>
        <v>Sin Pagar</v>
      </c>
      <c r="B229">
        <f>IF(I229&lt;=-1,1,IF(I229&lt;=5,2,IF(I229&lt;=15,3,IF(H229&lt;=60,4))))</f>
        <v>4</v>
      </c>
      <c r="C229" t="str">
        <v>BPA 6759</v>
      </c>
      <c r="D229" t="str">
        <v>Barrera Palacios</v>
      </c>
      <c r="E229">
        <f>1723309.31*0</f>
        <v>0</v>
      </c>
      <c r="F229">
        <v>46087</v>
      </c>
      <c r="G229" t="str">
        <v>Sin Pagar</v>
      </c>
      <c r="H229">
        <f>IF(OR(G229="Sin pagar",G229="Pagar"),NETWORKDAYS($J$123,F229,'Festivos Colombia'!$A$3:$A$22),0)</f>
        <v>25</v>
      </c>
      <c r="I229">
        <f>NETWORKDAYS($J$123,F229,'Festivos Colombia'!$A$3:$A$22)</f>
        <v>25</v>
      </c>
      <c r="J229">
        <f>H229</f>
        <v>25</v>
      </c>
    </row>
    <row r="230">
      <c r="A230" t="str">
        <f>G230</f>
        <v>Sin Pagar</v>
      </c>
      <c r="B230">
        <f>IF(I230&lt;=-1,1,IF(I230&lt;=5,2,IF(I230&lt;=15,3,IF(H230&lt;=60,4))))</f>
        <v>4</v>
      </c>
      <c r="C230" t="str">
        <v>FEV-1-96</v>
      </c>
      <c r="D230" t="str">
        <v>Yoana Forero Servicios profesionales -Costa Rica</v>
      </c>
      <c r="E230">
        <f>774025.2*0</f>
        <v>0</v>
      </c>
      <c r="F230">
        <v>46087</v>
      </c>
      <c r="G230" t="str">
        <v>Sin Pagar</v>
      </c>
      <c r="H230">
        <f>IF(OR(G230="Sin pagar",G230="Pagar"),NETWORKDAYS($J$123,F230,'Festivos Colombia'!$A$3:$A$22),0)</f>
        <v>25</v>
      </c>
      <c r="I230">
        <f>NETWORKDAYS($J$123,F230,'Festivos Colombia'!$A$3:$A$22)</f>
        <v>25</v>
      </c>
      <c r="J230">
        <f>H230</f>
        <v>25</v>
      </c>
    </row>
    <row r="231">
      <c r="A231" t="str">
        <f>G231</f>
        <v>Sin Pagar</v>
      </c>
      <c r="B231">
        <f>IF(I231&lt;=-1,1,IF(I231&lt;=5,2,IF(I231&lt;=15,3,IF(H231&lt;=60,4))))</f>
        <v>4</v>
      </c>
      <c r="C231" t="str">
        <v>FENI-11655</v>
      </c>
      <c r="D231" t="str">
        <v>Nixcom Servicio técnico mensual</v>
      </c>
      <c r="E231">
        <f>1364315*0</f>
        <v>0</v>
      </c>
      <c r="F231">
        <v>46087</v>
      </c>
      <c r="G231" t="str">
        <v>Sin Pagar</v>
      </c>
      <c r="H231">
        <f>IF(OR(G231="Sin pagar",G231="Pagar"),NETWORKDAYS($J$123,F231,'Festivos Colombia'!$A$3:$A$22),0)</f>
        <v>25</v>
      </c>
      <c r="I231">
        <f>NETWORKDAYS($J$123,F231,'Festivos Colombia'!$A$3:$A$22)</f>
        <v>25</v>
      </c>
      <c r="J231">
        <f>H231</f>
        <v>25</v>
      </c>
    </row>
    <row r="232">
      <c r="A232" t="str">
        <f>G232</f>
        <v>Sin Pagar</v>
      </c>
      <c r="B232">
        <f>IF(I232&lt;=-1,1,IF(I232&lt;=5,2,IF(I232&lt;=15,3,IF(H232&lt;=60,4))))</f>
        <v>4</v>
      </c>
      <c r="C232" t="str">
        <v>FENI-11656</v>
      </c>
      <c r="D232" t="str">
        <v>Nixcom Servicio técnico mensual</v>
      </c>
      <c r="E232">
        <f>833000*0</f>
        <v>0</v>
      </c>
      <c r="F232">
        <v>46087</v>
      </c>
      <c r="G232" t="str">
        <v>Sin Pagar</v>
      </c>
      <c r="H232">
        <f>IF(OR(G232="Sin pagar",G232="Pagar"),NETWORKDAYS($J$123,F232,'Festivos Colombia'!$A$3:$A$22),0)</f>
        <v>25</v>
      </c>
      <c r="I232">
        <f>NETWORKDAYS($J$123,F232,'Festivos Colombia'!$A$3:$A$22)</f>
        <v>25</v>
      </c>
      <c r="J232">
        <f>H232</f>
        <v>25</v>
      </c>
    </row>
    <row r="233">
      <c r="A233" t="str">
        <f>G233</f>
        <v>Sin Pagar</v>
      </c>
      <c r="B233">
        <f>IF(I233&lt;=-1,1,IF(I233&lt;=5,2,IF(I233&lt;=15,3,IF(H233&lt;=60,4))))</f>
        <v>4</v>
      </c>
      <c r="C233" t="str">
        <v>EACB199</v>
      </c>
      <c r="D233" t="str">
        <v>CBP Consultoria - Servicio de mercadeo oautal digital enero 2026</v>
      </c>
      <c r="E233">
        <f>1785000*0</f>
        <v>0</v>
      </c>
      <c r="F233">
        <v>46087</v>
      </c>
      <c r="G233" t="str">
        <v>Sin Pagar</v>
      </c>
      <c r="H233">
        <f>IF(OR(G233="Sin pagar",G233="Pagar"),NETWORKDAYS($J$123,F233,'Festivos Colombia'!$A$3:$A$22),0)</f>
        <v>25</v>
      </c>
      <c r="I233">
        <f>NETWORKDAYS($J$123,F233,'Festivos Colombia'!$A$3:$A$22)</f>
        <v>25</v>
      </c>
      <c r="J233">
        <f>H233</f>
        <v>25</v>
      </c>
    </row>
    <row r="234">
      <c r="A234" t="str">
        <f>G234</f>
        <v>Sin Pagar</v>
      </c>
      <c r="B234">
        <f>IF(I234&lt;=-1,1,IF(I234&lt;=5,2,IF(I234&lt;=15,3,IF(H234&lt;=60,4))))</f>
        <v>4</v>
      </c>
      <c r="C234" t="str">
        <v>EACB108</v>
      </c>
      <c r="D234" t="str">
        <v>CBP Consultoria - Servicio de mercadeo oautal digital febrero 2026</v>
      </c>
      <c r="E234">
        <f>1785000*0</f>
        <v>0</v>
      </c>
      <c r="F234">
        <v>46087</v>
      </c>
      <c r="G234" t="str">
        <v>Sin Pagar</v>
      </c>
      <c r="H234">
        <f>IF(OR(G234="Sin pagar",G234="Pagar"),NETWORKDAYS($J$123,F234,'Festivos Colombia'!$A$3:$A$22),0)</f>
        <v>25</v>
      </c>
      <c r="I234">
        <f>NETWORKDAYS($J$123,F234,'Festivos Colombia'!$A$3:$A$22)</f>
        <v>25</v>
      </c>
      <c r="J234">
        <f>H234</f>
        <v>25</v>
      </c>
    </row>
    <row r="235">
      <c r="A235" t="str">
        <f>G235</f>
        <v>Sin Pagar</v>
      </c>
      <c r="B235">
        <f>IF(I235&lt;=-1,1,IF(I235&lt;=5,2,IF(I235&lt;=15,3,IF(H235&lt;=60,4))))</f>
        <v>4</v>
      </c>
      <c r="C235" t="str">
        <v>FENI-11656</v>
      </c>
      <c r="D235" t="str">
        <v>Nixcom Servicio técnico mensual-Sporte gestion de inventarios mes febrero 2026</v>
      </c>
      <c r="E235">
        <f>833000*0</f>
        <v>0</v>
      </c>
      <c r="F235">
        <v>46087</v>
      </c>
      <c r="G235" t="str">
        <v>Sin Pagar</v>
      </c>
      <c r="H235">
        <f>IF(OR(G235="Sin pagar",G235="Pagar"),NETWORKDAYS($J$123,F235,'Festivos Colombia'!$A$3:$A$22),0)</f>
        <v>25</v>
      </c>
      <c r="I235">
        <f>NETWORKDAYS($J$123,F235,'Festivos Colombia'!$A$3:$A$22)</f>
        <v>25</v>
      </c>
      <c r="J235">
        <f>H235</f>
        <v>25</v>
      </c>
    </row>
    <row r="236">
      <c r="A236" t="str">
        <f>G236</f>
        <v>Sin Pagar</v>
      </c>
      <c r="B236">
        <f>IF(I236&lt;=-1,1,IF(I236&lt;=5,2,IF(I236&lt;=15,3,IF(H236&lt;=60,4))))</f>
        <v>4</v>
      </c>
      <c r="C236" t="str">
        <v>CLOA105248909</v>
      </c>
      <c r="D236" t="str">
        <v>Carvajal</v>
      </c>
      <c r="E236">
        <f>77395*0</f>
        <v>0</v>
      </c>
      <c r="F236">
        <v>46101</v>
      </c>
      <c r="G236" t="str">
        <v>Sin Pagar</v>
      </c>
      <c r="H236">
        <f>IF(OR(G236="Sin pagar",G236="Pagar"),NETWORKDAYS($J$123,F236,'Festivos Colombia'!$A$3:$A$22),0)</f>
        <v>35</v>
      </c>
      <c r="I236">
        <f>NETWORKDAYS($J$123,F236,'Festivos Colombia'!$A$3:$A$22)</f>
        <v>35</v>
      </c>
      <c r="J236">
        <f>H236</f>
        <v>35</v>
      </c>
    </row>
    <row r="237">
      <c r="A237" t="str">
        <f>G237</f>
        <v>Sin Pagar</v>
      </c>
      <c r="B237">
        <f>IF(I237&lt;=-1,1,IF(I237&lt;=5,2,IF(I237&lt;=15,3,IF(H237&lt;=60,4))))</f>
        <v>4</v>
      </c>
      <c r="C237" t="str">
        <v>FENI-11856</v>
      </c>
      <c r="D237" t="str">
        <v>Nixcom Servicio técnico mensual</v>
      </c>
      <c r="E237">
        <f>1301175*0</f>
        <v>0</v>
      </c>
      <c r="F237">
        <v>46113</v>
      </c>
      <c r="G237" t="str">
        <v>Sin Pagar</v>
      </c>
      <c r="H237">
        <f>IF(OR(G237="Sin pagar",G237="Pagar"),NETWORKDAYS($J$123,F237,'Festivos Colombia'!$A$3:$A$22),0)</f>
        <v>42</v>
      </c>
      <c r="I237">
        <f>NETWORKDAYS($J$123,F237,'Festivos Colombia'!$A$3:$A$22)</f>
        <v>42</v>
      </c>
      <c r="J237">
        <f>H237</f>
        <v>42</v>
      </c>
    </row>
    <row r="238">
      <c r="A238" t="str">
        <f>G238</f>
        <v>Sin Pagar</v>
      </c>
      <c r="B238">
        <f>IF(I238&lt;=-1,1,IF(I238&lt;=5,2,IF(I238&lt;=15,3,IF(H238&lt;=60,4))))</f>
        <v>4</v>
      </c>
      <c r="C238" t="str">
        <v>BPA 6893</v>
      </c>
      <c r="D238" t="str">
        <v>Barrera Palacios</v>
      </c>
      <c r="E238">
        <f>1723309.31*0</f>
        <v>0</v>
      </c>
      <c r="F238">
        <v>46115</v>
      </c>
      <c r="G238" t="str">
        <v>Sin Pagar</v>
      </c>
      <c r="H238">
        <f>IF(OR(G238="Sin pagar",G238="Pagar"),NETWORKDAYS($J$123,F238,'Festivos Colombia'!$A$3:$A$22),0)</f>
        <v>42</v>
      </c>
      <c r="I238">
        <f>NETWORKDAYS($J$123,F238,'Festivos Colombia'!$A$3:$A$22)</f>
        <v>42</v>
      </c>
      <c r="J238">
        <f>H238</f>
        <v>42</v>
      </c>
    </row>
    <row r="239">
      <c r="D239" t="str">
        <v xml:space="preserve">COSTOS FINANCIEROS </v>
      </c>
      <c r="E239">
        <f>SUBTOTAL(9,E240:E240)</f>
        <v>14000788.6838201</v>
      </c>
    </row>
    <row r="240">
      <c r="A240" t="str">
        <f>G240</f>
        <v>Cancelado</v>
      </c>
      <c r="B240">
        <f>IF(I240&lt;=-1,1,IF(I240&lt;=5,2,IF(I240&lt;=15,3,IF(H240&lt;=60,4))))</f>
        <v>4</v>
      </c>
      <c r="D240" t="str">
        <v>Costos financieros (Cuentas S&amp;P)</v>
      </c>
      <c r="E240">
        <f>11269229.6838201+2731559</f>
        <v>14000788.6838201</v>
      </c>
      <c r="F240">
        <v>46080</v>
      </c>
      <c r="G240" t="str">
        <v>Cancelado</v>
      </c>
      <c r="H240">
        <f>IF(OR(G240="Sin pagar",G240="Pagar"),NETWORKDAYS($J$123,F240,'Festivos Colombia'!$A$3:$A$22),0)</f>
        <v>0</v>
      </c>
      <c r="I240">
        <f>NETWORKDAYS($J$123,F240,'Festivos Colombia'!$A$3:$A$22)</f>
        <v>20</v>
      </c>
      <c r="J240">
        <f>H240</f>
        <v>0</v>
      </c>
    </row>
    <row r="241">
      <c r="D241" t="str">
        <v>CRÉDITOS-LIBRANZAS</v>
      </c>
      <c r="E241">
        <f>SUBTOTAL(9,E242:E243)</f>
        <v>3859984</v>
      </c>
    </row>
    <row r="242">
      <c r="A242" t="str">
        <f>G242</f>
        <v>Cancelado</v>
      </c>
      <c r="B242">
        <f>IF(I242&lt;=-1,1,IF(I242&lt;=5,2,IF(I242&lt;=15,3,IF(H242&lt;=60,4))))</f>
        <v>4</v>
      </c>
      <c r="D242" t="str">
        <v>Libranza Compensar</v>
      </c>
      <c r="E242">
        <v>3321161</v>
      </c>
      <c r="F242">
        <v>46080</v>
      </c>
      <c r="G242" t="str">
        <v>Cancelado</v>
      </c>
      <c r="H242">
        <f>IF(OR(G242="Sin pagar",G242="Pagar"),NETWORKDAYS($J$123,F242,'Festivos Colombia'!$A$3:$A$22),0)</f>
        <v>0</v>
      </c>
      <c r="I242">
        <f>NETWORKDAYS($J$123,F242,'Festivos Colombia'!$A$3:$A$22)</f>
        <v>20</v>
      </c>
      <c r="J242">
        <f>H242</f>
        <v>0</v>
      </c>
    </row>
    <row r="243">
      <c r="A243" t="str">
        <f>G243</f>
        <v>Cancelado</v>
      </c>
      <c r="B243">
        <f>IF(I243&lt;=-1,1,IF(I243&lt;=5,2,IF(I243&lt;=15,3,IF(H243&lt;=60,4))))</f>
        <v>4</v>
      </c>
      <c r="D243" t="str">
        <v>Libranza Comfenalco Lisset Franco REMOFIRST</v>
      </c>
      <c r="E243">
        <v>538823</v>
      </c>
      <c r="F243">
        <v>46079</v>
      </c>
      <c r="G243" t="str">
        <v>Cancelado</v>
      </c>
      <c r="H243">
        <f>IF(OR(G243="Sin pagar",G243="Pagar"),NETWORKDAYS($J$123,F243,'Festivos Colombia'!$A$3:$A$22),0)</f>
        <v>0</v>
      </c>
      <c r="I243">
        <f>NETWORKDAYS($J$123,F243,'Festivos Colombia'!$A$3:$A$22)</f>
        <v>19</v>
      </c>
      <c r="J243">
        <f>H243</f>
        <v>0</v>
      </c>
    </row>
    <row r="244">
      <c r="D244" t="str">
        <v>TARJETAS DE CRÉDITO</v>
      </c>
      <c r="E244">
        <f>SUBTOTAL(9,E245:E247)</f>
        <v>12409133.508</v>
      </c>
    </row>
    <row r="245">
      <c r="A245" t="str">
        <f>G245</f>
        <v>Cancelado</v>
      </c>
      <c r="B245">
        <f>IF(I245&lt;=-1,1,IF(I245&lt;=5,2,IF(I245&lt;=15,3,IF(H245&lt;=60,4))))</f>
        <v>2</v>
      </c>
      <c r="D245" t="str">
        <v>TC Bancolombia TC 4853</v>
      </c>
      <c r="E245">
        <f>((152*3628.16)+15929.84)*0</f>
        <v>0</v>
      </c>
      <c r="F245">
        <v>46058</v>
      </c>
      <c r="G245" t="str">
        <v>Cancelado</v>
      </c>
      <c r="H245">
        <f>IF(OR(G245="Sin pagar",G245="Pagar"),NETWORKDAYS($J$123,F245,'Festivos Colombia'!$A$3:$A$22),0)</f>
        <v>0</v>
      </c>
      <c r="I245">
        <f>NETWORKDAYS($J$123,F245,'Festivos Colombia'!$A$3:$A$22)</f>
        <v>4</v>
      </c>
      <c r="J245">
        <f>H245</f>
        <v>0</v>
      </c>
    </row>
    <row r="246">
      <c r="A246" t="str">
        <f>G246</f>
        <v>Cancelado</v>
      </c>
      <c r="B246">
        <f>IF(I246&lt;=-1,1,IF(I246&lt;=5,2,IF(I246&lt;=15,3,IF(H246&lt;=60,4))))</f>
        <v>3</v>
      </c>
      <c r="D246" t="str">
        <v>TC Bancolombia-Ramon Esteban Cardona Salazar TC 5996</v>
      </c>
      <c r="E246">
        <v>10269027</v>
      </c>
      <c r="F246">
        <v>46069</v>
      </c>
      <c r="G246" t="str">
        <v>Cancelado</v>
      </c>
      <c r="H246">
        <f>IF(OR(G246="Sin pagar",G246="Pagar"),NETWORKDAYS($J$123,F246,'Festivos Colombia'!$A$3:$A$22),0)</f>
        <v>0</v>
      </c>
      <c r="I246">
        <f>NETWORKDAYS($J$123,F246,'Festivos Colombia'!$A$3:$A$22)</f>
        <v>11</v>
      </c>
      <c r="J246">
        <f>H246</f>
        <v>0</v>
      </c>
    </row>
    <row r="247">
      <c r="A247" t="str">
        <f>G247</f>
        <v>Cancelado</v>
      </c>
      <c r="B247">
        <f>IF(I247&lt;=-1,1,IF(I247&lt;=5,2,IF(I247&lt;=15,3,IF(H247&lt;=60,4))))</f>
        <v>4</v>
      </c>
      <c r="D247" t="str">
        <v>TC Bancolombia TC 4853</v>
      </c>
      <c r="E247">
        <f>2098827.86+(10.96*3766.3)</f>
        <v>2140106.508</v>
      </c>
      <c r="F247">
        <v>46086</v>
      </c>
      <c r="G247" t="str">
        <v>Cancelado</v>
      </c>
      <c r="H247">
        <f>IF(OR(G247="Sin pagar",G247="Pagar"),NETWORKDAYS($J$123,F247,'Festivos Colombia'!$A$3:$A$22),0)</f>
        <v>0</v>
      </c>
      <c r="I247">
        <f>NETWORKDAYS($J$123,F247,'Festivos Colombia'!$A$3:$A$22)</f>
        <v>24</v>
      </c>
      <c r="J247">
        <f>H247</f>
        <v>0</v>
      </c>
    </row>
    <row r="248">
      <c r="D248" t="str">
        <v>ESTUDIOS DE SEGURIDAD Y EXAMENES OCUPACIONALES</v>
      </c>
      <c r="E248">
        <f>SUBTOTAL(9,E249:E262)</f>
        <v>2269000</v>
      </c>
    </row>
    <row r="249">
      <c r="A249" t="str">
        <f>G249</f>
        <v>Cancelado</v>
      </c>
      <c r="B249">
        <f>IF(I249&lt;=-1,1,IF(I249&lt;=5,2,IF(I249&lt;=15,3,IF(H249&lt;=60,4))))</f>
        <v>3</v>
      </c>
      <c r="C249">
        <v>6871</v>
      </c>
      <c r="D249" t="str">
        <v xml:space="preserve">EMASOC </v>
      </c>
      <c r="E249">
        <f>1158000</f>
        <v>1158000</v>
      </c>
      <c r="F249">
        <v>46073</v>
      </c>
      <c r="G249" t="str">
        <v>Cancelado</v>
      </c>
      <c r="H249">
        <f>IF(OR(G249="Sin pagar",G249="Pagar"),NETWORKDAYS($J$123,F249,'Festivos Colombia'!$A$3:$A$22),0)</f>
        <v>0</v>
      </c>
      <c r="I249">
        <f>NETWORKDAYS($J$123,F249,'Festivos Colombia'!$A$3:$A$22)</f>
        <v>15</v>
      </c>
      <c r="J249">
        <f>H249</f>
        <v>0</v>
      </c>
      <c r="K249" t="str">
        <v>Real 13</v>
      </c>
    </row>
    <row r="250">
      <c r="A250" t="str">
        <f>G250</f>
        <v>Cancelado</v>
      </c>
      <c r="B250">
        <f>IF(I250&lt;=-1,1,IF(I250&lt;=5,2,IF(I250&lt;=15,3,IF(H250&lt;=60,4))))</f>
        <v>3</v>
      </c>
      <c r="C250">
        <v>6882</v>
      </c>
      <c r="D250" t="str">
        <v xml:space="preserve">EMASOC </v>
      </c>
      <c r="E250">
        <f>102500</f>
        <v>102500</v>
      </c>
      <c r="F250">
        <v>46073</v>
      </c>
      <c r="G250" t="str">
        <v>Cancelado</v>
      </c>
      <c r="H250">
        <f>IF(OR(G250="Sin pagar",G250="Pagar"),NETWORKDAYS($J$123,F250,'Festivos Colombia'!$A$3:$A$22),0)</f>
        <v>0</v>
      </c>
      <c r="I250">
        <f>NETWORKDAYS($J$123,F250,'Festivos Colombia'!$A$3:$A$22)</f>
        <v>15</v>
      </c>
      <c r="J250">
        <f>H250</f>
        <v>0</v>
      </c>
      <c r="K250" t="str">
        <v>Real 20Feb</v>
      </c>
    </row>
    <row r="251">
      <c r="A251" t="str">
        <f>G251</f>
        <v>Cancelado</v>
      </c>
      <c r="B251">
        <f>IF(I251&lt;=-1,1,IF(I251&lt;=5,2,IF(I251&lt;=15,3,IF(H251&lt;=60,4))))</f>
        <v>3</v>
      </c>
      <c r="C251">
        <v>6895</v>
      </c>
      <c r="D251" t="str">
        <v xml:space="preserve">EMASOC </v>
      </c>
      <c r="E251">
        <f>102500</f>
        <v>102500</v>
      </c>
      <c r="F251">
        <v>46073</v>
      </c>
      <c r="G251" t="str">
        <v>Cancelado</v>
      </c>
      <c r="H251">
        <f>IF(OR(G251="Sin pagar",G251="Pagar"),NETWORKDAYS($J$123,F251,'Festivos Colombia'!$A$3:$A$22),0)</f>
        <v>0</v>
      </c>
      <c r="I251">
        <f>NETWORKDAYS($J$123,F251,'Festivos Colombia'!$A$3:$A$22)</f>
        <v>15</v>
      </c>
      <c r="J251">
        <f>H251</f>
        <v>0</v>
      </c>
      <c r="K251" t="str">
        <v>Real 20Feb</v>
      </c>
    </row>
    <row r="252">
      <c r="A252" t="str">
        <f>G252</f>
        <v>Cancelado</v>
      </c>
      <c r="B252">
        <f>IF(I252&lt;=-1,1,IF(I252&lt;=5,2,IF(I252&lt;=15,3,IF(H252&lt;=60,4))))</f>
        <v>3</v>
      </c>
      <c r="C252">
        <v>6900</v>
      </c>
      <c r="D252" t="str">
        <v xml:space="preserve">EMASOC </v>
      </c>
      <c r="E252">
        <f>313500</f>
        <v>313500</v>
      </c>
      <c r="F252">
        <v>46073</v>
      </c>
      <c r="G252" t="str">
        <v>Cancelado</v>
      </c>
      <c r="H252">
        <f>IF(OR(G252="Sin pagar",G252="Pagar"),NETWORKDAYS($J$123,F252,'Festivos Colombia'!$A$3:$A$22),0)</f>
        <v>0</v>
      </c>
      <c r="I252">
        <f>NETWORKDAYS($J$123,F252,'Festivos Colombia'!$A$3:$A$22)</f>
        <v>15</v>
      </c>
      <c r="J252">
        <f>H252</f>
        <v>0</v>
      </c>
    </row>
    <row r="253">
      <c r="A253" t="str">
        <f>G253</f>
        <v>Cancelado</v>
      </c>
      <c r="B253">
        <f>IF(I253&lt;=-1,1,IF(I253&lt;=5,2,IF(I253&lt;=15,3,IF(H253&lt;=60,4))))</f>
        <v>3</v>
      </c>
      <c r="C253">
        <v>6903</v>
      </c>
      <c r="D253" t="str">
        <v xml:space="preserve">EMASOC </v>
      </c>
      <c r="E253">
        <f>592500</f>
        <v>592500</v>
      </c>
      <c r="F253">
        <v>46073</v>
      </c>
      <c r="G253" t="str">
        <v>Cancelado</v>
      </c>
      <c r="H253">
        <f>IF(OR(G253="Sin pagar",G253="Pagar"),NETWORKDAYS($J$123,F253,'Festivos Colombia'!$A$3:$A$22),0)</f>
        <v>0</v>
      </c>
      <c r="I253">
        <f>NETWORKDAYS($J$123,F253,'Festivos Colombia'!$A$3:$A$22)</f>
        <v>15</v>
      </c>
      <c r="J253">
        <f>H253</f>
        <v>0</v>
      </c>
    </row>
    <row r="254">
      <c r="A254" t="str">
        <f>G254</f>
        <v>Sin Pagar</v>
      </c>
      <c r="B254">
        <f>IF(I254&lt;=-1,1,IF(I254&lt;=5,2,IF(I254&lt;=15,3,IF(H254&lt;=60,4))))</f>
        <v>4</v>
      </c>
      <c r="C254">
        <v>6910</v>
      </c>
      <c r="D254" t="str">
        <v xml:space="preserve">EMASOC </v>
      </c>
      <c r="E254">
        <f>3410000*0</f>
        <v>0</v>
      </c>
      <c r="F254">
        <v>46084</v>
      </c>
      <c r="G254" t="str">
        <v>Sin Pagar</v>
      </c>
      <c r="H254">
        <f>IF(OR(G254="Sin pagar",G254="Pagar"),NETWORKDAYS($J$123,F254,'Festivos Colombia'!$A$3:$A$22),0)</f>
        <v>22</v>
      </c>
      <c r="I254">
        <f>NETWORKDAYS($J$123,F254,'Festivos Colombia'!$A$3:$A$22)</f>
        <v>22</v>
      </c>
      <c r="J254">
        <f>H254</f>
        <v>22</v>
      </c>
    </row>
    <row r="255">
      <c r="A255" t="str">
        <f>G255</f>
        <v>Sin Pagar</v>
      </c>
      <c r="B255">
        <f>IF(I255&lt;=-1,1,IF(I255&lt;=5,2,IF(I255&lt;=15,3,IF(H255&lt;=60,4))))</f>
        <v>4</v>
      </c>
      <c r="C255">
        <v>6914</v>
      </c>
      <c r="D255" t="str">
        <v xml:space="preserve">EMASOC </v>
      </c>
      <c r="E255">
        <f>509500*0</f>
        <v>0</v>
      </c>
      <c r="F255">
        <v>46086</v>
      </c>
      <c r="G255" t="str">
        <v>Sin Pagar</v>
      </c>
      <c r="H255">
        <f>IF(OR(G255="Sin pagar",G255="Pagar"),NETWORKDAYS($J$123,F255,'Festivos Colombia'!$A$3:$A$22),0)</f>
        <v>24</v>
      </c>
      <c r="I255">
        <f>NETWORKDAYS($J$123,F255,'Festivos Colombia'!$A$3:$A$22)</f>
        <v>24</v>
      </c>
      <c r="J255">
        <f>H255</f>
        <v>24</v>
      </c>
    </row>
    <row r="256">
      <c r="A256" t="str">
        <f>G256</f>
        <v>Sin Pagar</v>
      </c>
      <c r="B256">
        <f>IF(I256&lt;=-1,1,IF(I256&lt;=5,2,IF(I256&lt;=15,3,IF(H256&lt;=60,4))))</f>
        <v>4</v>
      </c>
      <c r="C256">
        <v>6917</v>
      </c>
      <c r="D256" t="str">
        <v xml:space="preserve">EMASOC </v>
      </c>
      <c r="E256">
        <f>205000*0</f>
        <v>0</v>
      </c>
      <c r="F256">
        <v>46091</v>
      </c>
      <c r="G256" t="str">
        <v>Sin Pagar</v>
      </c>
      <c r="H256">
        <f>IF(OR(G256="Sin pagar",G256="Pagar"),NETWORKDAYS($J$123,F256,'Festivos Colombia'!$A$3:$A$22),0)</f>
        <v>27</v>
      </c>
      <c r="I256">
        <f>NETWORKDAYS($J$123,F256,'Festivos Colombia'!$A$3:$A$22)</f>
        <v>27</v>
      </c>
      <c r="J256">
        <f>H256</f>
        <v>27</v>
      </c>
    </row>
    <row r="257">
      <c r="A257" t="str">
        <f>G257</f>
        <v>Sin Pagar</v>
      </c>
      <c r="B257">
        <f>IF(I257&lt;=-1,1,IF(I257&lt;=5,2,IF(I257&lt;=15,3,IF(H257&lt;=60,4))))</f>
        <v>4</v>
      </c>
      <c r="C257">
        <v>6929</v>
      </c>
      <c r="D257" t="str">
        <v xml:space="preserve">EMASOC </v>
      </c>
      <c r="E257">
        <f>567500*0</f>
        <v>0</v>
      </c>
      <c r="F257">
        <v>46093</v>
      </c>
      <c r="G257" t="str">
        <v>Sin Pagar</v>
      </c>
      <c r="H257">
        <f>IF(OR(G257="Sin pagar",G257="Pagar"),NETWORKDAYS($J$123,F257,'Festivos Colombia'!$A$3:$A$22),0)</f>
        <v>29</v>
      </c>
      <c r="I257">
        <f>NETWORKDAYS($J$123,F257,'Festivos Colombia'!$A$3:$A$22)</f>
        <v>29</v>
      </c>
      <c r="J257">
        <f>H257</f>
        <v>29</v>
      </c>
    </row>
    <row r="258">
      <c r="A258" t="str">
        <f>G258</f>
        <v>Sin Pagar</v>
      </c>
      <c r="B258">
        <f>IF(I258&lt;=-1,1,IF(I258&lt;=5,2,IF(I258&lt;=15,3,IF(H258&lt;=60,4))))</f>
        <v>4</v>
      </c>
      <c r="C258">
        <v>6932</v>
      </c>
      <c r="D258" t="str">
        <v xml:space="preserve">EMASOC </v>
      </c>
      <c r="E258">
        <f>2250000*0</f>
        <v>0</v>
      </c>
      <c r="F258">
        <v>46098</v>
      </c>
      <c r="G258" t="str">
        <v>Sin Pagar</v>
      </c>
      <c r="H258">
        <f>IF(OR(G258="Sin pagar",G258="Pagar"),NETWORKDAYS($J$123,F258,'Festivos Colombia'!$A$3:$A$22),0)</f>
        <v>32</v>
      </c>
      <c r="I258">
        <f>NETWORKDAYS($J$123,F258,'Festivos Colombia'!$A$3:$A$22)</f>
        <v>32</v>
      </c>
      <c r="J258">
        <f>H258</f>
        <v>32</v>
      </c>
    </row>
    <row r="259">
      <c r="A259" t="str">
        <f>G259</f>
        <v>Sin Pagar</v>
      </c>
      <c r="B259">
        <f>IF(I259&lt;=-1,1,IF(I259&lt;=5,2,IF(I259&lt;=15,3,IF(H259&lt;=60,4))))</f>
        <v>4</v>
      </c>
      <c r="C259">
        <v>6940</v>
      </c>
      <c r="D259" t="str">
        <v xml:space="preserve">EMASOC </v>
      </c>
      <c r="E259">
        <f>807500*0</f>
        <v>0</v>
      </c>
      <c r="F259">
        <v>46105</v>
      </c>
      <c r="G259" t="str">
        <v>Sin Pagar</v>
      </c>
      <c r="H259">
        <f>IF(OR(G259="Sin pagar",G259="Pagar"),NETWORKDAYS($J$123,F259,'Festivos Colombia'!$A$3:$A$22),0)</f>
        <v>36</v>
      </c>
      <c r="I259">
        <f>NETWORKDAYS($J$123,F259,'Festivos Colombia'!$A$3:$A$22)</f>
        <v>36</v>
      </c>
      <c r="J259">
        <f>H259</f>
        <v>36</v>
      </c>
    </row>
    <row r="260">
      <c r="A260" t="str">
        <f>G260</f>
        <v>Sin Pagar</v>
      </c>
      <c r="B260">
        <f>IF(I260&lt;=-1,1,IF(I260&lt;=5,2,IF(I260&lt;=15,3,IF(H260&lt;=60,4))))</f>
        <v>4</v>
      </c>
      <c r="C260">
        <v>6950</v>
      </c>
      <c r="D260" t="str">
        <v xml:space="preserve">EMASOC </v>
      </c>
      <c r="E260">
        <f>342500*0</f>
        <v>0</v>
      </c>
      <c r="F260">
        <v>46108</v>
      </c>
      <c r="G260" t="str">
        <v>Sin Pagar</v>
      </c>
      <c r="H260">
        <f>IF(OR(G260="Sin pagar",G260="Pagar"),NETWORKDAYS($J$123,F260,'Festivos Colombia'!$A$3:$A$22),0)</f>
        <v>39</v>
      </c>
      <c r="I260">
        <f>NETWORKDAYS($J$123,F260,'Festivos Colombia'!$A$3:$A$22)</f>
        <v>39</v>
      </c>
      <c r="J260">
        <f>H260</f>
        <v>39</v>
      </c>
    </row>
    <row r="261">
      <c r="A261" t="str">
        <f>G261</f>
        <v>Sin Pagar</v>
      </c>
      <c r="B261">
        <f>IF(I261&lt;=-1,1,IF(I261&lt;=5,2,IF(I261&lt;=15,3,IF(H261&lt;=60,4))))</f>
        <v>4</v>
      </c>
      <c r="C261">
        <v>3195</v>
      </c>
      <c r="D261" t="str">
        <v>Prosinte</v>
      </c>
      <c r="E261">
        <f>384004.68*0</f>
        <v>0</v>
      </c>
      <c r="F261">
        <v>46108</v>
      </c>
      <c r="G261" t="str">
        <v>Sin Pagar</v>
      </c>
      <c r="H261">
        <f>IF(OR(G261="Sin pagar",G261="Pagar"),NETWORKDAYS($J$123,F261,'Festivos Colombia'!$A$3:$A$22),0)</f>
        <v>39</v>
      </c>
      <c r="I261">
        <f>NETWORKDAYS($J$123,F261,'Festivos Colombia'!$A$3:$A$22)</f>
        <v>39</v>
      </c>
      <c r="J261">
        <f>H261</f>
        <v>39</v>
      </c>
    </row>
    <row r="262">
      <c r="A262" t="str">
        <f>G262</f>
        <v>Sin Pagar</v>
      </c>
      <c r="B262">
        <f>IF(I262&lt;=-1,1,IF(I262&lt;=5,2,IF(I262&lt;=15,3,IF(H262&lt;=60,4))))</f>
        <v>4</v>
      </c>
      <c r="C262">
        <v>3196</v>
      </c>
      <c r="D262" t="str">
        <v>Prosinte</v>
      </c>
      <c r="E262">
        <f>190681.38*0</f>
        <v>0</v>
      </c>
      <c r="F262">
        <v>46108</v>
      </c>
      <c r="G262" t="str">
        <v>Sin Pagar</v>
      </c>
      <c r="H262">
        <f>IF(OR(G262="Sin pagar",G262="Pagar"),NETWORKDAYS($J$123,F262,'Festivos Colombia'!$A$3:$A$22),0)</f>
        <v>39</v>
      </c>
      <c r="I262">
        <f>NETWORKDAYS($J$123,F262,'Festivos Colombia'!$A$3:$A$22)</f>
        <v>39</v>
      </c>
      <c r="J262">
        <f>H262</f>
        <v>39</v>
      </c>
    </row>
    <row r="263">
      <c r="D263" t="str">
        <v>SOFTWARE NÓMINA</v>
      </c>
      <c r="E263">
        <f>SUBTOTAL(9,E264:E268)</f>
        <v>13818521.54</v>
      </c>
    </row>
    <row r="264">
      <c r="A264" t="str">
        <f>G264</f>
        <v>Sin Pagar</v>
      </c>
      <c r="B264">
        <f>IF(I264&lt;=-1,1,IF(I264&lt;=5,2,IF(I264&lt;=15,3,IF(H264&lt;=60,4))))</f>
        <v>4</v>
      </c>
      <c r="C264" t="str">
        <v>PX44893</v>
      </c>
      <c r="D264" t="str">
        <v>Servidores ( hosting) y/ o computación en la nuble cloud</v>
      </c>
      <c r="E264">
        <f>1568092*0</f>
        <v>0</v>
      </c>
      <c r="F264">
        <v>46094</v>
      </c>
      <c r="G264" t="str">
        <v>Sin Pagar</v>
      </c>
      <c r="H264">
        <f>IF(OR(G264="Sin pagar",G264="Pagar"),NETWORKDAYS($J$123,F264,'Festivos Colombia'!$A$3:$A$22),0)</f>
        <v>30</v>
      </c>
      <c r="I264">
        <f>NETWORKDAYS($J$123,F264,'Festivos Colombia'!$A$3:$A$22)</f>
        <v>30</v>
      </c>
      <c r="J264">
        <f>H264</f>
        <v>30</v>
      </c>
    </row>
    <row r="265">
      <c r="A265" t="str">
        <f>G265</f>
        <v>Sin Pagar</v>
      </c>
      <c r="B265">
        <f>IF(I265&lt;=-1,1,IF(I265&lt;=5,2,IF(I265&lt;=15,3,IF(H265&lt;=60,4))))</f>
        <v>4</v>
      </c>
      <c r="C265" t="str">
        <v>PX44892</v>
      </c>
      <c r="D265" t="str">
        <v>Transmision nomina electronica</v>
      </c>
      <c r="E265">
        <f>251233*0</f>
        <v>0</v>
      </c>
      <c r="F265">
        <v>46094</v>
      </c>
      <c r="G265" t="str">
        <v>Sin Pagar</v>
      </c>
      <c r="H265">
        <f>IF(OR(G265="Sin pagar",G265="Pagar"),NETWORKDAYS($J$123,F265,'Festivos Colombia'!$A$3:$A$22),0)</f>
        <v>30</v>
      </c>
      <c r="I265">
        <f>NETWORKDAYS($J$123,F265,'Festivos Colombia'!$A$3:$A$22)</f>
        <v>30</v>
      </c>
      <c r="J265">
        <f>H265</f>
        <v>30</v>
      </c>
    </row>
    <row r="266">
      <c r="A266" t="str">
        <f>G266</f>
        <v>Cancelado</v>
      </c>
      <c r="B266">
        <f>IF(I266&lt;=-1,1,IF(I266&lt;=5,2,IF(I266&lt;=15,3,IF(H266&lt;=60,4))))</f>
        <v>4</v>
      </c>
      <c r="C266" t="str">
        <v>GFE59375</v>
      </c>
      <c r="D266" t="str">
        <v>Novasoft-Derecho de uso de nómina, Derecho de uso portal , nómina electrónica, Habilitación y emisión de comprobantes Diciembre</v>
      </c>
      <c r="E266">
        <f>8312384.54</f>
        <v>8312384.54</v>
      </c>
      <c r="F266">
        <v>46078</v>
      </c>
      <c r="G266" t="str">
        <v>Cancelado</v>
      </c>
      <c r="H266">
        <f>IF(OR(G266="Sin pagar",G266="Pagar"),NETWORKDAYS($J$123,F266,'Festivos Colombia'!$A$3:$A$22),0)</f>
        <v>0</v>
      </c>
      <c r="I266">
        <f>NETWORKDAYS($J$123,F266,'Festivos Colombia'!$A$3:$A$22)</f>
        <v>18</v>
      </c>
      <c r="J266">
        <f>H266</f>
        <v>0</v>
      </c>
    </row>
    <row r="267">
      <c r="A267" t="str">
        <f>G267</f>
        <v>Cancelado</v>
      </c>
      <c r="B267">
        <f>IF(I267&lt;=-1,1,IF(I267&lt;=5,2,IF(I267&lt;=15,3,IF(H267&lt;=60,4))))</f>
        <v>4</v>
      </c>
      <c r="C267" t="str">
        <v>GFE59440</v>
      </c>
      <c r="D267" t="str">
        <v>Novasoft-Servicio hosting Web-19 Usuarios-29 Bases de datos Enero</v>
      </c>
      <c r="E267">
        <f>5506137</f>
        <v>5506137</v>
      </c>
      <c r="F267">
        <v>46078</v>
      </c>
      <c r="G267" t="str">
        <v>Cancelado</v>
      </c>
      <c r="H267">
        <f>IF(OR(G267="Sin pagar",G267="Pagar"),NETWORKDAYS($J$123,F267,'Festivos Colombia'!$A$3:$A$22),0)</f>
        <v>0</v>
      </c>
      <c r="I267">
        <f>NETWORKDAYS($J$123,F267,'Festivos Colombia'!$A$3:$A$22)</f>
        <v>18</v>
      </c>
      <c r="J267">
        <f>H267</f>
        <v>0</v>
      </c>
    </row>
    <row r="268">
      <c r="A268" t="str">
        <f>G268</f>
        <v>Sin Pagar</v>
      </c>
      <c r="B268">
        <f>IF(I268&lt;=-1,1,IF(I268&lt;=5,2,IF(I268&lt;=15,3,IF(H268&lt;=60,4))))</f>
        <v>4</v>
      </c>
      <c r="C268" t="str">
        <v>GFE60050</v>
      </c>
      <c r="D268" t="str">
        <v>Novasoft-Servicio hosting Web-19 Usuarios-29 Bases de datos Enero</v>
      </c>
      <c r="E268">
        <f>5506137*0</f>
        <v>0</v>
      </c>
      <c r="F268">
        <v>46100</v>
      </c>
      <c r="G268" t="str">
        <v>Sin Pagar</v>
      </c>
      <c r="H268">
        <f>IF(OR(G268="Sin pagar",G268="Pagar"),NETWORKDAYS($J$123,F268,'Festivos Colombia'!$A$3:$A$22),0)</f>
        <v>34</v>
      </c>
      <c r="I268">
        <f>NETWORKDAYS($J$123,F268,'Festivos Colombia'!$A$3:$A$22)</f>
        <v>34</v>
      </c>
      <c r="J268">
        <f>H268</f>
        <v>34</v>
      </c>
    </row>
    <row r="269">
      <c r="D269" t="str">
        <v>NÓMINAS Y ABONO A TARJETAS PEOPLE PASS</v>
      </c>
      <c r="E269">
        <f>SUBTOTAL(9,E270:E298)</f>
        <v>2480310920</v>
      </c>
    </row>
    <row r="270">
      <c r="D270" t="str">
        <v>Cesantías S&amp;P</v>
      </c>
      <c r="E270">
        <v>128604519</v>
      </c>
      <c r="F270">
        <v>46066</v>
      </c>
      <c r="G270" t="str">
        <v>Cancelado</v>
      </c>
      <c r="H270">
        <f>IF(OR(G270="Sin pagar",G270="Pagar"),NETWORKDAYS($J$123,F270,'Festivos Colombia'!$A$3:$A$22),0)</f>
        <v>0</v>
      </c>
      <c r="I270">
        <f>NETWORKDAYS($J$123,F270,'Festivos Colombia'!$A$3:$A$22)</f>
        <v>10</v>
      </c>
      <c r="J270">
        <f>H270</f>
        <v>0</v>
      </c>
    </row>
    <row r="271">
      <c r="D271" t="str">
        <v>Cesantías EOR</v>
      </c>
      <c r="E271">
        <v>709922123</v>
      </c>
      <c r="F271">
        <v>46066</v>
      </c>
      <c r="G271" t="str">
        <v>Cancelado</v>
      </c>
      <c r="H271">
        <f>IF(OR(G271="Sin pagar",G271="Pagar"),NETWORKDAYS($J$123,F271,'Festivos Colombia'!$A$3:$A$22),0)</f>
        <v>0</v>
      </c>
      <c r="I271">
        <f>NETWORKDAYS($J$123,F271,'Festivos Colombia'!$A$3:$A$22)</f>
        <v>10</v>
      </c>
      <c r="J271">
        <f>H271</f>
        <v>0</v>
      </c>
    </row>
    <row r="272">
      <c r="D272" t="str">
        <v>Cesantías Diana Marcela Santra Cruz Ordoñez-Remofirst</v>
      </c>
      <c r="E272">
        <v>5781050</v>
      </c>
      <c r="F272">
        <v>46066</v>
      </c>
      <c r="G272" t="str">
        <v>Cancelado</v>
      </c>
      <c r="H272">
        <f>IF(OR(G272="Sin pagar",G272="Pagar"),NETWORKDAYS($J$123,F272,'Festivos Colombia'!$A$3:$A$22),0)</f>
        <v>0</v>
      </c>
      <c r="I272">
        <f>NETWORKDAYS($J$123,F272,'Festivos Colombia'!$A$3:$A$22)</f>
        <v>10</v>
      </c>
      <c r="J272">
        <f>H272</f>
        <v>0</v>
      </c>
    </row>
    <row r="273">
      <c r="A273" t="str">
        <f>G273</f>
        <v>Cancelado</v>
      </c>
      <c r="B273">
        <f>IF(I273&lt;=-1,1,IF(I273&lt;=5,2,IF(I273&lt;=15,3,IF(H273&lt;=60,4))))</f>
        <v>3</v>
      </c>
      <c r="C273" t="str">
        <v>FPP449940</v>
      </c>
      <c r="D273" t="str">
        <v xml:space="preserve">People Pass reembolso de gastos cristian guapacha Root capital </v>
      </c>
      <c r="E273">
        <v>4572284</v>
      </c>
      <c r="F273">
        <v>46066</v>
      </c>
      <c r="G273" t="str">
        <v>Cancelado</v>
      </c>
      <c r="H273">
        <f>IF(OR(G273="Sin pagar",G273="Pagar"),NETWORKDAYS($J$123,F273,'Festivos Colombia'!$A$3:$A$22),0)</f>
        <v>0</v>
      </c>
      <c r="I273">
        <f>NETWORKDAYS($J$123,F273,'Festivos Colombia'!$A$3:$A$22)</f>
        <v>10</v>
      </c>
      <c r="J273">
        <f>H273</f>
        <v>0</v>
      </c>
    </row>
    <row r="274">
      <c r="A274" t="str">
        <f>G274</f>
        <v>Cancelado</v>
      </c>
      <c r="B274">
        <f>IF(I274&lt;=-1,1,IF(I274&lt;=5,2,IF(I274&lt;=15,3,IF(H274&lt;=60,4))))</f>
        <v>4</v>
      </c>
      <c r="C274" t="str">
        <v>FPP452751</v>
      </c>
      <c r="D274" t="str">
        <v xml:space="preserve">People Pass tarjetas de gastos viaje AECID </v>
      </c>
      <c r="E274">
        <v>2055840</v>
      </c>
      <c r="F274">
        <v>46076</v>
      </c>
      <c r="G274" t="str">
        <v>Cancelado</v>
      </c>
      <c r="H274">
        <f>IF(OR(G274="Sin pagar",G274="Pagar"),NETWORKDAYS($J$123,F274,'Festivos Colombia'!$A$3:$A$22),0)</f>
        <v>0</v>
      </c>
      <c r="I274">
        <f>NETWORKDAYS($J$123,F274,'Festivos Colombia'!$A$3:$A$22)</f>
        <v>16</v>
      </c>
      <c r="J274">
        <f>H274</f>
        <v>0</v>
      </c>
    </row>
    <row r="275">
      <c r="A275" t="str">
        <f>G275</f>
        <v>Cancelado</v>
      </c>
      <c r="B275">
        <f>IF(I275&lt;=-1,1,IF(I275&lt;=5,2,IF(I275&lt;=15,3,IF(H275&lt;=60,4))))</f>
        <v>4</v>
      </c>
      <c r="C275" t="str">
        <v>1 registro</v>
      </c>
      <c r="D275" t="str">
        <v>Anticipo Lorena García</v>
      </c>
      <c r="E275">
        <v>500000</v>
      </c>
      <c r="F275">
        <v>46077</v>
      </c>
      <c r="G275" t="str">
        <v>Cancelado</v>
      </c>
      <c r="H275">
        <f>IF(OR(G275="Sin pagar",G275="Pagar"),NETWORKDAYS($J$123,F275,'Festivos Colombia'!$A$3:$A$22),0)</f>
        <v>0</v>
      </c>
      <c r="I275">
        <f>NETWORKDAYS($J$123,F275,'Festivos Colombia'!$A$3:$A$22)</f>
        <v>17</v>
      </c>
      <c r="J275">
        <f>H275</f>
        <v>0</v>
      </c>
    </row>
    <row r="276">
      <c r="A276" t="str">
        <f>G276</f>
        <v>Cancelado</v>
      </c>
      <c r="B276">
        <f>IF(I276&lt;=-1,1,IF(I276&lt;=5,2,IF(I276&lt;=15,3,IF(H276&lt;=60,4))))</f>
        <v>4</v>
      </c>
      <c r="C276" t="str">
        <v>58 registros</v>
      </c>
      <c r="D276" t="str">
        <v>Nomina S&amp;P</v>
      </c>
      <c r="E276">
        <v>196596244</v>
      </c>
      <c r="F276">
        <v>46080</v>
      </c>
      <c r="G276" t="str">
        <v>Cancelado</v>
      </c>
      <c r="H276">
        <f>IF(OR(G276="Sin pagar",G276="Pagar"),NETWORKDAYS($J$123,F276,'Festivos Colombia'!$A$3:$A$22),0)</f>
        <v>0</v>
      </c>
      <c r="I276">
        <f>NETWORKDAYS($J$123,F276,'Festivos Colombia'!$A$3:$A$22)</f>
        <v>20</v>
      </c>
      <c r="J276">
        <f>H276</f>
        <v>0</v>
      </c>
    </row>
    <row r="277">
      <c r="D277" t="str">
        <v>Nómina  ACTION AD</v>
      </c>
      <c r="E277">
        <v>3662400</v>
      </c>
      <c r="F277">
        <v>46080</v>
      </c>
      <c r="G277" t="str">
        <v>Cancelado</v>
      </c>
      <c r="H277">
        <f>IF(OR(G277="Sin pagar",G277="Pagar"),NETWORKDAYS($J$123,F277,'Festivos Colombia'!$A$3:$A$22),0)</f>
        <v>0</v>
      </c>
      <c r="I277">
        <f>NETWORKDAYS($J$123,F277,'Festivos Colombia'!$A$3:$A$22)</f>
        <v>20</v>
      </c>
      <c r="J277">
        <f>H277</f>
        <v>0</v>
      </c>
    </row>
    <row r="278">
      <c r="D278" t="str">
        <v>Nómina  BUBBLE BPM INC</v>
      </c>
      <c r="E278">
        <v>3125295</v>
      </c>
      <c r="F278">
        <v>46080</v>
      </c>
      <c r="G278" t="str">
        <v>Cancelado</v>
      </c>
      <c r="H278">
        <f>IF(OR(G278="Sin pagar",G278="Pagar"),NETWORKDAYS($J$123,F278,'Festivos Colombia'!$A$3:$A$22),0)</f>
        <v>0</v>
      </c>
      <c r="I278">
        <f>NETWORKDAYS($J$123,F278,'Festivos Colombia'!$A$3:$A$22)</f>
        <v>20</v>
      </c>
      <c r="J278">
        <f>H278</f>
        <v>0</v>
      </c>
    </row>
    <row r="279">
      <c r="D279" t="str">
        <v>Nómina  EDRINGTON</v>
      </c>
      <c r="E279">
        <v>19151707</v>
      </c>
      <c r="F279">
        <v>46080</v>
      </c>
      <c r="G279" t="str">
        <v>Cancelado</v>
      </c>
      <c r="H279">
        <f>IF(OR(G279="Sin pagar",G279="Pagar"),NETWORKDAYS($J$123,F279,'Festivos Colombia'!$A$3:$A$22),0)</f>
        <v>0</v>
      </c>
      <c r="I279">
        <f>NETWORKDAYS($J$123,F279,'Festivos Colombia'!$A$3:$A$22)</f>
        <v>20</v>
      </c>
      <c r="J279">
        <f>H279</f>
        <v>0</v>
      </c>
    </row>
    <row r="280">
      <c r="D280" t="str">
        <v>Nómina  EPDM</v>
      </c>
      <c r="E280">
        <v>6424920</v>
      </c>
      <c r="F280">
        <v>46080</v>
      </c>
      <c r="G280" t="str">
        <v>Cancelado</v>
      </c>
      <c r="H280">
        <f>IF(OR(G280="Sin pagar",G280="Pagar"),NETWORKDAYS($J$123,F280,'Festivos Colombia'!$A$3:$A$22),0)</f>
        <v>0</v>
      </c>
      <c r="I280">
        <f>NETWORKDAYS($J$123,F280,'Festivos Colombia'!$A$3:$A$22)</f>
        <v>20</v>
      </c>
      <c r="J280">
        <f>H280</f>
        <v>0</v>
      </c>
    </row>
    <row r="281">
      <c r="D281" t="str">
        <v>Nómina  EUROPORTAGE</v>
      </c>
      <c r="E281">
        <v>31643846</v>
      </c>
      <c r="F281">
        <v>46080</v>
      </c>
      <c r="G281" t="str">
        <v>Cancelado</v>
      </c>
      <c r="H281">
        <f>IF(OR(G281="Sin pagar",G281="Pagar"),NETWORKDAYS($J$123,F281,'Festivos Colombia'!$A$3:$A$22),0)</f>
        <v>0</v>
      </c>
      <c r="I281">
        <f>NETWORKDAYS($J$123,F281,'Festivos Colombia'!$A$3:$A$22)</f>
        <v>20</v>
      </c>
      <c r="J281">
        <f>H281</f>
        <v>0</v>
      </c>
    </row>
    <row r="282">
      <c r="D282" t="str">
        <v>Nómina  FLEXCO</v>
      </c>
      <c r="E282">
        <v>6939751</v>
      </c>
      <c r="F282">
        <v>46080</v>
      </c>
      <c r="G282" t="str">
        <v>Cancelado</v>
      </c>
      <c r="H282">
        <f>IF(OR(G282="Sin pagar",G282="Pagar"),NETWORKDAYS($J$123,F282,'Festivos Colombia'!$A$3:$A$22),0)</f>
        <v>0</v>
      </c>
      <c r="I282">
        <f>NETWORKDAYS($J$123,F282,'Festivos Colombia'!$A$3:$A$22)</f>
        <v>20</v>
      </c>
      <c r="J282">
        <f>H282</f>
        <v>0</v>
      </c>
    </row>
    <row r="283">
      <c r="D283" t="str">
        <v>Nómina  GLOBAL EXPANSION</v>
      </c>
      <c r="E283">
        <v>3840000</v>
      </c>
      <c r="F283">
        <v>46080</v>
      </c>
      <c r="G283" t="str">
        <v>Cancelado</v>
      </c>
      <c r="H283">
        <f>IF(OR(G283="Sin pagar",G283="Pagar"),NETWORKDAYS($J$123,F283,'Festivos Colombia'!$A$3:$A$22),0)</f>
        <v>0</v>
      </c>
      <c r="I283">
        <f>NETWORKDAYS($J$123,F283,'Festivos Colombia'!$A$3:$A$22)</f>
        <v>20</v>
      </c>
      <c r="J283">
        <f>H283</f>
        <v>0</v>
      </c>
    </row>
    <row r="284">
      <c r="D284" t="str">
        <v>Nómina  HEMMERSBACH</v>
      </c>
      <c r="E284">
        <v>10023248</v>
      </c>
      <c r="F284">
        <v>46080</v>
      </c>
      <c r="G284" t="str">
        <v>Cancelado</v>
      </c>
      <c r="H284">
        <f>IF(OR(G284="Sin pagar",G284="Pagar"),NETWORKDAYS($J$123,F284,'Festivos Colombia'!$A$3:$A$22),0)</f>
        <v>0</v>
      </c>
      <c r="I284">
        <f>NETWORKDAYS($J$123,F284,'Festivos Colombia'!$A$3:$A$22)</f>
        <v>20</v>
      </c>
      <c r="J284">
        <f>H284</f>
        <v>0</v>
      </c>
    </row>
    <row r="285">
      <c r="D285" t="str">
        <v>Nómina  INSIDER</v>
      </c>
      <c r="E285">
        <v>425237656</v>
      </c>
      <c r="F285">
        <v>46080</v>
      </c>
      <c r="G285" t="str">
        <v>Cancelado</v>
      </c>
      <c r="H285">
        <f>IF(OR(G285="Sin pagar",G285="Pagar"),NETWORKDAYS($J$123,F285,'Festivos Colombia'!$A$3:$A$22),0)</f>
        <v>0</v>
      </c>
      <c r="I285">
        <f>NETWORKDAYS($J$123,F285,'Festivos Colombia'!$A$3:$A$22)</f>
        <v>20</v>
      </c>
      <c r="J285">
        <f>H285</f>
        <v>0</v>
      </c>
    </row>
    <row r="286">
      <c r="D286" t="str">
        <v>Nómina  MKD</v>
      </c>
      <c r="E286">
        <v>2842696</v>
      </c>
      <c r="F286">
        <v>46080</v>
      </c>
      <c r="G286" t="str">
        <v>Cancelado</v>
      </c>
      <c r="H286">
        <f>IF(OR(G286="Sin pagar",G286="Pagar"),NETWORKDAYS($J$123,F286,'Festivos Colombia'!$A$3:$A$22),0)</f>
        <v>0</v>
      </c>
      <c r="I286">
        <f>NETWORKDAYS($J$123,F286,'Festivos Colombia'!$A$3:$A$22)</f>
        <v>20</v>
      </c>
      <c r="J286">
        <f>H286</f>
        <v>0</v>
      </c>
    </row>
    <row r="287">
      <c r="D287" t="str">
        <v>Nómina  NEO</v>
      </c>
      <c r="E287">
        <v>47661695</v>
      </c>
      <c r="F287">
        <v>46080</v>
      </c>
      <c r="G287" t="str">
        <v>Cancelado</v>
      </c>
      <c r="H287">
        <f>IF(OR(G287="Sin pagar",G287="Pagar"),NETWORKDAYS($J$123,F287,'Festivos Colombia'!$A$3:$A$22),0)</f>
        <v>0</v>
      </c>
      <c r="I287">
        <f>NETWORKDAYS($J$123,F287,'Festivos Colombia'!$A$3:$A$22)</f>
        <v>20</v>
      </c>
      <c r="J287">
        <f>H287</f>
        <v>0</v>
      </c>
    </row>
    <row r="288">
      <c r="D288" t="str">
        <v>Nómina  NZD</v>
      </c>
      <c r="E288">
        <v>28736036</v>
      </c>
      <c r="F288">
        <v>46080</v>
      </c>
      <c r="G288" t="str">
        <v>Cancelado</v>
      </c>
      <c r="H288">
        <f>IF(OR(G288="Sin pagar",G288="Pagar"),NETWORKDAYS($J$123,F288,'Festivos Colombia'!$A$3:$A$22),0)</f>
        <v>0</v>
      </c>
      <c r="I288">
        <f>NETWORKDAYS($J$123,F288,'Festivos Colombia'!$A$3:$A$22)</f>
        <v>20</v>
      </c>
      <c r="J288">
        <f>H288</f>
        <v>0</v>
      </c>
    </row>
    <row r="289">
      <c r="D289" t="str">
        <v>Nómina  ONCEHUB</v>
      </c>
      <c r="E289">
        <v>9259167</v>
      </c>
      <c r="F289">
        <v>46080</v>
      </c>
      <c r="G289" t="str">
        <v>Cancelado</v>
      </c>
      <c r="H289">
        <f>IF(OR(G289="Sin pagar",G289="Pagar"),NETWORKDAYS($J$123,F289,'Festivos Colombia'!$A$3:$A$22),0)</f>
        <v>0</v>
      </c>
      <c r="I289">
        <f>NETWORKDAYS($J$123,F289,'Festivos Colombia'!$A$3:$A$22)</f>
        <v>20</v>
      </c>
      <c r="J289">
        <f>H289</f>
        <v>0</v>
      </c>
    </row>
    <row r="290">
      <c r="D290" t="str">
        <v>Nómina  POC PHARMA</v>
      </c>
      <c r="E290">
        <v>5892637</v>
      </c>
      <c r="F290">
        <v>46080</v>
      </c>
      <c r="G290" t="str">
        <v>Cancelado</v>
      </c>
      <c r="H290">
        <f>IF(OR(G290="Sin pagar",G290="Pagar"),NETWORKDAYS($J$123,F290,'Festivos Colombia'!$A$3:$A$22),0)</f>
        <v>0</v>
      </c>
      <c r="I290">
        <f>NETWORKDAYS($J$123,F290,'Festivos Colombia'!$A$3:$A$22)</f>
        <v>20</v>
      </c>
      <c r="J290">
        <f>H290</f>
        <v>0</v>
      </c>
    </row>
    <row r="291">
      <c r="D291" t="str">
        <v>Nómina  REMOFIRST</v>
      </c>
      <c r="E291">
        <v>720397379</v>
      </c>
      <c r="F291">
        <v>46080</v>
      </c>
      <c r="G291" t="str">
        <v>Cancelado</v>
      </c>
      <c r="H291">
        <f>IF(OR(G291="Sin pagar",G291="Pagar"),NETWORKDAYS($J$123,F291,'Festivos Colombia'!$A$3:$A$22),0)</f>
        <v>0</v>
      </c>
      <c r="I291">
        <f>NETWORKDAYS($J$123,F291,'Festivos Colombia'!$A$3:$A$22)</f>
        <v>20</v>
      </c>
      <c r="J291">
        <f>H291</f>
        <v>0</v>
      </c>
    </row>
    <row r="292">
      <c r="D292" t="str">
        <v>Nómina  RIVERMATE</v>
      </c>
      <c r="E292">
        <v>44310885</v>
      </c>
      <c r="F292">
        <v>46080</v>
      </c>
      <c r="G292" t="str">
        <v>Cancelado</v>
      </c>
      <c r="H292">
        <f>IF(OR(G292="Sin pagar",G292="Pagar"),NETWORKDAYS($J$123,F292,'Festivos Colombia'!$A$3:$A$22),0)</f>
        <v>0</v>
      </c>
      <c r="I292">
        <f>NETWORKDAYS($J$123,F292,'Festivos Colombia'!$A$3:$A$22)</f>
        <v>20</v>
      </c>
      <c r="J292">
        <f>H292</f>
        <v>0</v>
      </c>
    </row>
    <row r="293">
      <c r="D293" t="str">
        <v>Nómina  Root Capital</v>
      </c>
      <c r="E293">
        <v>13247564</v>
      </c>
      <c r="F293">
        <v>46080</v>
      </c>
      <c r="G293" t="str">
        <v>Cancelado</v>
      </c>
      <c r="H293">
        <f>IF(OR(G293="Sin pagar",G293="Pagar"),NETWORKDAYS($J$123,F293,'Festivos Colombia'!$A$3:$A$22),0)</f>
        <v>0</v>
      </c>
      <c r="I293">
        <f>NETWORKDAYS($J$123,F293,'Festivos Colombia'!$A$3:$A$22)</f>
        <v>20</v>
      </c>
      <c r="J293">
        <f>H293</f>
        <v>0</v>
      </c>
    </row>
    <row r="294">
      <c r="D294" t="str">
        <v>Nómina  SIFFI</v>
      </c>
      <c r="E294">
        <v>5158133</v>
      </c>
      <c r="F294">
        <v>46080</v>
      </c>
      <c r="G294" t="str">
        <v>Cancelado</v>
      </c>
      <c r="H294">
        <f>IF(OR(G294="Sin pagar",G294="Pagar"),NETWORKDAYS($J$123,F294,'Festivos Colombia'!$A$3:$A$22),0)</f>
        <v>0</v>
      </c>
      <c r="I294">
        <f>NETWORKDAYS($J$123,F294,'Festivos Colombia'!$A$3:$A$22)</f>
        <v>20</v>
      </c>
      <c r="J294">
        <f>H294</f>
        <v>0</v>
      </c>
    </row>
    <row r="295">
      <c r="D295" t="str">
        <v>Nómina  YONYOU</v>
      </c>
      <c r="E295">
        <v>27362189</v>
      </c>
      <c r="F295">
        <v>46080</v>
      </c>
      <c r="G295" t="str">
        <v>Cancelado</v>
      </c>
      <c r="H295">
        <f>IF(OR(G295="Sin pagar",G295="Pagar"),NETWORKDAYS($J$123,F295,'Festivos Colombia'!$A$3:$A$22),0)</f>
        <v>0</v>
      </c>
      <c r="I295">
        <f>NETWORKDAYS($J$123,F295,'Festivos Colombia'!$A$3:$A$22)</f>
        <v>20</v>
      </c>
      <c r="J295">
        <f>H295</f>
        <v>0</v>
      </c>
    </row>
    <row r="296">
      <c r="A296" t="str">
        <f>G296</f>
        <v>Cancelado</v>
      </c>
      <c r="B296">
        <f>IF(I296&lt;=-1,1,IF(I296&lt;=5,2,IF(I296&lt;=15,3,IF(H296&lt;=60,4))))</f>
        <v>4</v>
      </c>
      <c r="C296" t="str">
        <v>1 registro</v>
      </c>
      <c r="D296" t="str">
        <v xml:space="preserve">Embargo Fabian Morales- Banco Agrario </v>
      </c>
      <c r="E296">
        <v>1111938</v>
      </c>
      <c r="F296">
        <v>46079</v>
      </c>
      <c r="G296" t="str">
        <v>Cancelado</v>
      </c>
      <c r="H296">
        <f>IF(OR(G296="Sin pagar",G296="Pagar"),NETWORKDAYS($J$123,F296,'Festivos Colombia'!$A$3:$A$22),0)</f>
        <v>0</v>
      </c>
      <c r="I296">
        <f>NETWORKDAYS($J$123,F296,'Festivos Colombia'!$A$3:$A$22)</f>
        <v>19</v>
      </c>
      <c r="J296">
        <f>H296</f>
        <v>0</v>
      </c>
    </row>
    <row r="297">
      <c r="A297" t="str">
        <f>G297</f>
        <v>Cancelado</v>
      </c>
      <c r="B297">
        <f>IF(I297&lt;=-1,1,IF(I297&lt;=5,2,IF(I297&lt;=15,3,IF(H297&lt;=60,4))))</f>
        <v>4</v>
      </c>
      <c r="C297" t="str">
        <v xml:space="preserve">FPP453936 </v>
      </c>
      <c r="D297" t="str">
        <v xml:space="preserve">People Pass </v>
      </c>
      <c r="E297">
        <v>13761013</v>
      </c>
      <c r="F297">
        <v>46079</v>
      </c>
      <c r="G297" t="str">
        <v>Cancelado</v>
      </c>
      <c r="H297">
        <f>IF(OR(G297="Sin pagar",G297="Pagar"),NETWORKDAYS($J$123,F297,'Festivos Colombia'!$A$3:$A$22),0)</f>
        <v>0</v>
      </c>
      <c r="I297">
        <f>NETWORKDAYS($J$123,F297,'Festivos Colombia'!$A$3:$A$22)</f>
        <v>19</v>
      </c>
      <c r="J297">
        <f>H297</f>
        <v>0</v>
      </c>
    </row>
    <row r="298">
      <c r="A298" t="str">
        <f>G298</f>
        <v>Cancelado</v>
      </c>
      <c r="B298">
        <f>IF(I298&lt;=-1,1,IF(I298&lt;=5,2,IF(I298&lt;=15,3,IF(H298&lt;=60,4))))</f>
        <v>4</v>
      </c>
      <c r="D298" t="str">
        <v>Bonificación Sara Cardona Rios</v>
      </c>
      <c r="E298">
        <v>2488705</v>
      </c>
      <c r="F298">
        <v>46084</v>
      </c>
      <c r="G298" t="str">
        <v>Cancelado</v>
      </c>
      <c r="H298">
        <f>IF(OR(G298="Sin pagar",G298="Pagar"),NETWORKDAYS($J$123,F298,'Festivos Colombia'!$A$3:$A$22),0)</f>
        <v>0</v>
      </c>
      <c r="I298">
        <f>NETWORKDAYS($J$123,F298,'Festivos Colombia'!$A$3:$A$22)</f>
        <v>22</v>
      </c>
      <c r="J298">
        <f>H298</f>
        <v>0</v>
      </c>
    </row>
    <row r="299">
      <c r="D299" t="str">
        <v xml:space="preserve">LIQUIDACIONES </v>
      </c>
      <c r="E299">
        <f>SUBTOTAL(9,E300:E306)</f>
        <v>24285307</v>
      </c>
    </row>
    <row r="300">
      <c r="A300" t="e">
        <f>#REF!</f>
        <v>#REF!</v>
      </c>
      <c r="B300">
        <f>IF(I300&lt;=-1,1,IF(I300&lt;=5,2,IF(I300&lt;=15,3,IF(H300&lt;=60,4))))</f>
        <v>3</v>
      </c>
      <c r="D300" t="str">
        <v>Liquidación</v>
      </c>
      <c r="E300">
        <v>89120</v>
      </c>
      <c r="F300">
        <v>46063</v>
      </c>
      <c r="G300" t="str">
        <v>Cancelado</v>
      </c>
      <c r="H300">
        <f>IF(OR(G300="Sin pagar",G300="Pagar"),NETWORKDAYS($J$123,F300,'Festivos Colombia'!$A$3:$A$22),0)</f>
        <v>0</v>
      </c>
      <c r="I300">
        <f>NETWORKDAYS($J$123,F300,'Festivos Colombia'!$A$3:$A$22)</f>
        <v>7</v>
      </c>
      <c r="J300">
        <f>H300</f>
        <v>0</v>
      </c>
    </row>
    <row r="301">
      <c r="A301" t="e">
        <f>#REF!</f>
        <v>#REF!</v>
      </c>
      <c r="B301">
        <f>IF(I301&lt;=-1,1,IF(I301&lt;=5,2,IF(I301&lt;=15,3,IF(H301&lt;=60,4))))</f>
        <v>3</v>
      </c>
      <c r="D301" t="str">
        <v>Liquidaciones Ana María Camacho Gómez</v>
      </c>
      <c r="E301">
        <v>4967450</v>
      </c>
      <c r="F301">
        <v>46072</v>
      </c>
      <c r="G301" t="str">
        <v>Cancelado</v>
      </c>
      <c r="H301">
        <f>IF(OR(G301="Sin pagar",G301="Pagar"),NETWORKDAYS($J$123,F301,'Festivos Colombia'!$A$3:$A$22),0)</f>
        <v>0</v>
      </c>
      <c r="I301">
        <f>NETWORKDAYS($J$123,F301,'Festivos Colombia'!$A$3:$A$22)</f>
        <v>14</v>
      </c>
      <c r="J301">
        <f>H301</f>
        <v>0</v>
      </c>
    </row>
    <row r="302">
      <c r="A302" t="e">
        <f>#REF!</f>
        <v>#REF!</v>
      </c>
      <c r="B302">
        <f>IF(I302&lt;=-1,1,IF(I302&lt;=5,2,IF(I302&lt;=15,3,IF(H302&lt;=60,4))))</f>
        <v>4</v>
      </c>
      <c r="D302" t="str">
        <v>Liquidaciones Maria Carolina Ruzi Villamil-Insider</v>
      </c>
      <c r="E302">
        <v>7699445</v>
      </c>
      <c r="F302">
        <v>46080</v>
      </c>
      <c r="G302" t="str">
        <v>Cancelado</v>
      </c>
      <c r="H302">
        <f>IF(OR(G302="Sin pagar",G302="Pagar"),NETWORKDAYS($J$123,F302,'Festivos Colombia'!$A$3:$A$22),0)</f>
        <v>0</v>
      </c>
      <c r="I302">
        <f>NETWORKDAYS($J$123,F302,'Festivos Colombia'!$A$3:$A$22)</f>
        <v>20</v>
      </c>
      <c r="J302">
        <f>H302</f>
        <v>0</v>
      </c>
    </row>
    <row r="303">
      <c r="A303" t="e">
        <f>#REF!</f>
        <v>#REF!</v>
      </c>
      <c r="B303">
        <f>IF(I303&lt;=-1,1,IF(I303&lt;=5,2,IF(I303&lt;=15,3,IF(H303&lt;=60,4))))</f>
        <v>4</v>
      </c>
      <c r="D303" t="str">
        <v>Liquidaciones Susana Cano Alvarez Remofirst</v>
      </c>
      <c r="E303">
        <v>678147</v>
      </c>
      <c r="F303">
        <v>46084</v>
      </c>
      <c r="G303" t="str">
        <v>Cancelado</v>
      </c>
      <c r="H303">
        <f>IF(OR(G303="Sin pagar",G303="Pagar"),NETWORKDAYS($J$123,F303,'Festivos Colombia'!$A$3:$A$22),0)</f>
        <v>0</v>
      </c>
      <c r="I303">
        <f>NETWORKDAYS($J$123,F303,'Festivos Colombia'!$A$3:$A$22)</f>
        <v>22</v>
      </c>
      <c r="J303">
        <f>H303</f>
        <v>0</v>
      </c>
    </row>
    <row r="304">
      <c r="A304" t="e">
        <f>#REF!</f>
        <v>#REF!</v>
      </c>
      <c r="B304">
        <f>IF(I304&lt;=-1,1,IF(I304&lt;=5,2,IF(I304&lt;=15,3,IF(H304&lt;=60,4))))</f>
        <v>4</v>
      </c>
      <c r="D304" t="str">
        <v>Liquidaciones Juan Jose Cano Solorzano Remofirst</v>
      </c>
      <c r="E304">
        <v>305230</v>
      </c>
      <c r="F304">
        <v>46084</v>
      </c>
      <c r="G304" t="str">
        <v>Cancelado</v>
      </c>
      <c r="H304">
        <f>IF(OR(G304="Sin pagar",G304="Pagar"),NETWORKDAYS($J$123,F304,'Festivos Colombia'!$A$3:$A$22),0)</f>
        <v>0</v>
      </c>
      <c r="I304">
        <f>NETWORKDAYS($J$123,F304,'Festivos Colombia'!$A$3:$A$22)</f>
        <v>22</v>
      </c>
      <c r="J304">
        <f>H304</f>
        <v>0</v>
      </c>
    </row>
    <row r="305">
      <c r="A305" t="e">
        <f>#REF!</f>
        <v>#REF!</v>
      </c>
      <c r="B305">
        <f>IF(I305&lt;=-1,1,IF(I305&lt;=5,2,IF(I305&lt;=15,3,IF(H305&lt;=60,4))))</f>
        <v>4</v>
      </c>
      <c r="D305" t="str">
        <v>Liquidaciones Jesus Yanes Espitia Remofirst</v>
      </c>
      <c r="E305">
        <v>204151</v>
      </c>
      <c r="F305">
        <v>46084</v>
      </c>
      <c r="G305" t="str">
        <v>Cancelado</v>
      </c>
      <c r="H305">
        <f>IF(OR(G305="Sin pagar",G305="Pagar"),NETWORKDAYS($J$123,F305,'Festivos Colombia'!$A$3:$A$22),0)</f>
        <v>0</v>
      </c>
      <c r="I305">
        <f>NETWORKDAYS($J$123,F305,'Festivos Colombia'!$A$3:$A$22)</f>
        <v>22</v>
      </c>
      <c r="J305">
        <f>H305</f>
        <v>0</v>
      </c>
    </row>
    <row r="306">
      <c r="A306" t="e">
        <f>#REF!</f>
        <v>#REF!</v>
      </c>
      <c r="B306">
        <f>IF(I306&lt;=-1,1,IF(I306&lt;=5,2,IF(I306&lt;=15,3,IF(H306&lt;=60,4))))</f>
        <v>4</v>
      </c>
      <c r="D306" t="str">
        <v>Liquidaciones Diana Marcela Santa Cruz Ordoñez Remofirst</v>
      </c>
      <c r="E306">
        <v>10341764</v>
      </c>
      <c r="F306">
        <v>46084</v>
      </c>
      <c r="G306" t="str">
        <v>Cancelado</v>
      </c>
      <c r="H306">
        <f>IF(OR(G306="Sin pagar",G306="Pagar"),NETWORKDAYS($J$123,F306,'Festivos Colombia'!$A$3:$A$22),0)</f>
        <v>0</v>
      </c>
      <c r="I306">
        <f>NETWORKDAYS($J$123,F306,'Festivos Colombia'!$A$3:$A$22)</f>
        <v>22</v>
      </c>
      <c r="J306">
        <f>H306</f>
        <v>0</v>
      </c>
    </row>
    <row r="307">
      <c r="D307" t="str">
        <v>IMPREVISTO</v>
      </c>
      <c r="E307">
        <f>SUBTOTAL(9,E308:E327)</f>
        <v>74044145.37</v>
      </c>
    </row>
    <row r="308">
      <c r="A308" t="str">
        <f>G308</f>
        <v>Cancelado</v>
      </c>
      <c r="B308">
        <f>IF(I308&lt;=-1,1,IF(I308&lt;=5,2,IF(I308&lt;=15,3,IF(H308&lt;=60,4))))</f>
        <v>2</v>
      </c>
      <c r="C308" t="str">
        <v>9830901</v>
      </c>
      <c r="D308" t="str">
        <v>Solicitud camara y comercio de S&amp;P</v>
      </c>
      <c r="E308">
        <v>12100</v>
      </c>
      <c r="F308">
        <v>46058</v>
      </c>
      <c r="G308" t="str">
        <v>Cancelado</v>
      </c>
      <c r="H308">
        <f>IF(OR(G308="Sin pagar",G308="Pagar"),NETWORKDAYS($J$123,F308,'Festivos Colombia'!$A$3:$A$22),0)</f>
        <v>0</v>
      </c>
      <c r="I308">
        <f>NETWORKDAYS($J$123,F308,'Festivos Colombia'!$A$3:$A$22)</f>
        <v>4</v>
      </c>
      <c r="J308">
        <f>H308</f>
        <v>0</v>
      </c>
    </row>
    <row r="309">
      <c r="A309" t="str">
        <f>G309</f>
        <v>Cancelado</v>
      </c>
      <c r="B309">
        <f>IF(I309&lt;=-1,1,IF(I309&lt;=5,2,IF(I309&lt;=15,3,IF(H309&lt;=60,4))))</f>
        <v>3</v>
      </c>
      <c r="C309" t="str">
        <v>X2602555320</v>
      </c>
      <c r="D309" t="str">
        <v xml:space="preserve">Compra de celular Dayanna Mejia </v>
      </c>
      <c r="E309">
        <v>799000</v>
      </c>
      <c r="F309">
        <v>46062</v>
      </c>
      <c r="G309" t="str">
        <v>Cancelado</v>
      </c>
      <c r="H309">
        <f>IF(OR(G309="Sin pagar",G309="Pagar"),NETWORKDAYS($J$123,F309,'Festivos Colombia'!$A$3:$A$22),0)</f>
        <v>0</v>
      </c>
      <c r="I309">
        <f>NETWORKDAYS($J$123,F309,'Festivos Colombia'!$A$3:$A$22)</f>
        <v>6</v>
      </c>
      <c r="J309">
        <f>H309</f>
        <v>0</v>
      </c>
    </row>
    <row r="310">
      <c r="A310" t="str">
        <f>G310</f>
        <v>Cancelado</v>
      </c>
      <c r="B310">
        <f>IF(I310&lt;=-1,1,IF(I310&lt;=5,2,IF(I310&lt;=15,3,IF(H310&lt;=60,4))))</f>
        <v>3</v>
      </c>
      <c r="C310" t="str">
        <v>X2602555320</v>
      </c>
      <c r="D310" t="str">
        <v xml:space="preserve">Compra de tarjetas de presentación Dayanna Mejia </v>
      </c>
      <c r="E310">
        <v>141191</v>
      </c>
      <c r="F310">
        <v>46064</v>
      </c>
      <c r="G310" t="str">
        <v>Cancelado</v>
      </c>
      <c r="H310">
        <f>IF(OR(G310="Sin pagar",G310="Pagar"),NETWORKDAYS($J$123,F310,'Festivos Colombia'!$A$3:$A$22),0)</f>
        <v>0</v>
      </c>
      <c r="I310">
        <f>NETWORKDAYS($J$123,F310,'Festivos Colombia'!$A$3:$A$22)</f>
        <v>8</v>
      </c>
      <c r="J310">
        <f>H310</f>
        <v>0</v>
      </c>
    </row>
    <row r="311">
      <c r="A311" t="str">
        <f>G311</f>
        <v>Cancelado</v>
      </c>
      <c r="B311">
        <f>IF(I311&lt;=-1,1,IF(I311&lt;=5,2,IF(I311&lt;=15,3,IF(H311&lt;=60,4))))</f>
        <v>3</v>
      </c>
      <c r="C311" t="str">
        <v>FPP450811</v>
      </c>
      <c r="D311" t="str">
        <v>Tarjeta alimentación Sandra Jimenez Jaramillo</v>
      </c>
      <c r="E311">
        <v>11781</v>
      </c>
      <c r="F311">
        <v>46070</v>
      </c>
      <c r="G311" t="str">
        <v>Cancelado</v>
      </c>
      <c r="H311">
        <f>IF(OR(G311="Sin pagar",G311="Pagar"),NETWORKDAYS($J$123,F311,'Festivos Colombia'!$A$3:$A$22),0)</f>
        <v>0</v>
      </c>
      <c r="I311">
        <f>NETWORKDAYS($J$123,F311,'Festivos Colombia'!$A$3:$A$22)</f>
        <v>12</v>
      </c>
      <c r="J311">
        <f>H311</f>
        <v>0</v>
      </c>
    </row>
    <row r="312">
      <c r="A312" t="str">
        <f>G312</f>
        <v>Cancelado</v>
      </c>
      <c r="B312">
        <f>IF(I312&lt;=-1,1,IF(I312&lt;=5,2,IF(I312&lt;=15,3,IF(H312&lt;=60,4))))</f>
        <v>3</v>
      </c>
      <c r="C312" t="str">
        <v>S/N</v>
      </c>
      <c r="D312" t="str">
        <v>Tiquete Nathalie Vaquiro</v>
      </c>
      <c r="E312">
        <v>530860</v>
      </c>
      <c r="F312">
        <v>46070</v>
      </c>
      <c r="G312" t="str">
        <v>Cancelado</v>
      </c>
      <c r="H312">
        <f>IF(OR(G312="Sin pagar",G312="Pagar"),NETWORKDAYS($J$123,F312,'Festivos Colombia'!$A$3:$A$22),0)</f>
        <v>0</v>
      </c>
      <c r="I312">
        <f>NETWORKDAYS($J$123,F312,'Festivos Colombia'!$A$3:$A$22)</f>
        <v>12</v>
      </c>
      <c r="J312">
        <f>H312</f>
        <v>0</v>
      </c>
    </row>
    <row r="313">
      <c r="A313" t="str">
        <f>G313</f>
        <v>Cancelado</v>
      </c>
      <c r="B313">
        <f>IF(I313&lt;=-1,1,IF(I313&lt;=5,2,IF(I313&lt;=15,3,IF(H313&lt;=60,4))))</f>
        <v>3</v>
      </c>
      <c r="C313" t="str">
        <v>FPP451614</v>
      </c>
      <c r="D313" t="str">
        <v>Emisión de tarjetas People Pass reembolso de gastos viaje AECID</v>
      </c>
      <c r="E313">
        <v>23562</v>
      </c>
      <c r="F313">
        <v>46072</v>
      </c>
      <c r="G313" t="str">
        <v>Cancelado</v>
      </c>
      <c r="H313">
        <f>IF(OR(G313="Sin pagar",G313="Pagar"),NETWORKDAYS($J$123,F313,'Festivos Colombia'!$A$3:$A$22),0)</f>
        <v>0</v>
      </c>
      <c r="I313">
        <f>NETWORKDAYS($J$123,F313,'Festivos Colombia'!$A$3:$A$22)</f>
        <v>14</v>
      </c>
      <c r="J313">
        <f>H313</f>
        <v>0</v>
      </c>
    </row>
    <row r="314">
      <c r="A314" t="str">
        <f>G314</f>
        <v>Cancelado</v>
      </c>
      <c r="B314">
        <f>IF(I314&lt;=-1,1,IF(I314&lt;=5,2,IF(I314&lt;=15,3,IF(H314&lt;=60,4))))</f>
        <v>3</v>
      </c>
      <c r="C314" t="str">
        <v>S/N</v>
      </c>
      <c r="D314" t="str">
        <v>Compra de computador gerente comercial</v>
      </c>
      <c r="E314">
        <v>4899901</v>
      </c>
      <c r="F314">
        <v>46072</v>
      </c>
      <c r="G314" t="str">
        <v>Cancelado</v>
      </c>
      <c r="H314">
        <f>IF(OR(G314="Sin pagar",G314="Pagar"),NETWORKDAYS($J$123,F314,'Festivos Colombia'!$A$3:$A$22),0)</f>
        <v>0</v>
      </c>
      <c r="I314">
        <f>NETWORKDAYS($J$123,F314,'Festivos Colombia'!$A$3:$A$22)</f>
        <v>14</v>
      </c>
      <c r="J314">
        <f>H314</f>
        <v>0</v>
      </c>
    </row>
    <row r="315">
      <c r="A315" t="str">
        <f>G315</f>
        <v>Cancelado</v>
      </c>
      <c r="B315">
        <f>IF(I315&lt;=-1,1,IF(I315&lt;=5,2,IF(I315&lt;=15,3,IF(H315&lt;=60,4))))</f>
        <v>3</v>
      </c>
      <c r="C315" t="str">
        <v>S/N</v>
      </c>
      <c r="D315" t="str">
        <v>Tiquete Ana Guetierrez</v>
      </c>
      <c r="E315">
        <v>525570</v>
      </c>
      <c r="F315">
        <v>46072</v>
      </c>
      <c r="G315" t="str">
        <v>Cancelado</v>
      </c>
      <c r="H315">
        <f>IF(OR(G315="Sin pagar",G315="Pagar"),NETWORKDAYS($J$123,F315,'Festivos Colombia'!$A$3:$A$22),0)</f>
        <v>0</v>
      </c>
      <c r="I315">
        <f>NETWORKDAYS($J$123,F315,'Festivos Colombia'!$A$3:$A$22)</f>
        <v>14</v>
      </c>
      <c r="J315">
        <f>H315</f>
        <v>0</v>
      </c>
    </row>
    <row r="316">
      <c r="A316" t="str">
        <f>G316</f>
        <v>Cancelado</v>
      </c>
      <c r="B316">
        <f>IF(I316&lt;=-1,1,IF(I316&lt;=5,2,IF(I316&lt;=15,3,IF(H316&lt;=60,4))))</f>
        <v>3</v>
      </c>
      <c r="C316" t="str">
        <v>S15089</v>
      </c>
      <c r="D316" t="str">
        <v>Compra de Armario Papelero</v>
      </c>
      <c r="E316">
        <v>1319000</v>
      </c>
      <c r="F316">
        <v>46072</v>
      </c>
      <c r="G316" t="str">
        <v>Cancelado</v>
      </c>
      <c r="H316">
        <f>IF(OR(G316="Sin pagar",G316="Pagar"),NETWORKDAYS($J$123,F316,'Festivos Colombia'!$A$3:$A$22),0)</f>
        <v>0</v>
      </c>
      <c r="I316">
        <f>NETWORKDAYS($J$123,F316,'Festivos Colombia'!$A$3:$A$22)</f>
        <v>14</v>
      </c>
      <c r="J316">
        <f>H316</f>
        <v>0</v>
      </c>
    </row>
    <row r="317">
      <c r="A317" t="str">
        <f>G317</f>
        <v>Cancelado</v>
      </c>
      <c r="B317">
        <f>IF(I317&lt;=-1,1,IF(I317&lt;=5,2,IF(I317&lt;=15,3,IF(H317&lt;=60,4))))</f>
        <v>3</v>
      </c>
      <c r="C317" t="str">
        <v>FPP452209</v>
      </c>
      <c r="D317" t="str">
        <v>Tarjeta alimentación Julieth Sofia Bonilla Y servicio de envios adicionales de tarjetas Nataly Peña, Ana Gutierrez y Daniela Hernandez</v>
      </c>
      <c r="E317">
        <v>24781</v>
      </c>
      <c r="F317">
        <v>46073</v>
      </c>
      <c r="G317" t="str">
        <v>Cancelado</v>
      </c>
      <c r="H317">
        <f>IF(OR(G317="Sin pagar",G317="Pagar"),NETWORKDAYS($J$123,F317,'Festivos Colombia'!$A$3:$A$22),0)</f>
        <v>0</v>
      </c>
      <c r="I317">
        <f>NETWORKDAYS($J$123,F317,'Festivos Colombia'!$A$3:$A$22)</f>
        <v>15</v>
      </c>
      <c r="J317">
        <f>H317</f>
        <v>0</v>
      </c>
    </row>
    <row r="318">
      <c r="A318" t="str">
        <f>G318</f>
        <v>Cancelado</v>
      </c>
      <c r="B318">
        <f>IF(I318&lt;=-1,1,IF(I318&lt;=5,2,IF(I318&lt;=15,3,IF(H318&lt;=60,4))))</f>
        <v>3</v>
      </c>
      <c r="D318" t="str">
        <v>CMC - Pago de Planilla de corrección  Clarke Modet</v>
      </c>
      <c r="E318">
        <v>26900</v>
      </c>
      <c r="F318">
        <v>46073</v>
      </c>
      <c r="G318" t="str">
        <v>Cancelado</v>
      </c>
      <c r="H318">
        <f>IF(OR(G318="Sin pagar",G318="Pagar"),NETWORKDAYS($J$123,F318,'Festivos Colombia'!$A$3:$A$22),0)</f>
        <v>0</v>
      </c>
      <c r="I318">
        <f>NETWORKDAYS($J$123,F318,'Festivos Colombia'!$A$3:$A$22)</f>
        <v>15</v>
      </c>
      <c r="J318">
        <f>H318</f>
        <v>0</v>
      </c>
    </row>
    <row r="319">
      <c r="A319" t="str">
        <f>G319</f>
        <v>Cancelado</v>
      </c>
      <c r="B319">
        <f>IF(I319&lt;=-1,1,IF(I319&lt;=5,2,IF(I319&lt;=15,3,IF(H319&lt;=60,4))))</f>
        <v>4</v>
      </c>
      <c r="C319" t="str">
        <v>S/N</v>
      </c>
      <c r="D319" t="str">
        <v>Evento previsto proximo viernes</v>
      </c>
      <c r="E319">
        <v>2596007</v>
      </c>
      <c r="F319">
        <v>46077</v>
      </c>
      <c r="G319" t="str">
        <v>Cancelado</v>
      </c>
      <c r="H319">
        <f>IF(OR(G319="Sin pagar",G319="Pagar"),NETWORKDAYS($J$123,F319,'Festivos Colombia'!$A$3:$A$22),0)</f>
        <v>0</v>
      </c>
      <c r="I319">
        <f>NETWORKDAYS($J$123,F319,'Festivos Colombia'!$A$3:$A$22)</f>
        <v>17</v>
      </c>
      <c r="J319">
        <f>H319</f>
        <v>0</v>
      </c>
    </row>
    <row r="320">
      <c r="A320" t="str">
        <f>G320</f>
        <v>Cancelado</v>
      </c>
      <c r="B320">
        <f>IF(I320&lt;=-1,1,IF(I320&lt;=5,2,IF(I320&lt;=15,3,IF(H320&lt;=60,4))))</f>
        <v>4</v>
      </c>
      <c r="C320" t="str">
        <v>1659</v>
      </c>
      <c r="D320" t="str">
        <v>Evento Euro Kick Eduard Forero y Sharon Amaya</v>
      </c>
      <c r="E320">
        <v>400000</v>
      </c>
      <c r="F320">
        <v>46078</v>
      </c>
      <c r="G320" t="str">
        <v>Cancelado</v>
      </c>
      <c r="H320">
        <f>IF(OR(G320="Sin pagar",G320="Pagar"),NETWORKDAYS($J$123,F320,'Festivos Colombia'!$A$3:$A$22),0)</f>
        <v>0</v>
      </c>
      <c r="I320">
        <f>NETWORKDAYS($J$123,F320,'Festivos Colombia'!$A$3:$A$22)</f>
        <v>18</v>
      </c>
      <c r="J320">
        <f>H320</f>
        <v>0</v>
      </c>
    </row>
    <row r="321">
      <c r="A321" t="str">
        <f>G321</f>
        <v>Cancelado</v>
      </c>
      <c r="B321">
        <f>IF(I321&lt;=-1,1,IF(I321&lt;=5,2,IF(I321&lt;=15,3,IF(H321&lt;=60,4))))</f>
        <v>4</v>
      </c>
      <c r="C321" t="str">
        <v>1659</v>
      </c>
      <c r="D321" t="str">
        <v>Compra celular Giovanna Guio</v>
      </c>
      <c r="E321">
        <v>499050</v>
      </c>
      <c r="F321">
        <v>46079</v>
      </c>
      <c r="G321" t="str">
        <v>Cancelado</v>
      </c>
      <c r="H321">
        <f>IF(OR(G321="Sin pagar",G321="Pagar"),NETWORKDAYS($J$123,F321,'Festivos Colombia'!$A$3:$A$22),0)</f>
        <v>0</v>
      </c>
      <c r="I321">
        <f>NETWORKDAYS($J$123,F321,'Festivos Colombia'!$A$3:$A$22)</f>
        <v>19</v>
      </c>
      <c r="J321">
        <f>H321</f>
        <v>0</v>
      </c>
    </row>
    <row r="322">
      <c r="A322" t="str">
        <f>G322</f>
        <v>Cancelado</v>
      </c>
      <c r="B322">
        <f>IF(I322&lt;=-1,1,IF(I322&lt;=5,2,IF(I322&lt;=15,3,IF(H322&lt;=60,4))))</f>
        <v>4</v>
      </c>
      <c r="C322" t="str">
        <v>S/N</v>
      </c>
      <c r="D322" t="str">
        <v>Envio Western  fondos a Yadira pago SIPE enero Global Peo Services Panama 1-Préstamo</v>
      </c>
      <c r="E322">
        <v>16250000</v>
      </c>
      <c r="F322">
        <v>46079</v>
      </c>
      <c r="G322" t="str">
        <v>Cancelado</v>
      </c>
      <c r="H322">
        <f>IF(OR(G322="Sin pagar",G322="Pagar"),NETWORKDAYS($J$123,F322,'Festivos Colombia'!$A$3:$A$22),0)</f>
        <v>0</v>
      </c>
      <c r="I322">
        <f>NETWORKDAYS($J$123,F322,'Festivos Colombia'!$A$3:$A$22)</f>
        <v>19</v>
      </c>
      <c r="J322">
        <f>H322</f>
        <v>0</v>
      </c>
    </row>
    <row r="323">
      <c r="A323" t="str">
        <f>G323</f>
        <v>Cancelado</v>
      </c>
      <c r="B323">
        <f>IF(I323&lt;=-1,1,IF(I323&lt;=5,2,IF(I323&lt;=15,3,IF(H323&lt;=60,4))))</f>
        <v>4</v>
      </c>
      <c r="C323" t="str">
        <v>S/N</v>
      </c>
      <c r="D323" t="str">
        <v>Envio Western  fondos a Yadira pago SIPE enero Global Peo Services Panama 2-Préstamo</v>
      </c>
      <c r="E323">
        <v>19667885</v>
      </c>
      <c r="F323">
        <v>46079</v>
      </c>
      <c r="G323" t="str">
        <v>Cancelado</v>
      </c>
      <c r="H323">
        <f>IF(OR(G323="Sin pagar",G323="Pagar"),NETWORKDAYS($J$123,F323,'Festivos Colombia'!$A$3:$A$22),0)</f>
        <v>0</v>
      </c>
      <c r="I323">
        <f>NETWORKDAYS($J$123,F323,'Festivos Colombia'!$A$3:$A$22)</f>
        <v>19</v>
      </c>
      <c r="J323">
        <f>H323</f>
        <v>0</v>
      </c>
    </row>
    <row r="324">
      <c r="A324" t="str">
        <f>G324</f>
        <v>Cancelado</v>
      </c>
      <c r="B324">
        <f>IF(I324&lt;=-1,1,IF(I324&lt;=5,2,IF(I324&lt;=15,3,IF(H324&lt;=60,4))))</f>
        <v>4</v>
      </c>
      <c r="C324" t="str">
        <v>S/N</v>
      </c>
      <c r="D324" t="str">
        <v>Envio Western  fondos a Yadira pago SIPE enero Global Peo Services Panama 3-Préstamo</v>
      </c>
      <c r="E324">
        <v>23571462</v>
      </c>
      <c r="F324">
        <v>46079</v>
      </c>
      <c r="G324" t="str">
        <v>Cancelado</v>
      </c>
      <c r="H324">
        <f>IF(OR(G324="Sin pagar",G324="Pagar"),NETWORKDAYS($J$123,F324,'Festivos Colombia'!$A$3:$A$22),0)</f>
        <v>0</v>
      </c>
      <c r="I324">
        <f>NETWORKDAYS($J$123,F324,'Festivos Colombia'!$A$3:$A$22)</f>
        <v>19</v>
      </c>
      <c r="J324">
        <f>H324</f>
        <v>0</v>
      </c>
    </row>
    <row r="325">
      <c r="A325" t="str">
        <f>G325</f>
        <v>Cancelado</v>
      </c>
      <c r="B325">
        <f>IF(I325&lt;=-1,1,IF(I325&lt;=5,2,IF(I325&lt;=15,3,IF(H325&lt;=60,4))))</f>
        <v>4</v>
      </c>
      <c r="D325" t="str">
        <v>Envio de docuemento a Yadira en Panamá para apertura de cuenta bancaria</v>
      </c>
      <c r="E325">
        <v>195543</v>
      </c>
      <c r="F325">
        <v>46083</v>
      </c>
      <c r="G325" t="str">
        <v>Cancelado</v>
      </c>
      <c r="H325">
        <f>IF(OR(G325="Sin pagar",G325="Pagar"),NETWORKDAYS($J$123,F325,'Festivos Colombia'!$A$3:$A$22),0)</f>
        <v>0</v>
      </c>
      <c r="I325">
        <f>NETWORKDAYS($J$123,F325,'Festivos Colombia'!$A$3:$A$22)</f>
        <v>21</v>
      </c>
      <c r="J325">
        <f>H325</f>
        <v>0</v>
      </c>
    </row>
    <row r="326">
      <c r="A326" t="str">
        <f>G326</f>
        <v>Cancelado</v>
      </c>
      <c r="B326">
        <f>IF(I326&lt;=-1,1,IF(I326&lt;=5,2,IF(I326&lt;=15,3,IF(H326&lt;=60,4))))</f>
        <v>4</v>
      </c>
      <c r="D326" t="str">
        <v xml:space="preserve">Préstamo Alfonso Fonseca </v>
      </c>
      <c r="E326">
        <v>700000</v>
      </c>
      <c r="F326">
        <v>46084</v>
      </c>
      <c r="G326" t="str">
        <v>Cancelado</v>
      </c>
      <c r="H326">
        <f>IF(OR(G326="Sin pagar",G326="Pagar"),NETWORKDAYS($J$123,F326,'Festivos Colombia'!$A$3:$A$22),0)</f>
        <v>0</v>
      </c>
      <c r="I326">
        <f>NETWORKDAYS($J$123,F326,'Festivos Colombia'!$A$3:$A$22)</f>
        <v>22</v>
      </c>
      <c r="J326">
        <f>H326</f>
        <v>0</v>
      </c>
    </row>
    <row r="327">
      <c r="A327" t="str">
        <f>G327</f>
        <v>Cancelado</v>
      </c>
      <c r="B327">
        <f>IF(I327&lt;=-1,1,IF(I327&lt;=5,2,IF(I327&lt;=15,3,IF(H327&lt;=60,4))))</f>
        <v>4</v>
      </c>
      <c r="D327" t="str">
        <v xml:space="preserve">Reembolso gastos Eduard Forero  viernes 27 de febrero </v>
      </c>
      <c r="E327">
        <v>1849552.37</v>
      </c>
      <c r="F327">
        <v>46085</v>
      </c>
      <c r="G327" t="str">
        <v>Cancelado</v>
      </c>
      <c r="H327">
        <f>IF(OR(G327="Sin pagar",G327="Pagar"),NETWORKDAYS($J$123,F327,'Festivos Colombia'!$A$3:$A$22),0)</f>
        <v>0</v>
      </c>
      <c r="I327">
        <f>NETWORKDAYS($J$123,F327,'Festivos Colombia'!$A$3:$A$22)</f>
        <v>23</v>
      </c>
      <c r="J327">
        <f>H327</f>
        <v>0</v>
      </c>
    </row>
    <row r="328">
      <c r="D328" t="str">
        <v>TOTAL EGRESOS</v>
      </c>
      <c r="E328">
        <f>SUBTOTAL(9,E125:E327)</f>
        <v>3527238838.8585</v>
      </c>
    </row>
    <row r="330">
      <c r="D330" t="str">
        <v>SALDO</v>
      </c>
      <c r="E330">
        <f>E120-E328</f>
        <v>659714682.6000004</v>
      </c>
    </row>
    <row r="331">
      <c r="D331" t="str">
        <v xml:space="preserve">% </v>
      </c>
      <c r="E331">
        <f>IF($E$120=0,0,E330/$E$120)</f>
        <v>0.15756436731836296</v>
      </c>
    </row>
    <row r="333">
      <c r="D333" t="str">
        <v>Nombre</v>
      </c>
    </row>
    <row r="334">
      <c r="D334" t="str">
        <v>Jerson Porras -Tarjeta 7</v>
      </c>
      <c r="E334" t="str">
        <v>Carestream</v>
      </c>
    </row>
    <row r="335">
      <c r="D335" t="str">
        <v>Monica Fabiana Hernandez Pinto - Tarjeta 8</v>
      </c>
      <c r="E335" t="str">
        <v>Root capital</v>
      </c>
    </row>
    <row r="339">
      <c r="D339" t="str">
        <v>Pagos del 23 al 28 enero</v>
      </c>
      <c r="E339">
        <v>0</v>
      </c>
    </row>
    <row r="340">
      <c r="D340" t="str">
        <v xml:space="preserve">4 x mil </v>
      </c>
      <c r="E340">
        <f>(E339*4)/1000</f>
        <v>0</v>
      </c>
    </row>
    <row r="341">
      <c r="D341" t="str">
        <v>Gran total</v>
      </c>
      <c r="E341">
        <f>E339+E340</f>
        <v>0</v>
      </c>
    </row>
    <row r="344">
      <c r="D344" t="str">
        <v>BBVA 05/03/2026</v>
      </c>
      <c r="E344">
        <v>9895132.76</v>
      </c>
    </row>
    <row r="345">
      <c r="D345" t="str">
        <v>Bancolombia  05/03/2026</v>
      </c>
      <c r="E345">
        <v>649819549.84</v>
      </c>
    </row>
    <row r="346">
      <c r="D346" t="str">
        <v xml:space="preserve">Total Caja </v>
      </c>
      <c r="E346">
        <f>SUM(E344:E345)</f>
        <v>659714682.6</v>
      </c>
    </row>
    <row r="348">
      <c r="D348" t="str">
        <v>Superavit o Deficit</v>
      </c>
      <c r="E348">
        <f>E346-E341</f>
        <v>659714682.6</v>
      </c>
    </row>
    <row r="352">
      <c r="D352" t="str">
        <v>Banco Panamá S&amp;P USD 02/03/2026</v>
      </c>
      <c r="E352">
        <v>49307.59</v>
      </c>
      <c r="F352">
        <v>2616.55</v>
      </c>
    </row>
    <row r="353">
      <c r="D353" t="str">
        <v>BAC Costa Rica  ₡ 05/03/2026</v>
      </c>
      <c r="E353">
        <v>42986747.84567004</v>
      </c>
      <c r="F353">
        <f>E353/480</f>
        <v>89555.72467847924</v>
      </c>
      <c r="G353">
        <f>F353+E354</f>
        <v>92921.17171959972</v>
      </c>
    </row>
    <row r="354">
      <c r="D354" t="str">
        <v>BAC Costa Rica  USD 05/03/2026</v>
      </c>
      <c r="E354">
        <v>3365.4470411204775</v>
      </c>
    </row>
    <row r="355">
      <c r="D355" t="str">
        <v>Banco Bibankg Guatemala QTZ 05/03/2026</v>
      </c>
      <c r="E355">
        <v>533084.4334617777</v>
      </c>
      <c r="F355">
        <f>E355/7.46</f>
        <v>71459.03933803992</v>
      </c>
      <c r="G355">
        <f>F355+E356</f>
        <v>77729.67933803992</v>
      </c>
    </row>
    <row r="356">
      <c r="D356" t="str">
        <v>Banco Bibankg Guatemala USD 05/03/2026</v>
      </c>
      <c r="E356">
        <v>6270.639999999999</v>
      </c>
    </row>
    <row r="357">
      <c r="D357" t="str">
        <v>BCP Perú Soles 05/03/2026</v>
      </c>
      <c r="E357">
        <v>184286.11127186328</v>
      </c>
      <c r="F357">
        <f>E357/3.52</f>
        <v>52354.00888405207</v>
      </c>
      <c r="G357">
        <f>F357+E358+F359+E360</f>
        <v>68061.92143454518</v>
      </c>
    </row>
    <row r="358">
      <c r="D358" t="str">
        <v>BCP Perú USD 05/03/2026</v>
      </c>
      <c r="E358">
        <v>15216.27371328382</v>
      </c>
    </row>
    <row r="359">
      <c r="D359" t="str">
        <v>BBVA Perú Soles 05/03/2026</v>
      </c>
      <c r="E359">
        <v>1637.7799999999916</v>
      </c>
      <c r="F359">
        <f>E359/3.44</f>
        <v>476.09883720929986</v>
      </c>
    </row>
    <row r="360">
      <c r="D360" t="str">
        <v>BBVA Perú USD 05/03/2026</v>
      </c>
      <c r="E360">
        <v>15.540000000000061</v>
      </c>
    </row>
    <row r="361">
      <c r="D361" t="str">
        <v>Bancolombia ACT&amp;J COPS 05/03/2026</v>
      </c>
      <c r="E361">
        <v>4269747.13</v>
      </c>
    </row>
    <row r="363">
      <c r="D363" t="str">
        <v>Banco Aliado Panamá USD 05/03/2026</v>
      </c>
      <c r="E363">
        <f>51472.96*0</f>
        <v>0</v>
      </c>
      <c r="F363" t="str">
        <v>Dato Informativo no es CTA de S&amp;P</v>
      </c>
    </row>
    <row r="366">
      <c r="D366" t="str">
        <v>Bancos</v>
      </c>
      <c r="E366">
        <v>13</v>
      </c>
    </row>
    <row r="367">
      <c r="D367" t="str">
        <v>Cuentas</v>
      </c>
      <c r="E367">
        <v>17</v>
      </c>
    </row>
    <row r="370">
      <c r="F370" t="str">
        <v>% mora diaria</v>
      </c>
      <c r="G370" t="str">
        <v>Cant día</v>
      </c>
      <c r="J370" t="str">
        <v>Total</v>
      </c>
    </row>
    <row r="371">
      <c r="D371" t="str">
        <v>Retencio en la fuente</v>
      </c>
      <c r="E371">
        <f>189584000</f>
        <v>189584000</v>
      </c>
      <c r="F371">
        <f>(E371*F374)</f>
        <v>115938.03048292533</v>
      </c>
      <c r="G371">
        <v>5</v>
      </c>
      <c r="J371">
        <f>F371*G371</f>
        <v>579690.1524146267</v>
      </c>
    </row>
    <row r="373">
      <c r="D373" t="str">
        <v xml:space="preserve">Efectivo Anual </v>
      </c>
      <c r="E373" t="str">
        <v>Mensual</v>
      </c>
      <c r="F373" t="str">
        <v>Diaria</v>
      </c>
    </row>
    <row r="374">
      <c r="D374">
        <v>0.25</v>
      </c>
      <c r="E374">
        <f>(1+D374)^(1/12)-1</f>
        <v>0.018769265121506118</v>
      </c>
      <c r="F374">
        <f>(1+D374)^(1/365)-1</f>
        <v>0.0006115391092229583</v>
      </c>
    </row>
  </sheetData>
  <autoFilter ref="C124:K327"/>
  <mergeCells count="1">
    <mergeCell ref="D337:E337"/>
  </mergeCells>
  <pageMargins left="0.7" right="0.7" top="0.75" bottom="0.75" header="0.3" footer="0.3"/>
  <ignoredErrors>
    <ignoredError numberStoredAsText="1" sqref="A1:X381"/>
  </ignoredErrors>
  <legacyDrawing r:id="rId1"/>
</worksheet>
</file>

<file path=xl/worksheets/sheet5.xml><?xml version="1.0" encoding="utf-8"?>
<worksheet xmlns="http://schemas.openxmlformats.org/spreadsheetml/2006/main" xmlns:r="http://schemas.openxmlformats.org/officeDocument/2006/relationships">
  <dimension ref="A1:X347"/>
  <sheetViews>
    <sheetView workbookViewId="0" rightToLeft="0"/>
  </sheetViews>
  <sheetData>
    <row r="1">
      <c r="E1">
        <v>42400</v>
      </c>
    </row>
    <row r="2">
      <c r="I2">
        <v>1</v>
      </c>
    </row>
    <row r="3">
      <c r="I3">
        <v>2</v>
      </c>
    </row>
    <row r="4">
      <c r="D4" t="str">
        <v>BANCOS</v>
      </c>
      <c r="E4">
        <f>SUBTOTAL(9,E5:E9)</f>
        <v>698971029.6300004</v>
      </c>
      <c r="I4">
        <v>3</v>
      </c>
    </row>
    <row r="5">
      <c r="D5" t="str">
        <v>Bancos</v>
      </c>
      <c r="E5">
        <f>FEBRERO!E330</f>
        <v>659714682.6000004</v>
      </c>
      <c r="I5">
        <v>4</v>
      </c>
    </row>
    <row r="6">
      <c r="C6" t="str">
        <v>Sin pagar 2</v>
      </c>
      <c r="D6" t="str">
        <v>Devolucion de dinero de Peo global services</v>
      </c>
      <c r="E6">
        <v>59698832.18</v>
      </c>
      <c r="F6">
        <v>59489365.3627</v>
      </c>
      <c r="G6">
        <f>E6-F6</f>
        <v>209466.8172999993</v>
      </c>
    </row>
    <row r="7">
      <c r="C7" t="str">
        <v>Pagado</v>
      </c>
      <c r="D7" t="str">
        <v>Pago Advancio 6644</v>
      </c>
      <c r="E7">
        <v>311941</v>
      </c>
    </row>
    <row r="8">
      <c r="D8" t="str">
        <v>Menos devolución de Panamá para enviarle dinero a Yadira para el pago de SIPE Marzo</v>
      </c>
      <c r="E8">
        <f>-(6145*3704.87)</f>
        <v>-22766426.15</v>
      </c>
    </row>
    <row r="9">
      <c r="C9" t="str">
        <v>Pagado</v>
      </c>
      <c r="D9" t="str">
        <v>Por identificar</v>
      </c>
      <c r="E9">
        <v>2012000</v>
      </c>
    </row>
    <row r="10">
      <c r="D10" t="str">
        <v>CLIENTES</v>
      </c>
      <c r="E10">
        <f>SUBTOTAL(9,E11:E45)</f>
        <v>238014911.574</v>
      </c>
    </row>
    <row r="11">
      <c r="C11" t="str">
        <v>Pagado</v>
      </c>
      <c r="D11" t="str">
        <v xml:space="preserve">ACT&amp;J Consultores Factura 6695-6792-6598 ( abono) </v>
      </c>
      <c r="E11">
        <v>4870966.36</v>
      </c>
    </row>
    <row r="12">
      <c r="C12" t="str">
        <v>Pagado</v>
      </c>
      <c r="D12" t="str">
        <v>AECID Factura # 6720</v>
      </c>
      <c r="E12">
        <v>34362712.65</v>
      </c>
    </row>
    <row r="13">
      <c r="C13" t="str">
        <v>Pagado</v>
      </c>
      <c r="D13" t="str">
        <v>AECID Factura # 5-233</v>
      </c>
      <c r="E13">
        <v>2104000</v>
      </c>
    </row>
    <row r="14">
      <c r="C14" t="str">
        <v>Pagado</v>
      </c>
      <c r="D14" t="str">
        <v>Clarke Modet factura # 6704</v>
      </c>
      <c r="E14">
        <v>2717002.88</v>
      </c>
    </row>
    <row r="15">
      <c r="C15" t="str">
        <v>Pagado</v>
      </c>
      <c r="D15" t="str">
        <v>Compassion international factura # 6799</v>
      </c>
      <c r="E15">
        <v>6766084.2</v>
      </c>
    </row>
    <row r="16">
      <c r="C16" t="str">
        <v>Sin Pagar</v>
      </c>
      <c r="D16" t="str">
        <v>Consorcio HL-Gisaico #  6668-6669</v>
      </c>
      <c r="E16">
        <f>2503090.56*0</f>
        <v>0</v>
      </c>
    </row>
    <row r="17">
      <c r="C17" t="str">
        <v>Sin Pagar</v>
      </c>
      <c r="D17" t="str">
        <v>Monica Londoño Factura 6573</v>
      </c>
      <c r="E17">
        <f>177905*0</f>
        <v>0</v>
      </c>
    </row>
    <row r="18">
      <c r="C18" t="str">
        <v>Sin Pagar</v>
      </c>
      <c r="D18" t="str">
        <v>Consorcio Gisaico facturas # 6668-6669</v>
      </c>
      <c r="E18">
        <v>2015276.25</v>
      </c>
    </row>
    <row r="19">
      <c r="C19" t="str">
        <v>Sin Pagar</v>
      </c>
      <c r="D19" t="str">
        <v>Consorcio SK - HL 6615 - 6659</v>
      </c>
      <c r="E19">
        <v>504664</v>
      </c>
    </row>
    <row r="20">
      <c r="C20" t="str">
        <v>Pagado</v>
      </c>
      <c r="D20" t="str">
        <v>Corporación punto azul factura # 6601</v>
      </c>
      <c r="E20">
        <v>2015276.25</v>
      </c>
    </row>
    <row r="21">
      <c r="C21" t="str">
        <v>Pagado</v>
      </c>
      <c r="D21" t="str">
        <v>Deel factura # 6658</v>
      </c>
      <c r="E21">
        <v>42535444.27900001</v>
      </c>
      <c r="F21">
        <v>41874832.7622</v>
      </c>
      <c r="G21">
        <f>(E21-F21)</f>
        <v>660611.5168000087</v>
      </c>
    </row>
    <row r="22">
      <c r="C22" t="str">
        <v>Pagado</v>
      </c>
      <c r="D22" t="str">
        <v>Deel facturas # 6646-6649</v>
      </c>
      <c r="E22">
        <v>39759247.83500001</v>
      </c>
      <c r="F22">
        <v>39196672.353</v>
      </c>
      <c r="G22">
        <f>(E22-F22)</f>
        <v>562575.4820000082</v>
      </c>
    </row>
    <row r="23">
      <c r="C23" t="str">
        <v>Sin Pagar</v>
      </c>
      <c r="D23" t="str">
        <v>Dinterweb factura # 5646-5725-5805-5892-5974-6061</v>
      </c>
      <c r="E23">
        <f>7528323*0</f>
        <v>0</v>
      </c>
    </row>
    <row r="24">
      <c r="C24" t="str">
        <v>Sin Pagar</v>
      </c>
      <c r="D24" t="str">
        <v>Distritech facturas # 6631 Llega por Panamá</v>
      </c>
      <c r="E24">
        <f>5391183.76*0</f>
        <v>0</v>
      </c>
    </row>
    <row r="25">
      <c r="C25" t="str">
        <v>Sin Pagar</v>
      </c>
      <c r="D25" t="str">
        <v xml:space="preserve">Dream Tyme resort </v>
      </c>
      <c r="E25">
        <f>23310882*0</f>
        <v>0</v>
      </c>
    </row>
    <row r="26">
      <c r="C26" t="str">
        <v>Pagado</v>
      </c>
      <c r="D26" t="str">
        <v>Ecohl facturas 6509 a 6511-6552-6553</v>
      </c>
      <c r="E26">
        <v>3312381</v>
      </c>
    </row>
    <row r="27">
      <c r="C27" t="str">
        <v>Pagado</v>
      </c>
      <c r="D27" t="str">
        <v>Evoluzion talent abono a la factura 6742</v>
      </c>
      <c r="E27">
        <v>560489</v>
      </c>
    </row>
    <row r="28">
      <c r="C28" t="str">
        <v>Pagado</v>
      </c>
      <c r="D28" t="str">
        <v>Funeravet Factura # 6699</v>
      </c>
      <c r="E28">
        <v>405352</v>
      </c>
    </row>
    <row r="29">
      <c r="C29" t="str">
        <v>Pagado</v>
      </c>
      <c r="D29" t="str">
        <v>Gilead Scense Colombia Factura # 6802</v>
      </c>
      <c r="E29">
        <v>920132.14</v>
      </c>
    </row>
    <row r="30">
      <c r="C30" t="str">
        <v>Pagado</v>
      </c>
      <c r="D30" t="str">
        <v>Global CS Colombia SAS -factura # 6696-5-235</v>
      </c>
      <c r="E30">
        <v>18921370.72</v>
      </c>
    </row>
    <row r="31">
      <c r="C31" t="str">
        <v>Pagado</v>
      </c>
      <c r="D31" t="str">
        <v>Global Projects service AG facturas # FV-4-6403-FV-4-6505-FV-5-85-FV-5-123-FV-5-158-FV-5-198</v>
      </c>
      <c r="E31">
        <v>30962053.22</v>
      </c>
      <c r="F31">
        <v>31750578.1</v>
      </c>
      <c r="G31">
        <f>+E31-F31</f>
        <v>-788524.8800000027</v>
      </c>
    </row>
    <row r="32">
      <c r="C32" t="str">
        <v>Sin Pagar</v>
      </c>
      <c r="D32" t="str">
        <v>HL Gestiones factura # 6395-6572</v>
      </c>
      <c r="E32">
        <f>1719065*0</f>
        <v>0</v>
      </c>
      <c r="I32">
        <v>4</v>
      </c>
    </row>
    <row r="33">
      <c r="C33" t="str">
        <v>Sin Pagar</v>
      </c>
      <c r="D33" t="str">
        <v>HL Ingenieros factura # 6441-6531</v>
      </c>
      <c r="E33">
        <f>723071*0</f>
        <v>0</v>
      </c>
    </row>
    <row r="34">
      <c r="C34" t="str">
        <v>Pagado</v>
      </c>
      <c r="D34" t="str">
        <v>Hl Infraestructura factura # 6515 - 6544</v>
      </c>
      <c r="E34">
        <f>7328987</f>
        <v>7328987</v>
      </c>
    </row>
    <row r="35">
      <c r="C35" t="str">
        <v>Sin Pagar</v>
      </c>
      <c r="D35" t="str">
        <v>Inversiones el Bosque factura # 6797</v>
      </c>
      <c r="E35">
        <f>2013039*0</f>
        <v>0</v>
      </c>
    </row>
    <row r="36">
      <c r="C36" t="str">
        <v>Sin Pagar</v>
      </c>
      <c r="D36" t="str">
        <v>Live Systems technology factura # 6626</v>
      </c>
      <c r="E36">
        <f>1264316.04*0</f>
        <v>0</v>
      </c>
    </row>
    <row r="37">
      <c r="C37" t="str">
        <v>Pagado</v>
      </c>
      <c r="D37" t="str">
        <v>Ortho Clinical Diagnostics # 6705</v>
      </c>
      <c r="E37">
        <v>1451213.81</v>
      </c>
    </row>
    <row r="38">
      <c r="C38" t="str">
        <v>Pagado</v>
      </c>
      <c r="D38" t="str">
        <v>Petrobras colombia Factura # 6697</v>
      </c>
      <c r="E38">
        <v>18182067.66</v>
      </c>
    </row>
    <row r="39">
      <c r="C39" t="str">
        <v>Pagado</v>
      </c>
      <c r="D39" t="str">
        <v>Petrobras baspetro Factura # 6660</v>
      </c>
      <c r="E39">
        <v>7948929.02</v>
      </c>
    </row>
    <row r="40">
      <c r="C40" t="str">
        <v>Pagado</v>
      </c>
      <c r="D40" t="str">
        <v>Petrobras baspetro Factura # 6746</v>
      </c>
      <c r="E40">
        <v>7402389</v>
      </c>
    </row>
    <row r="41">
      <c r="C41" t="str">
        <v>Sin Pagar</v>
      </c>
      <c r="D41" t="str">
        <v xml:space="preserve">Punto medical </v>
      </c>
      <c r="E41">
        <f>19087032.49*0</f>
        <v>0</v>
      </c>
    </row>
    <row r="42">
      <c r="C42" t="str">
        <v>Sin Pagar</v>
      </c>
      <c r="D42" t="str">
        <v xml:space="preserve">Rejimetal </v>
      </c>
      <c r="E42">
        <f>6463289.78*0</f>
        <v>0</v>
      </c>
    </row>
    <row r="43">
      <c r="C43" t="str">
        <v>Pagado</v>
      </c>
      <c r="D43" t="str">
        <v>Sinerware Facturas 6629-6716-6798</v>
      </c>
      <c r="E43">
        <v>1955609.64</v>
      </c>
    </row>
    <row r="44">
      <c r="C44" t="str">
        <v>Pagado</v>
      </c>
      <c r="D44" t="str">
        <v>Soluciones ambientales punto azul Factura #  6662</v>
      </c>
      <c r="E44">
        <v>1013262.66</v>
      </c>
    </row>
    <row r="45">
      <c r="C45" t="str">
        <v>Sin Pagar</v>
      </c>
      <c r="D45" t="str">
        <v>TPL Logistics factura # 6796</v>
      </c>
      <c r="E45">
        <f>2033960.42*0</f>
        <v>0</v>
      </c>
    </row>
    <row r="46">
      <c r="D46" t="str">
        <v>EOR</v>
      </c>
      <c r="E46">
        <f>SUBTOTAL(9,E47:E95)</f>
        <v>2551453271.4878</v>
      </c>
      <c r="F46">
        <v>1</v>
      </c>
    </row>
    <row r="47">
      <c r="C47" t="str">
        <v>Pagado23</v>
      </c>
      <c r="D47" t="str">
        <v>Action Factura # 6783</v>
      </c>
      <c r="E47">
        <v>1287215.8</v>
      </c>
      <c r="F47">
        <v>1279036.5432</v>
      </c>
      <c r="G47">
        <f>(E47-F47)</f>
        <v>8179.25680000009</v>
      </c>
    </row>
    <row r="48">
      <c r="C48" t="str">
        <v>Pagado</v>
      </c>
      <c r="D48" t="str">
        <v>Action Factura #5-255</v>
      </c>
      <c r="E48">
        <v>11701868.4</v>
      </c>
      <c r="F48">
        <v>11627512.113599999</v>
      </c>
      <c r="G48">
        <f>(E48-F48)</f>
        <v>74356.2864000015</v>
      </c>
    </row>
    <row r="49">
      <c r="C49" t="str">
        <v>Sin Pagar</v>
      </c>
      <c r="D49" t="str">
        <v>Bubble BPM Factura # 6686</v>
      </c>
      <c r="E49">
        <f>447484.6199*0</f>
        <v>0</v>
      </c>
      <c r="G49">
        <f>(E49-F49)*0</f>
        <v>0</v>
      </c>
    </row>
    <row r="50">
      <c r="C50" t="str">
        <v>Sin Pagar</v>
      </c>
      <c r="D50" t="str">
        <v>Bubble BPM Factura # 5-215</v>
      </c>
      <c r="E50">
        <f>4068038.7779*0</f>
        <v>0</v>
      </c>
      <c r="G50">
        <f>(E50-F50)*0</f>
        <v>0</v>
      </c>
    </row>
    <row r="51">
      <c r="C51" t="str">
        <v>Pagado</v>
      </c>
      <c r="D51" t="str">
        <v>Edrington  Factura # 6774</v>
      </c>
      <c r="E51">
        <v>2413175.1545</v>
      </c>
      <c r="F51">
        <v>2383548.8215</v>
      </c>
      <c r="G51">
        <f>(E51-F51)</f>
        <v>29626.3330000001</v>
      </c>
    </row>
    <row r="52">
      <c r="C52" t="str">
        <v>Pagado</v>
      </c>
      <c r="D52" t="str">
        <v>Edrington  Factura # 5-249</v>
      </c>
      <c r="E52">
        <v>43875948.8637</v>
      </c>
      <c r="F52">
        <v>43337287.8099</v>
      </c>
      <c r="G52">
        <f>(E52-F52)</f>
        <v>538661.0538000017</v>
      </c>
    </row>
    <row r="53">
      <c r="C53" t="str">
        <v>Pagado</v>
      </c>
      <c r="D53" t="str">
        <v>EPDM Factura # 6683</v>
      </c>
      <c r="E53">
        <v>1001074.9</v>
      </c>
      <c r="G53">
        <f>(E53-F53)*0</f>
        <v>0</v>
      </c>
    </row>
    <row r="54">
      <c r="C54" t="str">
        <v>Pagado</v>
      </c>
      <c r="D54" t="str">
        <v>EPDM Factura # 5-212</v>
      </c>
      <c r="E54">
        <v>10010749</v>
      </c>
      <c r="G54">
        <f>(E54-F54)*0</f>
        <v>0</v>
      </c>
    </row>
    <row r="55">
      <c r="C55" t="str">
        <v>Pagado</v>
      </c>
      <c r="D55" t="str">
        <v>Equus Global Expansion, LLC Factura # 6801</v>
      </c>
      <c r="E55">
        <v>655391.3099999999</v>
      </c>
      <c r="F55">
        <v>648561.9</v>
      </c>
      <c r="G55">
        <f>(E55-F55)</f>
        <v>6829.409999999916</v>
      </c>
    </row>
    <row r="56">
      <c r="C56" t="str">
        <v>Pagado</v>
      </c>
      <c r="D56" t="str">
        <v>Equus Global Expansion, LLC Factura # 5-267</v>
      </c>
      <c r="E56">
        <v>1637376.777</v>
      </c>
      <c r="F56">
        <v>1620314.73</v>
      </c>
      <c r="G56">
        <f>(E56-F56)</f>
        <v>17062.04700000002</v>
      </c>
    </row>
    <row r="57">
      <c r="C57" t="str">
        <v>Pagado</v>
      </c>
      <c r="D57" t="str">
        <v>Europortage Factura # 6788</v>
      </c>
      <c r="E57">
        <v>3927375.745764941</v>
      </c>
      <c r="F57">
        <v>3867162.9876</v>
      </c>
      <c r="G57">
        <f>(E57-F57)</f>
        <v>60212.75816494087</v>
      </c>
    </row>
    <row r="58">
      <c r="C58" t="str">
        <v>Pagado</v>
      </c>
      <c r="D58" t="str">
        <v>Europortage Factura # 5-260</v>
      </c>
      <c r="E58">
        <v>62203344.94063507</v>
      </c>
      <c r="F58">
        <v>61249671.238800004</v>
      </c>
      <c r="G58">
        <f>(E58-F58)</f>
        <v>953673.7018350661</v>
      </c>
    </row>
    <row r="59">
      <c r="C59" t="str">
        <v>Pagado</v>
      </c>
      <c r="D59" t="str">
        <v>Hemmebarsch GMBH &amp; Co KG , factura # 6684 Marzo</v>
      </c>
      <c r="E59">
        <v>717615.65</v>
      </c>
      <c r="F59">
        <v>676772.21</v>
      </c>
      <c r="G59">
        <f>(E59-F59)</f>
        <v>40843.44000000006</v>
      </c>
    </row>
    <row r="60">
      <c r="C60" t="str">
        <v>Pagado</v>
      </c>
      <c r="D60" t="str">
        <v>Hemmebarsch GMBH &amp; Co KG , factura # 2-13 Marzo</v>
      </c>
      <c r="E60">
        <v>7176043.7855</v>
      </c>
      <c r="F60">
        <v>6767615.8007</v>
      </c>
      <c r="G60">
        <f>(E60-F60)</f>
        <v>408427.9848000007</v>
      </c>
    </row>
    <row r="61">
      <c r="C61" t="str">
        <v>Pagado</v>
      </c>
      <c r="D61" t="str">
        <v>Hemmebarsch GMBH &amp; Co KG , factura # 6685 Marzo</v>
      </c>
      <c r="E61">
        <v>479299.62549999997</v>
      </c>
      <c r="F61">
        <v>452020.05669999996</v>
      </c>
      <c r="G61">
        <f>(E61-F61)</f>
        <v>27279.56880000001</v>
      </c>
    </row>
    <row r="62">
      <c r="C62" t="str">
        <v>Pagado</v>
      </c>
      <c r="D62" t="str">
        <v>Hemmebarsch GMBH &amp; Co KG , factura # 2-14 Marzo</v>
      </c>
      <c r="E62">
        <v>4792883.5405</v>
      </c>
      <c r="F62">
        <v>4520094.2677</v>
      </c>
      <c r="G62">
        <f>(E62-F62)</f>
        <v>272789.2728000004</v>
      </c>
    </row>
    <row r="63">
      <c r="C63" t="str">
        <v>Pagado</v>
      </c>
      <c r="D63" t="str">
        <v>Hemmebarsch GMBH &amp; Co KG , factura # 6700 Marzo</v>
      </c>
      <c r="E63">
        <v>352448.8795</v>
      </c>
      <c r="F63">
        <v>337854.6085</v>
      </c>
      <c r="G63">
        <f>(E63-F63)</f>
        <v>14594.271000000008</v>
      </c>
    </row>
    <row r="64">
      <c r="C64" t="str">
        <v>Pagado</v>
      </c>
      <c r="D64" t="str">
        <v>Hemmebarsch GMBH &amp; Co KG , factura # 5-224 Marzo</v>
      </c>
      <c r="E64">
        <v>3524562.7224</v>
      </c>
      <c r="F64">
        <v>3378616.9512</v>
      </c>
      <c r="G64">
        <f>(E64-F64)</f>
        <v>145945.77119999984</v>
      </c>
    </row>
    <row r="65">
      <c r="C65" t="str">
        <v>Sin Pagar</v>
      </c>
      <c r="D65" t="str">
        <v>Hemmebarsch GMBH &amp; Co KG , factura # 6771 Marzo</v>
      </c>
      <c r="E65">
        <v>462859.45139999996</v>
      </c>
      <c r="F65">
        <v>452558.8542</v>
      </c>
      <c r="G65">
        <f>(E65-F65)</f>
        <v>10300.59719999996</v>
      </c>
    </row>
    <row r="66">
      <c r="C66" t="str">
        <v>Sin Pagar</v>
      </c>
      <c r="D66" t="str">
        <v>Hemmebarsch GMBH &amp; Co KG , factura # 5-246 Marzo</v>
      </c>
      <c r="E66">
        <v>4628742.3688</v>
      </c>
      <c r="F66">
        <v>4525733.1064</v>
      </c>
      <c r="G66">
        <f>(E66-F66)</f>
        <v>103009.26240000036</v>
      </c>
    </row>
    <row r="67">
      <c r="C67" t="str">
        <v>Pagado</v>
      </c>
      <c r="D67" t="str">
        <v>Hong kong yonyou xinfushe cloud technology co., limited Factura 6673</v>
      </c>
      <c r="E67">
        <v>2742027.75</v>
      </c>
      <c r="F67">
        <v>2737147.203</v>
      </c>
      <c r="G67">
        <f>(E67-F67)</f>
        <v>4880.546999999788</v>
      </c>
    </row>
    <row r="68">
      <c r="C68" t="str">
        <v>Pagado</v>
      </c>
      <c r="D68" t="str">
        <v>Hong kong yonyou xinfushe cloud technology co., limited Factura 5-273</v>
      </c>
      <c r="E68">
        <v>48919208.800000004</v>
      </c>
      <c r="F68">
        <v>48832137.2896</v>
      </c>
      <c r="G68">
        <f>(E68-F68)</f>
        <v>87071.51040000468</v>
      </c>
    </row>
    <row r="69">
      <c r="C69" t="str">
        <v>Pagado</v>
      </c>
      <c r="D69" t="str">
        <v>Flexco Factura # 6766</v>
      </c>
      <c r="E69">
        <v>1338816.8865855152</v>
      </c>
      <c r="F69">
        <v>1313580.7859999998</v>
      </c>
      <c r="G69">
        <f>(E69-F69)</f>
        <v>25236.100585515378</v>
      </c>
    </row>
    <row r="70">
      <c r="C70" t="str">
        <v>Pagado</v>
      </c>
      <c r="D70" t="str">
        <v>Flexco Factura # 5-239</v>
      </c>
      <c r="E70">
        <v>14875837.319014488</v>
      </c>
      <c r="F70">
        <v>14595434.427</v>
      </c>
      <c r="G70">
        <f>(E70-F70)</f>
        <v>280402.8920144886</v>
      </c>
    </row>
    <row r="71">
      <c r="C71" t="str">
        <v>Pagado</v>
      </c>
      <c r="D71" t="str">
        <v>Insider factura  # 5-258</v>
      </c>
      <c r="E71">
        <v>698811.9951000001</v>
      </c>
      <c r="F71">
        <v>697375.5998999999</v>
      </c>
      <c r="G71">
        <f>(E71-F71)</f>
        <v>1436.3952000001445</v>
      </c>
    </row>
    <row r="72">
      <c r="C72" t="str">
        <v>Pagado</v>
      </c>
      <c r="D72" t="str">
        <v>Insider factura  # 5-243</v>
      </c>
      <c r="E72">
        <v>7704505.575</v>
      </c>
      <c r="F72">
        <v>7672555.484999999</v>
      </c>
      <c r="G72">
        <f>(E72-F72)</f>
        <v>31950.090000000782</v>
      </c>
    </row>
    <row r="73">
      <c r="C73" t="str">
        <v>Pagado</v>
      </c>
      <c r="D73" t="str">
        <v>Insider factura  # 6810</v>
      </c>
      <c r="E73">
        <v>21745758.691800002</v>
      </c>
      <c r="F73">
        <v>21729451.143400002</v>
      </c>
      <c r="G73">
        <f>(E73-F73)</f>
        <v>16307.548399999738</v>
      </c>
    </row>
    <row r="74">
      <c r="C74" t="str">
        <v>Pagado</v>
      </c>
      <c r="D74" t="str">
        <v>Insider factura  # 2-271</v>
      </c>
      <c r="E74">
        <v>686318871.9753</v>
      </c>
      <c r="F74">
        <v>685804188.7038999</v>
      </c>
      <c r="G74">
        <f>(E74-F74)</f>
        <v>514683.27140009403</v>
      </c>
    </row>
    <row r="75">
      <c r="C75" t="str">
        <v>Pagado</v>
      </c>
      <c r="D75" t="str">
        <v>Minudoc OÜ ( SIFFI) Factura # 6777</v>
      </c>
      <c r="E75">
        <v>788259.6250385499</v>
      </c>
      <c r="F75">
        <v>788167.576</v>
      </c>
      <c r="G75">
        <f>(E75-F75)</f>
        <v>92.04903854988515</v>
      </c>
    </row>
    <row r="76">
      <c r="C76" t="str">
        <v>Pagado</v>
      </c>
      <c r="D76" t="str">
        <v>Minudoc OÜ ( SIFFI) Factura # 5-252</v>
      </c>
      <c r="E76">
        <v>7882450.465361449</v>
      </c>
      <c r="F76">
        <v>7881529.992000001</v>
      </c>
      <c r="G76">
        <f>(E76-F76)</f>
        <v>920.4733614483848</v>
      </c>
    </row>
    <row r="77">
      <c r="C77" t="str">
        <v>Pagado</v>
      </c>
      <c r="D77" t="str">
        <v>MKD Factura # 6765</v>
      </c>
      <c r="E77">
        <v>510186.4248</v>
      </c>
      <c r="F77">
        <v>499432.479</v>
      </c>
      <c r="G77">
        <f>(E77-F77)</f>
        <v>10753.945799999987</v>
      </c>
    </row>
    <row r="78">
      <c r="C78" t="str">
        <v>Pagado</v>
      </c>
      <c r="D78" t="str">
        <v>MKD Factura # 5-238</v>
      </c>
      <c r="E78">
        <v>4638085.2576</v>
      </c>
      <c r="F78">
        <v>4540321.5479999995</v>
      </c>
      <c r="G78">
        <f>(E78-F78)</f>
        <v>97763.70960000064</v>
      </c>
    </row>
    <row r="79">
      <c r="C79" t="str">
        <v>Pagado</v>
      </c>
      <c r="D79" t="str">
        <v>Nazdar Factura # 6767</v>
      </c>
      <c r="E79">
        <v>3613174.8160595368</v>
      </c>
      <c r="F79">
        <v>3540083.232</v>
      </c>
      <c r="G79">
        <f>(E79-F79)</f>
        <v>73091.58405953692</v>
      </c>
    </row>
    <row r="80">
      <c r="C80" t="str">
        <v>Pagado</v>
      </c>
      <c r="D80" t="str">
        <v>Nazdar Factura # 5-240</v>
      </c>
      <c r="E80">
        <v>60219309.761540465</v>
      </c>
      <c r="F80">
        <v>59001122.166</v>
      </c>
      <c r="G80">
        <f>(E80-F80)</f>
        <v>1218187.595540464</v>
      </c>
    </row>
    <row r="81">
      <c r="C81" t="str">
        <v>Pagado</v>
      </c>
      <c r="D81" t="str">
        <v>Neo Factura # 6769</v>
      </c>
      <c r="E81">
        <v>5786118.204377905</v>
      </c>
      <c r="F81">
        <v>5731579.6713</v>
      </c>
      <c r="G81">
        <f>(E81-F81)</f>
        <v>54538.533077904955</v>
      </c>
    </row>
    <row r="82">
      <c r="C82" t="str">
        <v>Pagado</v>
      </c>
      <c r="D82" t="str">
        <v>Neo Factura # FV-5-244</v>
      </c>
      <c r="E82">
        <v>72326237.9822221</v>
      </c>
      <c r="F82">
        <v>71644508.5769</v>
      </c>
      <c r="G82">
        <f>(E82-F82)</f>
        <v>681729.4053220898</v>
      </c>
    </row>
    <row r="83">
      <c r="C83" t="str">
        <v>Pagado</v>
      </c>
      <c r="D83" t="str">
        <v>Oncehub Factura # 6786</v>
      </c>
      <c r="E83">
        <v>877475.3780630965</v>
      </c>
      <c r="F83">
        <v>867734.4</v>
      </c>
      <c r="G83">
        <f>(E83-F83)</f>
        <v>9740.978063096525</v>
      </c>
    </row>
    <row r="84">
      <c r="C84" t="str">
        <v>Pagado</v>
      </c>
      <c r="D84" t="str">
        <v>Oncehub Factura # 5-257</v>
      </c>
      <c r="E84">
        <v>12016513.441936903</v>
      </c>
      <c r="F84">
        <v>11883116.429599999</v>
      </c>
      <c r="G84">
        <f>(E84-F84)</f>
        <v>133397.01233690418</v>
      </c>
    </row>
    <row r="85">
      <c r="C85" t="str">
        <v>Pagado</v>
      </c>
      <c r="D85" t="str">
        <v>Poc Pharma Limited Factura # 6776</v>
      </c>
      <c r="E85">
        <v>2339876.56</v>
      </c>
      <c r="F85">
        <v>2336670.1099</v>
      </c>
      <c r="G85">
        <f>(E85-F85)</f>
        <v>3206.4501000000164</v>
      </c>
    </row>
    <row r="86">
      <c r="C86" t="str">
        <v>Pagado</v>
      </c>
      <c r="D86" t="str">
        <v>Poc Pharma Limited Factura # 5-251</v>
      </c>
      <c r="E86">
        <v>13320855.36</v>
      </c>
      <c r="F86">
        <v>13302601.1244</v>
      </c>
      <c r="G86">
        <f>(E86-F86)</f>
        <v>18254.235600000247</v>
      </c>
    </row>
    <row r="87">
      <c r="C87" t="str">
        <v>Pagado</v>
      </c>
      <c r="D87" t="str">
        <v>Remofirst Factura # 6763</v>
      </c>
      <c r="E87">
        <v>35147078.4</v>
      </c>
      <c r="F87">
        <v>34951728</v>
      </c>
      <c r="G87">
        <f>(E87-F87)</f>
        <v>195350.3999999985</v>
      </c>
    </row>
    <row r="88">
      <c r="C88" t="str">
        <v>Pagado</v>
      </c>
      <c r="D88" t="str">
        <v>Remofirst Factura # 5-236</v>
      </c>
      <c r="E88">
        <v>1249600470.48</v>
      </c>
      <c r="F88">
        <v>1242655086.6000001</v>
      </c>
      <c r="G88">
        <f>(E88-F88)</f>
        <v>6945383.879999876</v>
      </c>
    </row>
    <row r="89">
      <c r="C89" t="str">
        <v>Pagado</v>
      </c>
      <c r="D89" t="str">
        <v>Remofirst Factura # 6764</v>
      </c>
      <c r="E89">
        <v>2636030.88</v>
      </c>
      <c r="F89">
        <v>2621379.6</v>
      </c>
      <c r="G89">
        <f>(E89-F89)</f>
        <v>14651.279999999795</v>
      </c>
    </row>
    <row r="90">
      <c r="C90" t="str">
        <v>Pagado</v>
      </c>
      <c r="D90" t="str">
        <v>Remofirst Factura # 5-237</v>
      </c>
      <c r="E90">
        <v>37191072.9888</v>
      </c>
      <c r="F90">
        <v>36984361.896</v>
      </c>
      <c r="G90">
        <f>(E90-F90)</f>
        <v>206711.09279999882</v>
      </c>
    </row>
    <row r="91">
      <c r="C91" t="str">
        <v>Pagado</v>
      </c>
      <c r="D91" t="str">
        <v>Rivermate Factura # 6768</v>
      </c>
      <c r="E91">
        <v>1285421.99</v>
      </c>
      <c r="G91">
        <f>(E91-F91)*0</f>
        <v>0</v>
      </c>
    </row>
    <row r="92">
      <c r="C92" t="str">
        <v>Pagado</v>
      </c>
      <c r="D92" t="str">
        <v>Rivermate Factura # 5-241</v>
      </c>
      <c r="E92">
        <v>71495628.14</v>
      </c>
      <c r="G92">
        <f>(E92-F92)*0</f>
        <v>0</v>
      </c>
    </row>
    <row r="93">
      <c r="C93" t="str">
        <v>Pagado</v>
      </c>
      <c r="D93" t="str">
        <v>Rivermate Factura # 5-270</v>
      </c>
      <c r="E93">
        <v>1893065.15</v>
      </c>
      <c r="G93">
        <f>(E93-F93)*0</f>
        <v>0</v>
      </c>
    </row>
    <row r="94">
      <c r="C94" t="str">
        <v>Pagado</v>
      </c>
      <c r="D94" t="str">
        <v>Root capital factura # 6775</v>
      </c>
      <c r="E94">
        <v>1871058.5955</v>
      </c>
      <c r="F94">
        <v>1860581.0139</v>
      </c>
      <c r="G94">
        <f>(E94-F94)</f>
        <v>10477.58160000015</v>
      </c>
    </row>
    <row r="95">
      <c r="C95" t="str">
        <v>Pagado</v>
      </c>
      <c r="D95" t="str">
        <v>Root capital  # FV-5-250</v>
      </c>
      <c r="E95">
        <v>20823085.6785</v>
      </c>
      <c r="F95">
        <v>20706480.2553</v>
      </c>
      <c r="G95">
        <f>(E95-F95)</f>
        <v>116605.42320000008</v>
      </c>
    </row>
    <row r="96">
      <c r="D96" t="str">
        <v>TOTAL INGRESOS</v>
      </c>
      <c r="E96">
        <f>SUBTOTAL(9,E4:E95)</f>
        <v>3488439212.6918</v>
      </c>
      <c r="G96">
        <f>SUM(G6:G95)</f>
        <v>14108743.935799997</v>
      </c>
    </row>
    <row r="99">
      <c r="C99" t="str">
        <v xml:space="preserve">CUENTAS X PAGAR MES </v>
      </c>
      <c r="E99" t="str">
        <v>MARZO</v>
      </c>
      <c r="F99" t="str">
        <v>Fecha de Elaboración:</v>
      </c>
      <c r="J99">
        <v>46082</v>
      </c>
    </row>
    <row r="100">
      <c r="C100" t="str">
        <v>Factura</v>
      </c>
      <c r="D100" t="str">
        <v>PROVEEDOR</v>
      </c>
      <c r="E100" t="str">
        <v>VALOR</v>
      </c>
      <c r="F100" t="str">
        <v>Fecha vencimiento</v>
      </c>
      <c r="G100" t="str">
        <v>Estado</v>
      </c>
      <c r="J100" t="str">
        <v>KPI</v>
      </c>
      <c r="K100" t="str">
        <v>Objeto</v>
      </c>
    </row>
    <row r="101">
      <c r="D101" t="str">
        <v>PAGOS ANTICIPADOS</v>
      </c>
      <c r="E101">
        <f>SUBTOTAL(9,E102:E104)</f>
        <v>17522648</v>
      </c>
    </row>
    <row r="102">
      <c r="A102" t="str">
        <f>G102</f>
        <v>Cancelado</v>
      </c>
      <c r="B102">
        <f>IF(I102&lt;=-1,1,IF(I102&lt;=5,2,IF(I102&lt;=15,3,IF(H102&lt;=60,4))))</f>
        <v>3</v>
      </c>
      <c r="D102" t="str">
        <v>Anticipo nómina Action</v>
      </c>
      <c r="E102">
        <v>4360000</v>
      </c>
      <c r="F102">
        <v>46094</v>
      </c>
      <c r="G102" t="str">
        <v>Cancelado</v>
      </c>
      <c r="H102">
        <f>IF(OR(G102="Sin pagar",G102="Pagar"),NETWORKDAYS($J$99,F102,'Festivos Colombia'!$A$3:$A$22),0)</f>
        <v>0</v>
      </c>
      <c r="I102">
        <f>NETWORKDAYS($J$99,F102,'Festivos Colombia'!$A$3:$A$22)</f>
        <v>10</v>
      </c>
      <c r="J102">
        <f>H102</f>
        <v>0</v>
      </c>
    </row>
    <row r="103">
      <c r="A103" t="str">
        <f>G103</f>
        <v>Cancelado</v>
      </c>
      <c r="B103">
        <f>IF(I103&lt;=-1,1,IF(I103&lt;=5,2,IF(I103&lt;=15,3,IF(H103&lt;=60,4))))</f>
        <v>3</v>
      </c>
      <c r="D103" t="str">
        <v>Anticipo nómina Nazdar</v>
      </c>
      <c r="E103">
        <v>9500000</v>
      </c>
      <c r="F103">
        <v>46094</v>
      </c>
      <c r="G103" t="str">
        <v>Cancelado</v>
      </c>
      <c r="H103">
        <f>IF(OR(G103="Sin pagar",G103="Pagar"),NETWORKDAYS($J$99,F103,'Festivos Colombia'!$A$3:$A$22),0)</f>
        <v>0</v>
      </c>
      <c r="I103">
        <f>NETWORKDAYS($J$99,F103,'Festivos Colombia'!$A$3:$A$22)</f>
        <v>10</v>
      </c>
      <c r="J103">
        <f>H103</f>
        <v>0</v>
      </c>
    </row>
    <row r="104">
      <c r="A104" t="str">
        <f>G104</f>
        <v>Cancelado</v>
      </c>
      <c r="B104">
        <f>IF(I104&lt;=-1,1,IF(I104&lt;=5,2,IF(I104&lt;=15,3,IF(H104&lt;=60,4))))</f>
        <v>4</v>
      </c>
      <c r="D104" t="str">
        <v>Anticipo nómina Action</v>
      </c>
      <c r="E104">
        <v>3662648</v>
      </c>
      <c r="F104">
        <v>46112</v>
      </c>
      <c r="G104" t="str">
        <v>Cancelado</v>
      </c>
      <c r="H104">
        <f>IF(OR(G104="Sin pagar",G104="Pagar"),NETWORKDAYS($J$99,F104,'Festivos Colombia'!$A$3:$A$22),0)</f>
        <v>0</v>
      </c>
      <c r="I104">
        <f>NETWORKDAYS($J$99,F104,'Festivos Colombia'!$A$3:$A$22)</f>
        <v>21</v>
      </c>
      <c r="J104">
        <f>H104</f>
        <v>0</v>
      </c>
    </row>
    <row r="105">
      <c r="D105" t="str">
        <v xml:space="preserve">SEGURIDAD SOCIAL   </v>
      </c>
      <c r="E105">
        <f>SUBTOTAL(9,E106:E106)</f>
        <v>517318100</v>
      </c>
    </row>
    <row r="106">
      <c r="A106" t="str">
        <f>G106</f>
        <v>Cancelado</v>
      </c>
      <c r="B106">
        <f>IF(I106&lt;=-1,1,IF(I106&lt;=5,2,IF(I106&lt;=15,3,IF(H106&lt;=60,4))))</f>
        <v>3</v>
      </c>
      <c r="C106">
        <v>176206200</v>
      </c>
      <c r="D106" t="str">
        <v xml:space="preserve">Seguridad social </v>
      </c>
      <c r="E106">
        <v>517318100</v>
      </c>
      <c r="F106">
        <v>46092</v>
      </c>
      <c r="G106" t="str">
        <v>Cancelado</v>
      </c>
      <c r="H106">
        <f>IF(OR(G106="Sin pagar",G106="Pagar"),NETWORKDAYS($J$99,F106,'Festivos Colombia'!$A$3:$A$22),0)</f>
        <v>0</v>
      </c>
      <c r="I106">
        <f>NETWORKDAYS($J$99,F106,'Festivos Colombia'!$A$3:$A$22)</f>
        <v>8</v>
      </c>
      <c r="J106">
        <f>H106</f>
        <v>0</v>
      </c>
    </row>
    <row r="107">
      <c r="D107" t="str">
        <v>AFC´S</v>
      </c>
      <c r="E107">
        <f>SUBTOTAL(9,E108:E110)</f>
        <v>14755460</v>
      </c>
    </row>
    <row r="108">
      <c r="A108" t="str">
        <f>G108</f>
        <v>Cancelado</v>
      </c>
      <c r="B108">
        <f>IF(I108&lt;=-1,1,IF(I108&lt;=5,2,IF(I108&lt;=15,3,IF(H108&lt;=60,4))))</f>
        <v>4</v>
      </c>
      <c r="D108" t="str">
        <v xml:space="preserve">AFC Dafuturo cheque </v>
      </c>
      <c r="E108">
        <v>1000000</v>
      </c>
      <c r="F108">
        <v>46111</v>
      </c>
      <c r="G108" t="str">
        <v>Cancelado</v>
      </c>
      <c r="H108">
        <f>IF(OR(G108="Sin pagar",G108="Pagar"),NETWORKDAYS($J$99,F108,'Festivos Colombia'!$A$3:$A$22),0)</f>
        <v>0</v>
      </c>
      <c r="I108">
        <f>NETWORKDAYS($J$99,F108,'Festivos Colombia'!$A$3:$A$22)</f>
        <v>20</v>
      </c>
      <c r="J108">
        <f>H108</f>
        <v>0</v>
      </c>
    </row>
    <row r="109">
      <c r="A109" t="str">
        <f>G109</f>
        <v>Cancelado</v>
      </c>
      <c r="B109">
        <f>IF(I109&lt;=-1,1,IF(I109&lt;=5,2,IF(I109&lt;=15,3,IF(H109&lt;=60,4))))</f>
        <v>4</v>
      </c>
      <c r="D109" t="str">
        <v xml:space="preserve">AFC OER electronico </v>
      </c>
      <c r="E109">
        <f>7600000+4000000</f>
        <v>11600000</v>
      </c>
      <c r="F109">
        <v>46111</v>
      </c>
      <c r="G109" t="str">
        <v>Cancelado</v>
      </c>
      <c r="H109">
        <f>IF(OR(G109="Sin pagar",G109="Pagar"),NETWORKDAYS($J$99,F109,'Festivos Colombia'!$A$3:$A$22),0)</f>
        <v>0</v>
      </c>
      <c r="I109">
        <f>NETWORKDAYS($J$99,F109,'Festivos Colombia'!$A$3:$A$22)</f>
        <v>20</v>
      </c>
      <c r="J109">
        <f>H109</f>
        <v>0</v>
      </c>
    </row>
    <row r="110">
      <c r="A110" t="str">
        <f>G110</f>
        <v>Cancelado</v>
      </c>
      <c r="B110">
        <f>IF(I110&lt;=-1,1,IF(I110&lt;=5,2,IF(I110&lt;=15,3,IF(H110&lt;=60,4))))</f>
        <v>4</v>
      </c>
      <c r="D110" t="str">
        <v xml:space="preserve">AFC Edward Forero electronico </v>
      </c>
      <c r="E110">
        <v>2155460</v>
      </c>
      <c r="F110">
        <v>46111</v>
      </c>
      <c r="G110" t="str">
        <v>Cancelado</v>
      </c>
      <c r="H110">
        <f>IF(OR(G110="Sin pagar",G110="Pagar"),NETWORKDAYS($J$99,F110,'Festivos Colombia'!$A$3:$A$22),0)</f>
        <v>0</v>
      </c>
      <c r="I110">
        <f>NETWORKDAYS($J$99,F110,'Festivos Colombia'!$A$3:$A$22)</f>
        <v>20</v>
      </c>
      <c r="J110">
        <f>H110</f>
        <v>0</v>
      </c>
    </row>
    <row r="111">
      <c r="D111" t="str">
        <v xml:space="preserve">IMPUESTOS </v>
      </c>
      <c r="E111">
        <f>SUBTOTAL(9,E112:E114)</f>
        <v>272937500</v>
      </c>
      <c r="J111">
        <f>H111</f>
        <v>0</v>
      </c>
    </row>
    <row r="112">
      <c r="A112" t="str">
        <f>G112</f>
        <v>Cancelado</v>
      </c>
      <c r="B112">
        <f>IF(I112&lt;=-1,1,IF(I112&lt;=5,2,IF(I112&lt;=15,3,IF(H112&lt;=60,4))))</f>
        <v>3</v>
      </c>
      <c r="D112" t="str">
        <v>IVA 1er Bimestre</v>
      </c>
      <c r="E112">
        <v>62607000</v>
      </c>
      <c r="F112">
        <v>46097</v>
      </c>
      <c r="G112" t="str">
        <v>Cancelado</v>
      </c>
      <c r="H112">
        <f>IF(OR(G112="Sin pagar",G112="Pagar"),NETWORKDAYS($J$99,F112,'Festivos Colombia'!$A$3:$A$22),0)</f>
        <v>0</v>
      </c>
      <c r="I112">
        <f>NETWORKDAYS($J$99,F112,'Festivos Colombia'!$A$3:$A$22)</f>
        <v>11</v>
      </c>
      <c r="J112">
        <f>H112</f>
        <v>0</v>
      </c>
    </row>
    <row r="113">
      <c r="A113" t="str">
        <f>G113</f>
        <v>Cancelado</v>
      </c>
      <c r="B113">
        <f>IF(I113&lt;=-1,1,IF(I113&lt;=5,2,IF(I113&lt;=15,3,IF(H113&lt;=60,4))))</f>
        <v>3</v>
      </c>
      <c r="D113" t="str">
        <v xml:space="preserve">RETENCIÓN EN LA FUENTE </v>
      </c>
      <c r="E113">
        <v>209193000</v>
      </c>
      <c r="F113">
        <v>46097</v>
      </c>
      <c r="G113" t="str">
        <v>Cancelado</v>
      </c>
      <c r="H113">
        <f>IF(OR(G113="Sin pagar",G113="Pagar"),NETWORKDAYS($J$99,F113,'Festivos Colombia'!$A$3:$A$22),0)</f>
        <v>0</v>
      </c>
      <c r="I113">
        <f>NETWORKDAYS($J$99,F113,'Festivos Colombia'!$A$3:$A$22)</f>
        <v>11</v>
      </c>
      <c r="J113">
        <f>H113</f>
        <v>0</v>
      </c>
    </row>
    <row r="114">
      <c r="D114" t="str">
        <v>RTE ICA ( cada dos meses)</v>
      </c>
      <c r="E114">
        <f>910000*1.25</f>
        <v>1137500</v>
      </c>
      <c r="F114">
        <v>46097</v>
      </c>
      <c r="G114" t="str">
        <v>Cancelado</v>
      </c>
      <c r="H114">
        <f>IF(OR(G114="Sin pagar",G114="Pagar"),NETWORKDAYS($J$99,F114,'Festivos Colombia'!$A$3:$A$22),0)</f>
        <v>0</v>
      </c>
      <c r="I114">
        <f>NETWORKDAYS($J$99,F114,'Festivos Colombia'!$A$3:$A$22)</f>
        <v>11</v>
      </c>
      <c r="J114">
        <f>H114</f>
        <v>0</v>
      </c>
    </row>
    <row r="115">
      <c r="D115" t="str">
        <v>ARRIENDO, INTERNET, TELEFONIA Y GASTOS DE OFICINA</v>
      </c>
      <c r="E115">
        <f>SUBTOTAL(9,E116:E136)</f>
        <v>10129377.84</v>
      </c>
      <c r="J115">
        <f>H115</f>
        <v>0</v>
      </c>
    </row>
    <row r="116">
      <c r="A116" t="str">
        <f>G116</f>
        <v>Cancelado</v>
      </c>
      <c r="B116">
        <f>IF(I116&lt;=-1,1,IF(I116&lt;=5,2,IF(I116&lt;=15,3,IF(H116&lt;=60,4))))</f>
        <v>2</v>
      </c>
      <c r="C116" t="str">
        <v>FE-56934</v>
      </c>
      <c r="D116" t="str">
        <v xml:space="preserve">BUK colombia SAS-Sucricpión Febrero 2026 Bukplay E-learning - Enero 2026 | 53 empleados </v>
      </c>
      <c r="E116">
        <f>1244113.7</f>
        <v>1244113.7</v>
      </c>
      <c r="F116">
        <v>46087</v>
      </c>
      <c r="G116" t="str">
        <v>Cancelado</v>
      </c>
      <c r="H116">
        <f>IF(OR(G116="Sin pagar",G116="Pagar"),NETWORKDAYS($J$99,F116,'Festivos Colombia'!$A$3:$A$22),0)</f>
        <v>0</v>
      </c>
      <c r="I116">
        <f>NETWORKDAYS($J$99,F116,'Festivos Colombia'!$A$3:$A$22)</f>
        <v>5</v>
      </c>
      <c r="J116">
        <f>H116</f>
        <v>0</v>
      </c>
    </row>
    <row r="117">
      <c r="A117" t="str">
        <f>G117</f>
        <v>Cancelado</v>
      </c>
      <c r="B117">
        <f>IF(I117&lt;=-1,1,IF(I117&lt;=5,2,IF(I117&lt;=15,3,IF(H117&lt;=60,4))))</f>
        <v>2</v>
      </c>
      <c r="C117" t="str">
        <v>580831430799</v>
      </c>
      <c r="D117" t="str">
        <v>Movistar Office 365</v>
      </c>
      <c r="E117">
        <f>368688</f>
        <v>368688</v>
      </c>
      <c r="F117">
        <v>46087</v>
      </c>
      <c r="G117" t="str">
        <v>Cancelado</v>
      </c>
      <c r="H117">
        <f>IF(OR(G117="Sin pagar",G117="Pagar"),NETWORKDAYS($J$99,F117,'Festivos Colombia'!$A$3:$A$22),0)</f>
        <v>0</v>
      </c>
      <c r="I117">
        <f>NETWORKDAYS($J$99,F117,'Festivos Colombia'!$A$3:$A$22)</f>
        <v>5</v>
      </c>
      <c r="J117">
        <f>H117</f>
        <v>0</v>
      </c>
    </row>
    <row r="118">
      <c r="A118" t="str">
        <f>G118</f>
        <v>Cancelado</v>
      </c>
      <c r="B118">
        <f>IF(I118&lt;=-1,1,IF(I118&lt;=5,2,IF(I118&lt;=15,3,IF(H118&lt;=60,4))))</f>
        <v>2</v>
      </c>
      <c r="C118" t="str">
        <v>FEWP-6700</v>
      </c>
      <c r="D118" t="str">
        <v>WORKPLACE SOLUTIONS GROUP SAS (SPACIO)</v>
      </c>
      <c r="E118">
        <f>358066.76</f>
        <v>358066.76</v>
      </c>
      <c r="F118">
        <v>46087</v>
      </c>
      <c r="G118" t="str">
        <v>Cancelado</v>
      </c>
      <c r="H118">
        <f>IF(OR(G118="Sin pagar",G118="Pagar"),NETWORKDAYS($J$99,F118,'Festivos Colombia'!$A$3:$A$22),0)</f>
        <v>0</v>
      </c>
      <c r="I118">
        <f>NETWORKDAYS($J$99,F118,'Festivos Colombia'!$A$3:$A$22)</f>
        <v>5</v>
      </c>
      <c r="J118">
        <f>H118</f>
        <v>0</v>
      </c>
    </row>
    <row r="119">
      <c r="A119" t="str">
        <f>G119</f>
        <v>Cancelado</v>
      </c>
      <c r="B119">
        <f>IF(I119&lt;=-1,1,IF(I119&lt;=5,2,IF(I119&lt;=15,3,IF(H119&lt;=60,4))))</f>
        <v>3</v>
      </c>
      <c r="C119">
        <v>27768</v>
      </c>
      <c r="D119" t="str">
        <v>Parking remofirst</v>
      </c>
      <c r="E119">
        <f>926800</f>
        <v>926800</v>
      </c>
      <c r="F119">
        <v>46091</v>
      </c>
      <c r="G119" t="str">
        <v>Cancelado</v>
      </c>
      <c r="H119">
        <f>IF(OR(G119="Sin pagar",G119="Pagar"),NETWORKDAYS($J$99,F119,'Festivos Colombia'!$A$3:$A$22),0)</f>
        <v>0</v>
      </c>
      <c r="I119">
        <f>NETWORKDAYS($J$99,F119,'Festivos Colombia'!$A$3:$A$22)</f>
        <v>7</v>
      </c>
      <c r="J119">
        <f>H119</f>
        <v>0</v>
      </c>
    </row>
    <row r="120">
      <c r="A120" t="str">
        <f>G120</f>
        <v>Cancelado</v>
      </c>
      <c r="B120">
        <f>IF(I120&lt;=-1,1,IF(I120&lt;=5,2,IF(I120&lt;=15,3,IF(H120&lt;=60,4))))</f>
        <v>2</v>
      </c>
      <c r="C120">
        <v>36</v>
      </c>
      <c r="D120" t="str">
        <v>Dario Mendez</v>
      </c>
      <c r="E120">
        <v>1000000</v>
      </c>
      <c r="F120">
        <v>46087</v>
      </c>
      <c r="G120" t="str">
        <v>Cancelado</v>
      </c>
      <c r="H120">
        <f>IF(OR(G120="Sin pagar",G120="Pagar"),NETWORKDAYS($J$99,F120,'Festivos Colombia'!$A$3:$A$22),0)</f>
        <v>0</v>
      </c>
      <c r="I120">
        <f>NETWORKDAYS($J$99,F120,'Festivos Colombia'!$A$3:$A$22)</f>
        <v>5</v>
      </c>
      <c r="J120">
        <f>H120</f>
        <v>0</v>
      </c>
    </row>
    <row r="121">
      <c r="A121" t="str">
        <f>G121</f>
        <v>Cancelado</v>
      </c>
      <c r="B121">
        <f>IF(I121&lt;=-1,1,IF(I121&lt;=5,2,IF(I121&lt;=15,3,IF(H121&lt;=60,4))))</f>
        <v>3</v>
      </c>
      <c r="C121" t="str">
        <v>FEWP-6722</v>
      </c>
      <c r="D121" t="str">
        <v>WORKPLACE SOLUTIONS GROUP SAS (SPACIO) Alquiler sala de juntas</v>
      </c>
      <c r="E121">
        <v>227700</v>
      </c>
      <c r="F121">
        <v>46094</v>
      </c>
      <c r="G121" t="str">
        <v>Cancelado</v>
      </c>
      <c r="H121">
        <f>IF(OR(G121="Sin pagar",G121="Pagar"),NETWORKDAYS($J$99,F121,'Festivos Colombia'!$A$3:$A$22),0)</f>
        <v>0</v>
      </c>
      <c r="I121">
        <f>NETWORKDAYS($J$99,F121,'Festivos Colombia'!$A$3:$A$22)</f>
        <v>10</v>
      </c>
      <c r="J121">
        <f>H121</f>
        <v>0</v>
      </c>
    </row>
    <row r="122">
      <c r="A122" t="str">
        <f>G122</f>
        <v>Cancelado</v>
      </c>
      <c r="B122">
        <f>IF(I122&lt;=-1,1,IF(I122&lt;=5,2,IF(I122&lt;=15,3,IF(H122&lt;=60,4))))</f>
        <v>3</v>
      </c>
      <c r="C122" t="str">
        <v>FEWP-6726</v>
      </c>
      <c r="D122" t="str">
        <v>WORKPLACE SOLUTIONS GROUP SAS (SPACIO) Alquiler sala de juntas</v>
      </c>
      <c r="E122">
        <v>227700</v>
      </c>
      <c r="F122">
        <v>46094</v>
      </c>
      <c r="G122" t="str">
        <v>Cancelado</v>
      </c>
      <c r="H122">
        <f>IF(OR(G122="Sin pagar",G122="Pagar"),NETWORKDAYS($J$99,F122,'Festivos Colombia'!$A$3:$A$22),0)</f>
        <v>0</v>
      </c>
      <c r="I122">
        <f>NETWORKDAYS($J$99,F122,'Festivos Colombia'!$A$3:$A$22)</f>
        <v>10</v>
      </c>
      <c r="J122">
        <f>H122</f>
        <v>0</v>
      </c>
    </row>
    <row r="123">
      <c r="A123" t="str">
        <f>G123</f>
        <v>Cancelado</v>
      </c>
      <c r="B123">
        <f>IF(I123&lt;=-1,1,IF(I123&lt;=5,2,IF(I123&lt;=15,3,IF(H123&lt;=60,4))))</f>
        <v>3</v>
      </c>
      <c r="C123" t="str">
        <v>FEWP-6740</v>
      </c>
      <c r="D123" t="str">
        <v>WORKPLACE SOLUTIONS GROUP SAS (SPACIO) Alquiler sala de juntas 10 Personas</v>
      </c>
      <c r="E123">
        <v>399119</v>
      </c>
      <c r="F123">
        <v>46101</v>
      </c>
      <c r="G123" t="str">
        <v>Cancelado</v>
      </c>
      <c r="H123">
        <f>IF(OR(G123="Sin pagar",G123="Pagar"),NETWORKDAYS($J$99,F123,'Festivos Colombia'!$A$3:$A$22),0)</f>
        <v>0</v>
      </c>
      <c r="I123">
        <f>NETWORKDAYS($J$99,F123,'Festivos Colombia'!$A$3:$A$22)</f>
        <v>15</v>
      </c>
      <c r="J123">
        <f>H123</f>
        <v>0</v>
      </c>
    </row>
    <row r="124">
      <c r="A124" t="str">
        <f>G124</f>
        <v>Cancelado</v>
      </c>
      <c r="B124">
        <f>IF(I124&lt;=-1,1,IF(I124&lt;=5,2,IF(I124&lt;=15,3,IF(H124&lt;=60,4))))</f>
        <v>3</v>
      </c>
      <c r="C124">
        <v>37</v>
      </c>
      <c r="D124" t="str">
        <v>Dario Mendez</v>
      </c>
      <c r="E124">
        <v>1100000</v>
      </c>
      <c r="F124">
        <v>46101</v>
      </c>
      <c r="G124" t="str">
        <v>Cancelado</v>
      </c>
      <c r="H124">
        <f>IF(OR(G124="Sin pagar",G124="Pagar"),NETWORKDAYS($J$99,F124,'Festivos Colombia'!$A$3:$A$22),0)</f>
        <v>0</v>
      </c>
      <c r="I124">
        <f>NETWORKDAYS($J$99,F124,'Festivos Colombia'!$A$3:$A$22)</f>
        <v>15</v>
      </c>
      <c r="J124">
        <f>H124</f>
        <v>0</v>
      </c>
    </row>
    <row r="125">
      <c r="A125" t="str">
        <f>G125</f>
        <v>Cancelado</v>
      </c>
      <c r="B125">
        <f>IF(I125&lt;=-1,1,IF(I125&lt;=5,2,IF(I125&lt;=15,3,IF(H125&lt;=60,4))))</f>
        <v>3</v>
      </c>
      <c r="C125">
        <v>64</v>
      </c>
      <c r="D125" t="str">
        <v>Rafael Mier (arriendo Bodega para S&amp;P)</v>
      </c>
      <c r="E125">
        <v>180000</v>
      </c>
      <c r="F125">
        <v>46101</v>
      </c>
      <c r="G125" t="str">
        <v>Cancelado</v>
      </c>
      <c r="H125">
        <f>IF(OR(G125="Sin pagar",G125="Pagar"),NETWORKDAYS($J$99,F125,'Festivos Colombia'!$A$3:$A$22),0)</f>
        <v>0</v>
      </c>
      <c r="I125">
        <f>NETWORKDAYS($J$99,F125,'Festivos Colombia'!$A$3:$A$22)</f>
        <v>15</v>
      </c>
      <c r="J125">
        <f>H125</f>
        <v>0</v>
      </c>
    </row>
    <row r="126">
      <c r="A126" t="str">
        <f>G126</f>
        <v>Cancelado</v>
      </c>
      <c r="B126">
        <f>IF(I126&lt;=-1,1,IF(I126&lt;=5,2,IF(I126&lt;=15,3,IF(H126&lt;=60,4))))</f>
        <v>3</v>
      </c>
      <c r="C126" t="str">
        <v>003 -292523658</v>
      </c>
      <c r="D126" t="str">
        <v>Claro Office 365</v>
      </c>
      <c r="E126">
        <v>1504416</v>
      </c>
      <c r="F126">
        <v>46101</v>
      </c>
      <c r="G126" t="str">
        <v>Cancelado</v>
      </c>
      <c r="H126">
        <f>IF(OR(G126="Sin pagar",G126="Pagar"),NETWORKDAYS($J$99,F126,'Festivos Colombia'!$A$3:$A$22),0)</f>
        <v>0</v>
      </c>
      <c r="I126">
        <f>NETWORKDAYS($J$99,F126,'Festivos Colombia'!$A$3:$A$22)</f>
        <v>15</v>
      </c>
      <c r="J126">
        <f>H126</f>
        <v>0</v>
      </c>
    </row>
    <row r="127">
      <c r="A127" t="str">
        <f>G127</f>
        <v>Cancelado</v>
      </c>
      <c r="B127">
        <f>IF(I127&lt;=-1,1,IF(I127&lt;=5,2,IF(I127&lt;=15,3,IF(H127&lt;=60,4))))</f>
        <v>3</v>
      </c>
      <c r="C127">
        <v>6038761603</v>
      </c>
      <c r="D127" t="str">
        <v>Claro-Telefonia</v>
      </c>
      <c r="E127">
        <v>810543.9</v>
      </c>
      <c r="F127">
        <v>46101</v>
      </c>
      <c r="G127" t="str">
        <v>Cancelado</v>
      </c>
      <c r="H127">
        <f>IF(OR(G127="Sin pagar",G127="Pagar"),NETWORKDAYS($J$99,F127,'Festivos Colombia'!$A$3:$A$22),0)</f>
        <v>0</v>
      </c>
      <c r="I127">
        <f>NETWORKDAYS($J$99,F127,'Festivos Colombia'!$A$3:$A$22)</f>
        <v>15</v>
      </c>
      <c r="J127">
        <f>H127</f>
        <v>0</v>
      </c>
    </row>
    <row r="128">
      <c r="A128" t="str">
        <f>G128</f>
        <v>Cancelado</v>
      </c>
      <c r="B128">
        <f>IF(I128&lt;=-1,1,IF(I128&lt;=5,2,IF(I128&lt;=15,3,IF(H128&lt;=60,4))))</f>
        <v>4</v>
      </c>
      <c r="C128" t="str">
        <v>FEWP-6744</v>
      </c>
      <c r="D128" t="str">
        <v>WORKPLACE SOLUTIONS GROUP SAS (SPACIO) Alquiler sala de juntas</v>
      </c>
      <c r="E128">
        <v>227700</v>
      </c>
      <c r="F128">
        <v>46108</v>
      </c>
      <c r="G128" t="str">
        <v>Cancelado</v>
      </c>
      <c r="H128">
        <f>IF(OR(G128="Sin pagar",G128="Pagar"),NETWORKDAYS($J$99,F128,'Festivos Colombia'!$A$3:$A$22),0)</f>
        <v>0</v>
      </c>
      <c r="I128">
        <f>NETWORKDAYS($J$99,F128,'Festivos Colombia'!$A$3:$A$22)</f>
        <v>19</v>
      </c>
      <c r="J128">
        <f>H128</f>
        <v>0</v>
      </c>
    </row>
    <row r="129">
      <c r="A129" t="str">
        <f>G129</f>
        <v>Cancelado</v>
      </c>
      <c r="B129">
        <f>IF(I129&lt;=-1,1,IF(I129&lt;=5,2,IF(I129&lt;=15,3,IF(H129&lt;=60,4))))</f>
        <v>4</v>
      </c>
      <c r="C129">
        <v>1</v>
      </c>
      <c r="D129" t="str">
        <v>David Alejandro Aguilar Suarez - Custodia de computadores</v>
      </c>
      <c r="E129">
        <v>300000</v>
      </c>
      <c r="F129">
        <v>46108</v>
      </c>
      <c r="G129" t="str">
        <v>Cancelado</v>
      </c>
      <c r="H129">
        <f>IF(OR(G129="Sin pagar",G129="Pagar"),NETWORKDAYS($J$99,F129,'Festivos Colombia'!$A$3:$A$22),0)</f>
        <v>0</v>
      </c>
      <c r="I129">
        <f>NETWORKDAYS($J$99,F129,'Festivos Colombia'!$A$3:$A$22)</f>
        <v>19</v>
      </c>
      <c r="J129">
        <f>H129</f>
        <v>0</v>
      </c>
    </row>
    <row r="130">
      <c r="A130" t="str">
        <f>G130</f>
        <v>Cancelado</v>
      </c>
      <c r="B130">
        <f>IF(I130&lt;=-1,1,IF(I130&lt;=5,2,IF(I130&lt;=15,3,IF(H130&lt;=60,4))))</f>
        <v>4</v>
      </c>
      <c r="C130" t="str">
        <v>BEC515175284</v>
      </c>
      <c r="D130" t="str">
        <v>Movistar Telefonía</v>
      </c>
      <c r="E130">
        <v>936519</v>
      </c>
      <c r="F130">
        <v>46108</v>
      </c>
      <c r="G130" t="str">
        <v>Cancelado</v>
      </c>
      <c r="H130">
        <f>IF(OR(G130="Sin pagar",G130="Pagar"),NETWORKDAYS($J$99,F130,'Festivos Colombia'!$A$3:$A$22),0)</f>
        <v>0</v>
      </c>
      <c r="I130">
        <f>NETWORKDAYS($J$99,F130,'Festivos Colombia'!$A$3:$A$22)</f>
        <v>19</v>
      </c>
      <c r="J130">
        <f>H130</f>
        <v>0</v>
      </c>
    </row>
    <row r="131">
      <c r="A131" t="str">
        <f>G131</f>
        <v>Cancelado</v>
      </c>
      <c r="B131">
        <f>IF(I131&lt;=-1,1,IF(I131&lt;=5,2,IF(I131&lt;=15,3,IF(H131&lt;=60,4))))</f>
        <v>4</v>
      </c>
      <c r="C131" t="str">
        <v>193</v>
      </c>
      <c r="D131" t="str">
        <v>Caja menor</v>
      </c>
      <c r="E131">
        <v>66000</v>
      </c>
      <c r="F131">
        <v>46111</v>
      </c>
      <c r="G131" t="str">
        <v>Cancelado</v>
      </c>
      <c r="H131">
        <f>IF(OR(G131="Sin pagar",G131="Pagar"),NETWORKDAYS($J$99,F131,'Festivos Colombia'!$A$3:$A$22),0)</f>
        <v>0</v>
      </c>
      <c r="I131">
        <f>NETWORKDAYS($J$99,F131,'Festivos Colombia'!$A$3:$A$22)</f>
        <v>20</v>
      </c>
      <c r="J131">
        <f>H131</f>
        <v>0</v>
      </c>
    </row>
    <row r="132">
      <c r="A132" t="str">
        <f>G132</f>
        <v>Cancelado</v>
      </c>
      <c r="B132">
        <f>IF(I132&lt;=-1,1,IF(I132&lt;=5,2,IF(I132&lt;=15,3,IF(H132&lt;=60,4))))</f>
        <v>4</v>
      </c>
      <c r="C132" t="str">
        <v>014F18743905</v>
      </c>
      <c r="D132" t="str">
        <v>Seguros mundial -Póliza cumplimiento  100016141 Anexo 3. Certificado 130090786</v>
      </c>
      <c r="E132">
        <v>252011.48</v>
      </c>
      <c r="F132">
        <v>46118</v>
      </c>
      <c r="G132" t="str">
        <v>Cancelado</v>
      </c>
      <c r="H132">
        <f>IF(OR(G132="Sin pagar",G132="Pagar"),NETWORKDAYS($J$99,F132,'Festivos Colombia'!$A$3:$A$22),0)</f>
        <v>0</v>
      </c>
      <c r="I132">
        <f>NETWORKDAYS($J$99,F132,'Festivos Colombia'!$A$3:$A$22)</f>
        <v>23</v>
      </c>
      <c r="J132">
        <f>H132</f>
        <v>0</v>
      </c>
    </row>
    <row r="133">
      <c r="A133" t="str">
        <f>G133</f>
        <v>Sin Pagar</v>
      </c>
      <c r="B133">
        <f>IF(I133&lt;=-1,1,IF(I133&lt;=5,2,IF(I133&lt;=15,3,IF(H133&lt;=60,4))))</f>
        <v>4</v>
      </c>
      <c r="C133" t="str">
        <v>FEWP-6810</v>
      </c>
      <c r="D133" t="str">
        <v>WORKPLACE SOLUTIONS GROUP SAS (SPACIO)</v>
      </c>
      <c r="E133">
        <f>358066.76*0</f>
        <v>0</v>
      </c>
      <c r="F133">
        <v>46122</v>
      </c>
      <c r="G133" t="str">
        <v>Sin Pagar</v>
      </c>
      <c r="H133">
        <f>IF(OR(G133="Sin pagar",G133="Pagar"),NETWORKDAYS($J$99,F133,'Festivos Colombia'!$A$3:$A$22),0)</f>
        <v>27</v>
      </c>
      <c r="I133">
        <f>NETWORKDAYS($J$99,F133,'Festivos Colombia'!$A$3:$A$22)</f>
        <v>27</v>
      </c>
      <c r="J133">
        <f>H133</f>
        <v>27</v>
      </c>
    </row>
    <row r="134">
      <c r="A134" t="str">
        <f>G134</f>
        <v>Sin Pagar</v>
      </c>
      <c r="B134">
        <f>IF(I134&lt;=-1,1,IF(I134&lt;=5,2,IF(I134&lt;=15,3,IF(H134&lt;=60,4))))</f>
        <v>4</v>
      </c>
      <c r="C134">
        <v>28184</v>
      </c>
      <c r="D134" t="str">
        <v>Parking remofirst</v>
      </c>
      <c r="E134">
        <f>634400*0</f>
        <v>0</v>
      </c>
      <c r="F134">
        <v>46122</v>
      </c>
      <c r="G134" t="str">
        <v>Sin Pagar</v>
      </c>
      <c r="H134">
        <f>IF(OR(G134="Sin pagar",G134="Pagar"),NETWORKDAYS($J$99,F134,'Festivos Colombia'!$A$3:$A$22),0)</f>
        <v>27</v>
      </c>
      <c r="I134">
        <f>NETWORKDAYS($J$99,F134,'Festivos Colombia'!$A$3:$A$22)</f>
        <v>27</v>
      </c>
      <c r="J134">
        <f>H134</f>
        <v>27</v>
      </c>
    </row>
    <row r="135">
      <c r="A135" t="str">
        <f>G135</f>
        <v>Sin Pagar</v>
      </c>
      <c r="B135">
        <f>IF(I135&lt;=-1,1,IF(I135&lt;=5,2,IF(I135&lt;=15,3,IF(H135&lt;=60,4))))</f>
        <v>4</v>
      </c>
      <c r="C135" t="str">
        <v>580831444002</v>
      </c>
      <c r="D135" t="str">
        <v>Movistar Office 365</v>
      </c>
      <c r="E135">
        <f>362715*0</f>
        <v>0</v>
      </c>
      <c r="F135">
        <v>46123</v>
      </c>
      <c r="G135" t="str">
        <v>Sin Pagar</v>
      </c>
      <c r="H135">
        <f>IF(OR(G135="Sin pagar",G135="Pagar"),NETWORKDAYS($J$99,F135,'Festivos Colombia'!$A$3:$A$22),0)</f>
        <v>27</v>
      </c>
      <c r="I135">
        <f>NETWORKDAYS($J$99,F135,'Festivos Colombia'!$A$3:$A$22)</f>
        <v>27</v>
      </c>
      <c r="J135">
        <f>H135</f>
        <v>27</v>
      </c>
    </row>
    <row r="136">
      <c r="A136" t="str">
        <f>G136</f>
        <v>Sin Pagar</v>
      </c>
      <c r="B136">
        <f>IF(I136&lt;=-1,1,IF(I136&lt;=5,2,IF(I136&lt;=15,3,IF(H136&lt;=60,4))))</f>
        <v>4</v>
      </c>
      <c r="C136" t="str">
        <v>BEV24903802</v>
      </c>
      <c r="D136" t="str">
        <v>Movistar Office 365- Linea nueva de SG</v>
      </c>
      <c r="E136">
        <f>110900*0</f>
        <v>0</v>
      </c>
      <c r="F136">
        <v>46129</v>
      </c>
      <c r="G136" t="str">
        <v>Sin Pagar</v>
      </c>
      <c r="H136">
        <f>IF(OR(G136="Sin pagar",G136="Pagar"),NETWORKDAYS($J$99,F136,'Festivos Colombia'!$A$3:$A$22),0)</f>
        <v>32</v>
      </c>
      <c r="I136">
        <f>NETWORKDAYS($J$99,F136,'Festivos Colombia'!$A$3:$A$22)</f>
        <v>32</v>
      </c>
      <c r="J136">
        <f>H136</f>
        <v>32</v>
      </c>
    </row>
    <row r="137">
      <c r="D137" t="str">
        <v>PLANES COMPLEMENTARIOS Y PREPAGADAS</v>
      </c>
      <c r="E137">
        <f>SUBTOTAL(9,E138:E139)</f>
        <v>1868879</v>
      </c>
    </row>
    <row r="138">
      <c r="A138" t="str">
        <f>G138</f>
        <v>Cancelado</v>
      </c>
      <c r="B138">
        <f>IF(I138&lt;=-1,1,IF(I138&lt;=5,2,IF(I138&lt;=15,3,IF(H138&lt;=60,4))))</f>
        <v>4</v>
      </c>
      <c r="C138" t="str">
        <v>SD01 17795173</v>
      </c>
      <c r="D138" t="str">
        <v>Plan medicina prepagada Eduard Forero</v>
      </c>
      <c r="E138">
        <v>1064823</v>
      </c>
      <c r="F138">
        <v>46108</v>
      </c>
      <c r="G138" t="str">
        <v>Cancelado</v>
      </c>
      <c r="H138">
        <f>IF(OR(G138="Sin pagar",G138="Pagar"),NETWORKDAYS($J$99,F138,'Festivos Colombia'!$A$3:$A$22),0)</f>
        <v>0</v>
      </c>
      <c r="I138">
        <f>NETWORKDAYS($J$99,F138,'Festivos Colombia'!$A$3:$A$22)</f>
        <v>19</v>
      </c>
      <c r="J138">
        <f>H138</f>
        <v>0</v>
      </c>
    </row>
    <row r="139">
      <c r="A139" t="str">
        <f>G139</f>
        <v>Cancelado</v>
      </c>
      <c r="B139">
        <f>IF(I139&lt;=-1,1,IF(I139&lt;=5,2,IF(I139&lt;=15,3,IF(H139&lt;=60,4))))</f>
        <v>4</v>
      </c>
      <c r="C139" t="str">
        <v>219912177994</v>
      </c>
      <c r="D139" t="str">
        <v>Plan complementario Ricardo Arambulo</v>
      </c>
      <c r="E139">
        <f>804056</f>
        <v>804056</v>
      </c>
      <c r="F139">
        <v>46108</v>
      </c>
      <c r="G139" t="str">
        <v>Cancelado</v>
      </c>
      <c r="H139">
        <f>IF(OR(G139="Sin pagar",G139="Pagar"),NETWORKDAYS($J$99,F139,'Festivos Colombia'!$A$3:$A$22),0)</f>
        <v>0</v>
      </c>
      <c r="I139">
        <f>NETWORKDAYS($J$99,F139,'Festivos Colombia'!$A$3:$A$22)</f>
        <v>19</v>
      </c>
      <c r="J139">
        <f>H139</f>
        <v>0</v>
      </c>
      <c r="K139" t="str">
        <v>Sin radicar</v>
      </c>
    </row>
    <row r="140">
      <c r="D140" t="str">
        <v>PÓLIZAS Y SEGUROS</v>
      </c>
      <c r="E140">
        <f>SUBTOTAL(9,E141:E143)</f>
        <v>10622309</v>
      </c>
    </row>
    <row r="141">
      <c r="A141" t="str">
        <f>G141</f>
        <v>Cancelado</v>
      </c>
      <c r="B141">
        <f>IF(I141&lt;=-1,1,IF(I141&lt;=5,2,IF(I141&lt;=15,3,IF(H141&lt;=60,4))))</f>
        <v>3</v>
      </c>
      <c r="C141" t="str">
        <v xml:space="preserve"> 208333411030</v>
      </c>
      <c r="D141" t="str">
        <v>Poliza Suramericana Póliza #  083004098664</v>
      </c>
      <c r="E141">
        <f>668368</f>
        <v>668368</v>
      </c>
      <c r="F141">
        <v>46093</v>
      </c>
      <c r="G141" t="str">
        <v>Cancelado</v>
      </c>
      <c r="H141">
        <f>IF(OR(G141="Sin pagar",G141="Pagar"),NETWORKDAYS($J$99,F141,'Festivos Colombia'!$A$3:$A$22),0)</f>
        <v>0</v>
      </c>
      <c r="I141">
        <f>NETWORKDAYS($J$99,F141,'Festivos Colombia'!$A$3:$A$22)</f>
        <v>9</v>
      </c>
      <c r="J141">
        <f>H141</f>
        <v>0</v>
      </c>
    </row>
    <row r="142">
      <c r="A142" t="str">
        <f>G142</f>
        <v>Cancelado</v>
      </c>
      <c r="B142">
        <f>IF(I142&lt;=-1,1,IF(I142&lt;=5,2,IF(I142&lt;=15,3,IF(H142&lt;=60,4))))</f>
        <v>3</v>
      </c>
      <c r="C142" t="str">
        <v>20833429964</v>
      </c>
      <c r="D142" t="str">
        <v>Poliza Suramericana Póliza #  083004098664</v>
      </c>
      <c r="E142">
        <v>58149</v>
      </c>
      <c r="F142">
        <v>46093</v>
      </c>
      <c r="G142" t="str">
        <v>Cancelado</v>
      </c>
      <c r="H142">
        <f>IF(OR(G142="Sin pagar",G142="Pagar"),NETWORKDAYS($J$99,F142,'Festivos Colombia'!$A$3:$A$22),0)</f>
        <v>0</v>
      </c>
      <c r="I142">
        <f>NETWORKDAYS($J$99,F142,'Festivos Colombia'!$A$3:$A$22)</f>
        <v>9</v>
      </c>
      <c r="J142">
        <f>H142</f>
        <v>0</v>
      </c>
    </row>
    <row r="143">
      <c r="A143" t="str">
        <f>G143</f>
        <v>Cancelado</v>
      </c>
      <c r="B143">
        <f>IF(I143&lt;=-1,1,IF(I143&lt;=5,2,IF(I143&lt;=15,3,IF(H143&lt;=60,4))))</f>
        <v>4</v>
      </c>
      <c r="C143">
        <v>20911218363</v>
      </c>
      <c r="D143" t="str">
        <v>Poliza Suramericana Póliza #  091000808492</v>
      </c>
      <c r="E143">
        <f>9895792</f>
        <v>9895792</v>
      </c>
      <c r="F143">
        <v>46111</v>
      </c>
      <c r="G143" t="str">
        <v>Cancelado</v>
      </c>
      <c r="H143">
        <f>IF(OR(G143="Sin pagar",G143="Pagar"),NETWORKDAYS($J$99,F143,'Festivos Colombia'!$A$3:$A$22),0)</f>
        <v>0</v>
      </c>
      <c r="I143">
        <f>NETWORKDAYS($J$99,F143,'Festivos Colombia'!$A$3:$A$22)</f>
        <v>20</v>
      </c>
      <c r="J143">
        <f>H143</f>
        <v>0</v>
      </c>
    </row>
    <row r="144">
      <c r="D144" t="str">
        <v>SERVICIOS DE MENSAJERÍA</v>
      </c>
      <c r="E144">
        <f>SUBTOTAL(9,E145:E151)</f>
        <v>758000</v>
      </c>
    </row>
    <row r="145">
      <c r="A145" t="str">
        <f>G145</f>
        <v>Cancelado</v>
      </c>
      <c r="B145">
        <f>IF(I145&lt;=-1,1,IF(I145&lt;=5,2,IF(I145&lt;=15,3,IF(H145&lt;=60,4))))</f>
        <v>2</v>
      </c>
      <c r="C145">
        <v>21</v>
      </c>
      <c r="D145" t="str">
        <v>Mundo express</v>
      </c>
      <c r="E145">
        <f>78000</f>
        <v>78000</v>
      </c>
      <c r="F145">
        <v>46087</v>
      </c>
      <c r="G145" t="str">
        <v>Cancelado</v>
      </c>
      <c r="H145">
        <f>IF(OR(G145="Sin pagar",G145="Pagar"),NETWORKDAYS($J$99,F145,'Festivos Colombia'!$A$3:$A$22),0)</f>
        <v>0</v>
      </c>
      <c r="I145">
        <f>NETWORKDAYS($J$99,F145,'Festivos Colombia'!$A$3:$A$22)</f>
        <v>5</v>
      </c>
      <c r="J145">
        <f>H145</f>
        <v>0</v>
      </c>
    </row>
    <row r="146">
      <c r="A146" t="str">
        <f>G146</f>
        <v>Cancelado</v>
      </c>
      <c r="B146">
        <f>IF(I146&lt;=-1,1,IF(I146&lt;=5,2,IF(I146&lt;=15,3,IF(H146&lt;=60,4))))</f>
        <v>2</v>
      </c>
      <c r="C146">
        <v>61</v>
      </c>
      <c r="D146" t="str">
        <v>Yecid Martin</v>
      </c>
      <c r="E146">
        <v>39000</v>
      </c>
      <c r="F146">
        <v>46087</v>
      </c>
      <c r="G146" t="str">
        <v>Cancelado</v>
      </c>
      <c r="H146">
        <f>IF(OR(G146="Sin pagar",G146="Pagar"),NETWORKDAYS($J$99,F146,'Festivos Colombia'!$A$3:$A$22),0)</f>
        <v>0</v>
      </c>
      <c r="I146">
        <f>NETWORKDAYS($J$99,F146,'Festivos Colombia'!$A$3:$A$22)</f>
        <v>5</v>
      </c>
      <c r="J146">
        <f>H146</f>
        <v>0</v>
      </c>
    </row>
    <row r="147">
      <c r="A147" t="str">
        <f>G147</f>
        <v>Cancelado</v>
      </c>
      <c r="B147">
        <f>IF(I147&lt;=-1,1,IF(I147&lt;=5,2,IF(I147&lt;=15,3,IF(H147&lt;=60,4))))</f>
        <v>3</v>
      </c>
      <c r="C147">
        <v>62</v>
      </c>
      <c r="D147" t="str">
        <v>Yecid Martin</v>
      </c>
      <c r="E147">
        <v>91000</v>
      </c>
      <c r="F147">
        <v>46094</v>
      </c>
      <c r="G147" t="str">
        <v>Cancelado</v>
      </c>
      <c r="H147">
        <f>IF(OR(G147="Sin pagar",G147="Pagar"),NETWORKDAYS($J$99,F147,'Festivos Colombia'!$A$3:$A$22),0)</f>
        <v>0</v>
      </c>
      <c r="I147">
        <f>NETWORKDAYS($J$99,F147,'Festivos Colombia'!$A$3:$A$22)</f>
        <v>10</v>
      </c>
      <c r="J147">
        <f>H147</f>
        <v>0</v>
      </c>
    </row>
    <row r="148">
      <c r="A148" t="str">
        <f>G148</f>
        <v>Cancelado</v>
      </c>
      <c r="B148">
        <f>IF(I148&lt;=-1,1,IF(I148&lt;=5,2,IF(I148&lt;=15,3,IF(H148&lt;=60,4))))</f>
        <v>3</v>
      </c>
      <c r="C148">
        <v>22</v>
      </c>
      <c r="D148" t="str">
        <v>Mundo express</v>
      </c>
      <c r="E148">
        <v>81000</v>
      </c>
      <c r="F148">
        <v>46101</v>
      </c>
      <c r="G148" t="str">
        <v>Cancelado</v>
      </c>
      <c r="H148">
        <f>IF(OR(G148="Sin pagar",G148="Pagar"),NETWORKDAYS($J$99,F148,'Festivos Colombia'!$A$3:$A$22),0)</f>
        <v>0</v>
      </c>
      <c r="I148">
        <f>NETWORKDAYS($J$99,F148,'Festivos Colombia'!$A$3:$A$22)</f>
        <v>15</v>
      </c>
      <c r="J148">
        <f>H148</f>
        <v>0</v>
      </c>
    </row>
    <row r="149">
      <c r="A149" t="str">
        <f>G149</f>
        <v>Cancelado</v>
      </c>
      <c r="B149">
        <f>IF(I149&lt;=-1,1,IF(I149&lt;=5,2,IF(I149&lt;=15,3,IF(H149&lt;=60,4))))</f>
        <v>3</v>
      </c>
      <c r="C149">
        <v>63</v>
      </c>
      <c r="D149" t="str">
        <v>Yecid Martin</v>
      </c>
      <c r="E149">
        <v>69000</v>
      </c>
      <c r="F149">
        <v>46101</v>
      </c>
      <c r="G149" t="str">
        <v>Cancelado</v>
      </c>
      <c r="H149">
        <f>IF(OR(G149="Sin pagar",G149="Pagar"),NETWORKDAYS($J$99,F149,'Festivos Colombia'!$A$3:$A$22),0)</f>
        <v>0</v>
      </c>
      <c r="I149">
        <f>NETWORKDAYS($J$99,F149,'Festivos Colombia'!$A$3:$A$22)</f>
        <v>15</v>
      </c>
      <c r="J149">
        <f>H149</f>
        <v>0</v>
      </c>
    </row>
    <row r="150">
      <c r="A150" t="str">
        <f>G150</f>
        <v>Cancelado</v>
      </c>
      <c r="B150">
        <f>IF(I150&lt;=-1,1,IF(I150&lt;=5,2,IF(I150&lt;=15,3,IF(H150&lt;=60,4))))</f>
        <v>4</v>
      </c>
      <c r="C150">
        <v>64</v>
      </c>
      <c r="D150" t="str">
        <v>Yecid Martin</v>
      </c>
      <c r="E150">
        <v>301000</v>
      </c>
      <c r="F150">
        <v>46108</v>
      </c>
      <c r="G150" t="str">
        <v>Cancelado</v>
      </c>
      <c r="H150">
        <f>IF(OR(G150="Sin pagar",G150="Pagar"),NETWORKDAYS($J$99,F150,'Festivos Colombia'!$A$3:$A$22),0)</f>
        <v>0</v>
      </c>
      <c r="I150">
        <f>NETWORKDAYS($J$99,F150,'Festivos Colombia'!$A$3:$A$22)</f>
        <v>19</v>
      </c>
      <c r="J150">
        <f>H150</f>
        <v>0</v>
      </c>
    </row>
    <row r="151">
      <c r="A151" t="str">
        <f>G151</f>
        <v>Cancelado</v>
      </c>
      <c r="B151">
        <f>IF(I151&lt;=-1,1,IF(I151&lt;=5,2,IF(I151&lt;=15,3,IF(H151&lt;=60,4))))</f>
        <v>4</v>
      </c>
      <c r="C151">
        <v>65</v>
      </c>
      <c r="D151" t="str">
        <v>Yecid Martin</v>
      </c>
      <c r="E151">
        <v>99000</v>
      </c>
      <c r="F151">
        <v>46112</v>
      </c>
      <c r="G151" t="str">
        <v>Cancelado</v>
      </c>
      <c r="H151">
        <f>IF(OR(G151="Sin pagar",G151="Pagar"),NETWORKDAYS($J$99,F151,'Festivos Colombia'!$A$3:$A$22),0)</f>
        <v>0</v>
      </c>
      <c r="I151">
        <f>NETWORKDAYS($J$99,F151,'Festivos Colombia'!$A$3:$A$22)</f>
        <v>21</v>
      </c>
      <c r="J151">
        <f>H151</f>
        <v>0</v>
      </c>
    </row>
    <row r="152">
      <c r="D152" t="str">
        <v>REEMBOLSO SAIPEM</v>
      </c>
      <c r="E152">
        <f>SUBTOTAL(9,E153:E153)</f>
        <v>0</v>
      </c>
    </row>
    <row r="153">
      <c r="E153">
        <v>0</v>
      </c>
      <c r="F153">
        <v>46112</v>
      </c>
      <c r="G153" t="str">
        <v>Cancelado</v>
      </c>
      <c r="H153">
        <f>IF(OR(G153="Sin pagar",G153="Pagar"),NETWORKDAYS($J$99,F153,'Festivos Colombia'!$A$3:$A$22),0)</f>
        <v>0</v>
      </c>
      <c r="I153">
        <f>NETWORKDAYS($J$99,F153,'Festivos Colombia'!$A$3:$A$22)</f>
        <v>21</v>
      </c>
      <c r="J153">
        <f>H153</f>
        <v>0</v>
      </c>
    </row>
    <row r="154">
      <c r="D154" t="str">
        <v>EXAMENES MÉDICOS SAIPEM y OTROS</v>
      </c>
      <c r="E154">
        <f>SUBTOTAL(9,E155:E155)</f>
        <v>0</v>
      </c>
    </row>
    <row r="155">
      <c r="D155" t="str">
        <v>Examenes Previsto - SAIPEM</v>
      </c>
      <c r="E155">
        <v>0</v>
      </c>
      <c r="F155">
        <v>46112</v>
      </c>
      <c r="G155" t="str">
        <v>Cancelado</v>
      </c>
      <c r="H155">
        <f>IF(OR(G155="Sin pagar",G155="Pagar"),NETWORKDAYS($J$99,F155,'Festivos Colombia'!$A$3:$A$22),0)</f>
        <v>0</v>
      </c>
      <c r="I155">
        <f>NETWORKDAYS($J$99,F155,'Festivos Colombia'!$A$3:$A$22)</f>
        <v>21</v>
      </c>
      <c r="J155">
        <f>H155</f>
        <v>0</v>
      </c>
    </row>
    <row r="156">
      <c r="D156" t="str">
        <v>TIQUETES AÉREOS , HOTELES SAIPEM-AECID - ROOT CAPITAL</v>
      </c>
      <c r="E156">
        <f>SUBTOTAL(9,E157:E158)</f>
        <v>2096104</v>
      </c>
    </row>
    <row r="157">
      <c r="D157" t="str">
        <v>Tiquete Cristhian Guapacha Root capital -Bogota pitalito y vsa</v>
      </c>
      <c r="E157">
        <v>864650</v>
      </c>
      <c r="F157">
        <v>46090</v>
      </c>
      <c r="G157" t="str">
        <v>Cancelado</v>
      </c>
      <c r="H157">
        <f>IF(OR(G157="Sin pagar",G157="Pagar"),NETWORKDAYS($J$99,F157,'Festivos Colombia'!$A$3:$A$22),0)</f>
        <v>0</v>
      </c>
      <c r="I157">
        <f>NETWORKDAYS($J$99,F157,'Festivos Colombia'!$A$3:$A$22)</f>
        <v>6</v>
      </c>
      <c r="J157">
        <f>H157</f>
        <v>0</v>
      </c>
    </row>
    <row r="158">
      <c r="D158" t="str">
        <v>Tiquetes Capachero Hotel y tiquete Bogota Monteria y VSA Saipem</v>
      </c>
      <c r="E158">
        <v>1231454</v>
      </c>
      <c r="F158">
        <v>46093</v>
      </c>
      <c r="G158" t="str">
        <v>Cancelado</v>
      </c>
      <c r="H158">
        <f>IF(OR(G158="Sin pagar",G158="Pagar"),NETWORKDAYS($J$99,F158,'Festivos Colombia'!$A$3:$A$22),0)</f>
        <v>0</v>
      </c>
      <c r="I158">
        <f>NETWORKDAYS($J$99,F158,'Festivos Colombia'!$A$3:$A$22)</f>
        <v>9</v>
      </c>
      <c r="J158">
        <f>H158</f>
        <v>0</v>
      </c>
    </row>
    <row r="159">
      <c r="D159" t="str">
        <v>REEMBOLSOS REMOFIRST-YON YOU-AECID</v>
      </c>
      <c r="E159">
        <f>SUBTOTAL(9,E160:E179)</f>
        <v>29002421.68</v>
      </c>
    </row>
    <row r="160">
      <c r="A160" t="str">
        <f>G160</f>
        <v>Cancelado</v>
      </c>
      <c r="B160">
        <f>IF(I160&lt;=-1,1,IF(I160&lt;=5,2,IF(I160&lt;=15,3,IF(H160&lt;=60,4))))</f>
        <v>2</v>
      </c>
      <c r="D160" t="str">
        <v>Reembolso Sandra de los Rios comisón 24-25  febrero Guajira  - AECID</v>
      </c>
      <c r="E160">
        <v>1060011</v>
      </c>
      <c r="F160">
        <v>46087</v>
      </c>
      <c r="G160" t="str">
        <v>Cancelado</v>
      </c>
      <c r="H160">
        <f>IF(OR(G160="Sin pagar",G160="Pagar"),NETWORKDAYS($J$99,F160,'Festivos Colombia'!$A$3:$A$22),0)</f>
        <v>0</v>
      </c>
      <c r="I160">
        <f>NETWORKDAYS($J$99,F160,'Festivos Colombia'!$A$3:$A$22)</f>
        <v>5</v>
      </c>
      <c r="J160">
        <f>H160</f>
        <v>0</v>
      </c>
    </row>
    <row r="161">
      <c r="A161" t="str">
        <f>G161</f>
        <v>Cancelado</v>
      </c>
      <c r="B161">
        <f>IF(I161&lt;=-1,1,IF(I161&lt;=5,2,IF(I161&lt;=15,3,IF(H161&lt;=60,4))))</f>
        <v>2</v>
      </c>
      <c r="C161" t="str">
        <v>FPP457805</v>
      </c>
      <c r="D161" t="str">
        <v>Reembolso people pass Sandra Rios comisón 24-25  feb Guajira  - AECID ( Hospedaje)</v>
      </c>
      <c r="E161">
        <v>147989</v>
      </c>
      <c r="F161">
        <v>46087</v>
      </c>
      <c r="G161" t="str">
        <v>Cancelado</v>
      </c>
      <c r="H161">
        <f>IF(OR(G161="Sin pagar",G161="Pagar"),NETWORKDAYS($J$99,F161,'Festivos Colombia'!$A$3:$A$22),0)</f>
        <v>0</v>
      </c>
      <c r="I161">
        <f>NETWORKDAYS($J$99,F161,'Festivos Colombia'!$A$3:$A$22)</f>
        <v>5</v>
      </c>
      <c r="J161">
        <f>H161</f>
        <v>0</v>
      </c>
    </row>
    <row r="162">
      <c r="A162" t="str">
        <f>G162</f>
        <v>Cancelado</v>
      </c>
      <c r="B162">
        <f>IF(I162&lt;=-1,1,IF(I162&lt;=5,2,IF(I162&lt;=15,3,IF(H162&lt;=60,4))))</f>
        <v>3</v>
      </c>
      <c r="C162" t="str">
        <v>FPP457805</v>
      </c>
      <c r="D162" t="str">
        <v xml:space="preserve">Reembolso Mercedes Alvarez comisón 10 al 13  feb Pasto Nariño - AECID </v>
      </c>
      <c r="E162">
        <v>1482252.41</v>
      </c>
      <c r="F162">
        <v>46094</v>
      </c>
      <c r="G162" t="str">
        <v>Cancelado</v>
      </c>
      <c r="H162">
        <f>IF(OR(G162="Sin pagar",G162="Pagar"),NETWORKDAYS($J$99,F162,'Festivos Colombia'!$A$3:$A$22),0)</f>
        <v>0</v>
      </c>
      <c r="I162">
        <f>NETWORKDAYS($J$99,F162,'Festivos Colombia'!$A$3:$A$22)</f>
        <v>10</v>
      </c>
      <c r="J162">
        <f>H162</f>
        <v>0</v>
      </c>
    </row>
    <row r="163">
      <c r="A163" t="str">
        <f>G163</f>
        <v>Cancelado</v>
      </c>
      <c r="B163">
        <f>IF(I163&lt;=-1,1,IF(I163&lt;=5,2,IF(I163&lt;=15,3,IF(H163&lt;=60,4))))</f>
        <v>4</v>
      </c>
      <c r="D163" t="str">
        <v>Reembolso Paula Alejandra Moreno Navarro   - Yon Yuo</v>
      </c>
      <c r="E163">
        <v>2005655</v>
      </c>
      <c r="F163">
        <v>46108</v>
      </c>
      <c r="G163" t="str">
        <v>Cancelado</v>
      </c>
      <c r="H163">
        <f>IF(OR(G163="Sin pagar",G163="Pagar"),NETWORKDAYS($J$99,F163,'Festivos Colombia'!$A$3:$A$22),0)</f>
        <v>0</v>
      </c>
      <c r="I163">
        <f>NETWORKDAYS($J$99,F163,'Festivos Colombia'!$A$3:$A$22)</f>
        <v>19</v>
      </c>
      <c r="J163">
        <f>H163</f>
        <v>0</v>
      </c>
    </row>
    <row r="164">
      <c r="A164" t="str">
        <f>G164</f>
        <v>Cancelado</v>
      </c>
      <c r="B164">
        <f>IF(I164&lt;=-1,1,IF(I164&lt;=5,2,IF(I164&lt;=15,3,IF(H164&lt;=60,4))))</f>
        <v>4</v>
      </c>
      <c r="D164" t="str">
        <v>Reembolso Sonia Rocio Quintanilla Quintero Moreno Navarro   - Yon Yuo</v>
      </c>
      <c r="E164">
        <v>2750991.27</v>
      </c>
      <c r="F164">
        <v>46108</v>
      </c>
      <c r="G164" t="str">
        <v>Cancelado</v>
      </c>
      <c r="H164">
        <f>IF(OR(G164="Sin pagar",G164="Pagar"),NETWORKDAYS($J$99,F164,'Festivos Colombia'!$A$3:$A$22),0)</f>
        <v>0</v>
      </c>
      <c r="I164">
        <f>NETWORKDAYS($J$99,F164,'Festivos Colombia'!$A$3:$A$22)</f>
        <v>19</v>
      </c>
      <c r="J164">
        <f>H164</f>
        <v>0</v>
      </c>
    </row>
    <row r="165">
      <c r="A165" t="str">
        <f>G165</f>
        <v>Cancelado</v>
      </c>
      <c r="B165">
        <f>IF(I165&lt;=-1,1,IF(I165&lt;=5,2,IF(I165&lt;=15,3,IF(H165&lt;=60,4))))</f>
        <v>4</v>
      </c>
      <c r="D165" t="str">
        <v>Reembolso Eduardo Andres Santos Contreras - Yon Yuo</v>
      </c>
      <c r="E165">
        <v>306000</v>
      </c>
      <c r="F165">
        <v>46108</v>
      </c>
      <c r="G165" t="str">
        <v>Cancelado</v>
      </c>
      <c r="H165">
        <f>IF(OR(G165="Sin pagar",G165="Pagar"),NETWORKDAYS($J$99,F165,'Festivos Colombia'!$A$3:$A$22),0)</f>
        <v>0</v>
      </c>
      <c r="I165">
        <f>NETWORKDAYS($J$99,F165,'Festivos Colombia'!$A$3:$A$22)</f>
        <v>19</v>
      </c>
      <c r="J165">
        <f>H165</f>
        <v>0</v>
      </c>
    </row>
    <row r="166">
      <c r="A166" t="str">
        <f>G166</f>
        <v>Cancelado</v>
      </c>
      <c r="B166">
        <f>IF(I166&lt;=-1,1,IF(I166&lt;=5,2,IF(I166&lt;=15,3,IF(H166&lt;=60,4))))</f>
        <v>4</v>
      </c>
      <c r="D166" t="str">
        <v>Reembolso  agudelo durango yessela - 660 - Remofirst - Insigthful</v>
      </c>
      <c r="E166">
        <v>408753</v>
      </c>
      <c r="F166">
        <v>46108</v>
      </c>
      <c r="G166" t="str">
        <v>Cancelado</v>
      </c>
      <c r="H166">
        <f>IF(OR(G166="Sin pagar",G166="Pagar"),NETWORKDAYS($J$99,F166,'Festivos Colombia'!$A$3:$A$22),0)</f>
        <v>0</v>
      </c>
      <c r="I166">
        <f>NETWORKDAYS($J$99,F166,'Festivos Colombia'!$A$3:$A$22)</f>
        <v>19</v>
      </c>
      <c r="J166">
        <f>H166</f>
        <v>0</v>
      </c>
    </row>
    <row r="167">
      <c r="A167" t="str">
        <f>G167</f>
        <v>Cancelado</v>
      </c>
      <c r="B167">
        <f>IF(I167&lt;=-1,1,IF(I167&lt;=5,2,IF(I167&lt;=15,3,IF(H167&lt;=60,4))))</f>
        <v>4</v>
      </c>
      <c r="D167" t="str">
        <v>Reembolso  agudelo magalhaes monica maria - 3787 - Remofirst - Remote Medicine, Inc</v>
      </c>
      <c r="E167">
        <v>49900</v>
      </c>
      <c r="F167">
        <v>46108</v>
      </c>
      <c r="G167" t="str">
        <v>Cancelado</v>
      </c>
      <c r="H167">
        <f>IF(OR(G167="Sin pagar",G167="Pagar"),NETWORKDAYS($J$99,F167,'Festivos Colombia'!$A$3:$A$22),0)</f>
        <v>0</v>
      </c>
      <c r="I167">
        <f>NETWORKDAYS($J$99,F167,'Festivos Colombia'!$A$3:$A$22)</f>
        <v>19</v>
      </c>
      <c r="J167">
        <f>H167</f>
        <v>0</v>
      </c>
    </row>
    <row r="168">
      <c r="A168" t="str">
        <f>G168</f>
        <v>Cancelado</v>
      </c>
      <c r="B168">
        <f>IF(I168&lt;=-1,1,IF(I168&lt;=5,2,IF(I168&lt;=15,3,IF(H168&lt;=60,4))))</f>
        <v>4</v>
      </c>
      <c r="D168" t="str">
        <v>Reembolso  ashook castro luz angela - 629 - Remofirst - Brit Ai Web Solutions Llc</v>
      </c>
      <c r="E168">
        <v>90000</v>
      </c>
      <c r="F168">
        <v>46108</v>
      </c>
      <c r="G168" t="str">
        <v>Cancelado</v>
      </c>
      <c r="H168">
        <f>IF(OR(G168="Sin pagar",G168="Pagar"),NETWORKDAYS($J$99,F168,'Festivos Colombia'!$A$3:$A$22),0)</f>
        <v>0</v>
      </c>
      <c r="I168">
        <f>NETWORKDAYS($J$99,F168,'Festivos Colombia'!$A$3:$A$22)</f>
        <v>19</v>
      </c>
      <c r="J168">
        <f>H168</f>
        <v>0</v>
      </c>
    </row>
    <row r="169">
      <c r="A169" t="str">
        <f>G169</f>
        <v>Cancelado</v>
      </c>
      <c r="B169">
        <f>IF(I169&lt;=-1,1,IF(I169&lt;=5,2,IF(I169&lt;=15,3,IF(H169&lt;=60,4))))</f>
        <v>4</v>
      </c>
      <c r="D169" t="str">
        <v>Reembolso  barreto ruiz jonathan javier - 5888 - Remofirst - Islamic Relief</v>
      </c>
      <c r="E169">
        <v>1236327</v>
      </c>
      <c r="F169">
        <v>46108</v>
      </c>
      <c r="G169" t="str">
        <v>Cancelado</v>
      </c>
      <c r="H169">
        <f>IF(OR(G169="Sin pagar",G169="Pagar"),NETWORKDAYS($J$99,F169,'Festivos Colombia'!$A$3:$A$22),0)</f>
        <v>0</v>
      </c>
      <c r="I169">
        <f>NETWORKDAYS($J$99,F169,'Festivos Colombia'!$A$3:$A$22)</f>
        <v>19</v>
      </c>
      <c r="J169">
        <f>H169</f>
        <v>0</v>
      </c>
    </row>
    <row r="170">
      <c r="A170" t="str">
        <f>G170</f>
        <v>Cancelado</v>
      </c>
      <c r="B170">
        <f>IF(I170&lt;=-1,1,IF(I170&lt;=5,2,IF(I170&lt;=15,3,IF(H170&lt;=60,4))))</f>
        <v>4</v>
      </c>
      <c r="D170" t="str">
        <v>Reembolso  bonil romero sara - 5888 - Remofirst - Islamic Relief</v>
      </c>
      <c r="E170">
        <v>58300</v>
      </c>
      <c r="F170">
        <v>46108</v>
      </c>
      <c r="G170" t="str">
        <v>Cancelado</v>
      </c>
      <c r="H170">
        <f>IF(OR(G170="Sin pagar",G170="Pagar"),NETWORKDAYS($J$99,F170,'Festivos Colombia'!$A$3:$A$22),0)</f>
        <v>0</v>
      </c>
      <c r="I170">
        <f>NETWORKDAYS($J$99,F170,'Festivos Colombia'!$A$3:$A$22)</f>
        <v>19</v>
      </c>
      <c r="J170">
        <f>H170</f>
        <v>0</v>
      </c>
    </row>
    <row r="171">
      <c r="A171" t="str">
        <f>G171</f>
        <v>Cancelado</v>
      </c>
      <c r="B171">
        <f>IF(I171&lt;=-1,1,IF(I171&lt;=5,2,IF(I171&lt;=15,3,IF(H171&lt;=60,4))))</f>
        <v>4</v>
      </c>
      <c r="D171" t="str">
        <v>Reembolso  coyer  nicolas hugues - 3436 - Remofirst - Coop Edgar</v>
      </c>
      <c r="E171">
        <v>328579</v>
      </c>
      <c r="F171">
        <v>46108</v>
      </c>
      <c r="G171" t="str">
        <v>Cancelado</v>
      </c>
      <c r="H171">
        <f>IF(OR(G171="Sin pagar",G171="Pagar"),NETWORKDAYS($J$99,F171,'Festivos Colombia'!$A$3:$A$22),0)</f>
        <v>0</v>
      </c>
      <c r="I171">
        <f>NETWORKDAYS($J$99,F171,'Festivos Colombia'!$A$3:$A$22)</f>
        <v>19</v>
      </c>
      <c r="J171">
        <f>H171</f>
        <v>0</v>
      </c>
    </row>
    <row r="172">
      <c r="A172" t="str">
        <f>G172</f>
        <v>Cancelado</v>
      </c>
      <c r="B172">
        <f>IF(I172&lt;=-1,1,IF(I172&lt;=5,2,IF(I172&lt;=15,3,IF(H172&lt;=60,4))))</f>
        <v>4</v>
      </c>
      <c r="D172" t="str">
        <v>Reembolso  franco mejía lisset cristina - 225 - Remofirst - Prometryx, Inc</v>
      </c>
      <c r="E172">
        <v>57217</v>
      </c>
      <c r="F172">
        <v>46108</v>
      </c>
      <c r="G172" t="str">
        <v>Cancelado</v>
      </c>
      <c r="H172">
        <f>IF(OR(G172="Sin pagar",G172="Pagar"),NETWORKDAYS($J$99,F172,'Festivos Colombia'!$A$3:$A$22),0)</f>
        <v>0</v>
      </c>
      <c r="I172">
        <f>NETWORKDAYS($J$99,F172,'Festivos Colombia'!$A$3:$A$22)</f>
        <v>19</v>
      </c>
      <c r="J172">
        <f>H172</f>
        <v>0</v>
      </c>
    </row>
    <row r="173">
      <c r="A173" t="str">
        <f>G173</f>
        <v>Cancelado</v>
      </c>
      <c r="B173">
        <f>IF(I173&lt;=-1,1,IF(I173&lt;=5,2,IF(I173&lt;=15,3,IF(H173&lt;=60,4))))</f>
        <v>4</v>
      </c>
      <c r="D173" t="str">
        <v>Reembolso  klerlein  mary eleanor - 606 - Remofirst - Spitfire Strategies Llc</v>
      </c>
      <c r="E173">
        <v>16061003</v>
      </c>
      <c r="F173">
        <v>46108</v>
      </c>
      <c r="G173" t="str">
        <v>Cancelado</v>
      </c>
      <c r="H173">
        <f>IF(OR(G173="Sin pagar",G173="Pagar"),NETWORKDAYS($J$99,F173,'Festivos Colombia'!$A$3:$A$22),0)</f>
        <v>0</v>
      </c>
      <c r="I173">
        <f>NETWORKDAYS($J$99,F173,'Festivos Colombia'!$A$3:$A$22)</f>
        <v>19</v>
      </c>
      <c r="J173">
        <f>H173</f>
        <v>0</v>
      </c>
    </row>
    <row r="174">
      <c r="A174" t="str">
        <f>G174</f>
        <v>Cancelado</v>
      </c>
      <c r="B174">
        <f>IF(I174&lt;=-1,1,IF(I174&lt;=5,2,IF(I174&lt;=15,3,IF(H174&lt;=60,4))))</f>
        <v>4</v>
      </c>
      <c r="D174" t="str">
        <v>Reembolso  pabon aranguren maria alejandra - 5888 - Remofirst - Islamic Relief</v>
      </c>
      <c r="E174">
        <v>505900</v>
      </c>
      <c r="F174">
        <v>46108</v>
      </c>
      <c r="G174" t="str">
        <v>Cancelado</v>
      </c>
      <c r="H174">
        <f>IF(OR(G174="Sin pagar",G174="Pagar"),NETWORKDAYS($J$99,F174,'Festivos Colombia'!$A$3:$A$22),0)</f>
        <v>0</v>
      </c>
      <c r="I174">
        <f>NETWORKDAYS($J$99,F174,'Festivos Colombia'!$A$3:$A$22)</f>
        <v>19</v>
      </c>
      <c r="J174">
        <f>H174</f>
        <v>0</v>
      </c>
    </row>
    <row r="175">
      <c r="A175" t="str">
        <f>G175</f>
        <v>Cancelado</v>
      </c>
      <c r="B175">
        <f>IF(I175&lt;=-1,1,IF(I175&lt;=5,2,IF(I175&lt;=15,3,IF(H175&lt;=60,4))))</f>
        <v>4</v>
      </c>
      <c r="D175" t="str">
        <v>Reembolso  rojas navarrete emma soraya - 5888 - Remofirst - Islamic Relief</v>
      </c>
      <c r="E175">
        <v>67548</v>
      </c>
      <c r="F175">
        <v>46108</v>
      </c>
      <c r="G175" t="str">
        <v>Cancelado</v>
      </c>
      <c r="H175">
        <f>IF(OR(G175="Sin pagar",G175="Pagar"),NETWORKDAYS($J$99,F175,'Festivos Colombia'!$A$3:$A$22),0)</f>
        <v>0</v>
      </c>
      <c r="I175">
        <f>NETWORKDAYS($J$99,F175,'Festivos Colombia'!$A$3:$A$22)</f>
        <v>19</v>
      </c>
      <c r="J175">
        <f>H175</f>
        <v>0</v>
      </c>
    </row>
    <row r="176">
      <c r="A176" t="str">
        <f>G176</f>
        <v>Cancelado</v>
      </c>
      <c r="B176">
        <f>IF(I176&lt;=-1,1,IF(I176&lt;=5,2,IF(I176&lt;=15,3,IF(H176&lt;=60,4))))</f>
        <v>4</v>
      </c>
      <c r="D176" t="str">
        <v>Reembolso  saldaña martinez liliana maria - 5888 - Remofirst - Islamic Relief</v>
      </c>
      <c r="E176">
        <v>66516</v>
      </c>
      <c r="F176">
        <v>46108</v>
      </c>
      <c r="G176" t="str">
        <v>Cancelado</v>
      </c>
      <c r="H176">
        <f>IF(OR(G176="Sin pagar",G176="Pagar"),NETWORKDAYS($J$99,F176,'Festivos Colombia'!$A$3:$A$22),0)</f>
        <v>0</v>
      </c>
      <c r="I176">
        <f>NETWORKDAYS($J$99,F176,'Festivos Colombia'!$A$3:$A$22)</f>
        <v>19</v>
      </c>
      <c r="J176">
        <f>H176</f>
        <v>0</v>
      </c>
    </row>
    <row r="177">
      <c r="A177" t="str">
        <f>G177</f>
        <v>Cancelado</v>
      </c>
      <c r="B177">
        <f>IF(I177&lt;=-1,1,IF(I177&lt;=5,2,IF(I177&lt;=15,3,IF(H177&lt;=60,4))))</f>
        <v>4</v>
      </c>
      <c r="D177" t="str">
        <v>Reembolso  varela velasquez guillermo de jesus - 225 - Remofirst - Prometryx, Inc</v>
      </c>
      <c r="E177">
        <v>2319480</v>
      </c>
      <c r="F177">
        <v>46108</v>
      </c>
      <c r="G177" t="str">
        <v>Cancelado</v>
      </c>
      <c r="H177">
        <f>IF(OR(G177="Sin pagar",G177="Pagar"),NETWORKDAYS($J$99,F177,'Festivos Colombia'!$A$3:$A$22),0)</f>
        <v>0</v>
      </c>
      <c r="I177">
        <f>NETWORKDAYS($J$99,F177,'Festivos Colombia'!$A$3:$A$22)</f>
        <v>19</v>
      </c>
      <c r="J177">
        <f>H177</f>
        <v>0</v>
      </c>
    </row>
    <row r="178">
      <c r="A178" t="str">
        <f>G178</f>
        <v>Sin Pagar</v>
      </c>
      <c r="B178">
        <f>IF(I178&lt;=-1,1,IF(I178&lt;=5,2,IF(I178&lt;=15,3,IF(H178&lt;=60,4))))</f>
        <v>4</v>
      </c>
      <c r="D178" t="str">
        <v>Reembolso Mercedes Alvarez Comisión 19 al 21 de febrero 2026-Toribio Cauca - AECID</v>
      </c>
      <c r="E178">
        <f>430000*0</f>
        <v>0</v>
      </c>
      <c r="F178">
        <v>46122</v>
      </c>
      <c r="G178" t="str">
        <v>Sin Pagar</v>
      </c>
      <c r="H178">
        <f>IF(OR(G178="Sin pagar",G178="Pagar"),NETWORKDAYS($J$99,F178,'Festivos Colombia'!$A$3:$A$22),0)</f>
        <v>27</v>
      </c>
      <c r="I178">
        <f>NETWORKDAYS($J$99,F178,'Festivos Colombia'!$A$3:$A$22)</f>
        <v>27</v>
      </c>
      <c r="J178">
        <f>H178</f>
        <v>27</v>
      </c>
    </row>
    <row r="179">
      <c r="A179" t="str">
        <f>G179</f>
        <v>Sin Pagar</v>
      </c>
      <c r="B179">
        <f>IF(I179&lt;=-1,1,IF(I179&lt;=5,2,IF(I179&lt;=15,3,IF(H179&lt;=60,4))))</f>
        <v>4</v>
      </c>
      <c r="D179" t="str">
        <v>Reembolso Mercedes Alvarez Comisión 16 al 19 de marzo 2026 - AECID</v>
      </c>
      <c r="E179">
        <f>2690000*0</f>
        <v>0</v>
      </c>
      <c r="F179">
        <v>46122</v>
      </c>
      <c r="G179" t="str">
        <v>Sin Pagar</v>
      </c>
      <c r="H179">
        <f>IF(OR(G179="Sin pagar",G179="Pagar"),NETWORKDAYS($J$99,F179,'Festivos Colombia'!$A$3:$A$22),0)</f>
        <v>27</v>
      </c>
      <c r="I179">
        <f>NETWORKDAYS($J$99,F179,'Festivos Colombia'!$A$3:$A$22)</f>
        <v>27</v>
      </c>
      <c r="J179">
        <f>H179</f>
        <v>27</v>
      </c>
    </row>
    <row r="180">
      <c r="D180" t="str">
        <v>REEMBOLSOS INSIDER</v>
      </c>
      <c r="E180">
        <f>SUBTOTAL(9,E181:E186)</f>
        <v>8287043.970000001</v>
      </c>
    </row>
    <row r="181">
      <c r="A181" t="str">
        <f>G181</f>
        <v>Cancelado</v>
      </c>
      <c r="B181">
        <f>IF(I181&lt;=-1,1,IF(I181&lt;=5,2,IF(I181&lt;=15,3,IF(H181&lt;=60,4))))</f>
        <v>3</v>
      </c>
      <c r="D181" t="str">
        <v>Reembolso  Alejandra  Carrillo Cambas C1029 - Insider</v>
      </c>
      <c r="E181">
        <v>4246351</v>
      </c>
      <c r="F181">
        <v>46098</v>
      </c>
      <c r="G181" t="str">
        <v>Cancelado</v>
      </c>
      <c r="H181">
        <f>IF(OR(G181="Sin pagar",G181="Pagar"),NETWORKDAYS($J$99,F181,'Festivos Colombia'!$A$3:$A$22),0)</f>
        <v>0</v>
      </c>
      <c r="I181">
        <f>NETWORKDAYS($J$99,F181,'Festivos Colombia'!$A$3:$A$22)</f>
        <v>12</v>
      </c>
      <c r="J181">
        <f>H181</f>
        <v>0</v>
      </c>
    </row>
    <row r="182">
      <c r="A182" t="str">
        <f>G182</f>
        <v>Cancelado</v>
      </c>
      <c r="B182">
        <f>IF(I182&lt;=-1,1,IF(I182&lt;=5,2,IF(I182&lt;=15,3,IF(H182&lt;=60,4))))</f>
        <v>3</v>
      </c>
      <c r="D182" t="str">
        <v>Reembolso  Carlos Andres Salamanca Buitrago C1029 - Insider</v>
      </c>
      <c r="E182">
        <v>1024000</v>
      </c>
      <c r="F182">
        <v>46098</v>
      </c>
      <c r="G182" t="str">
        <v>Cancelado</v>
      </c>
      <c r="H182">
        <f>IF(OR(G182="Sin pagar",G182="Pagar"),NETWORKDAYS($J$99,F182,'Festivos Colombia'!$A$3:$A$22),0)</f>
        <v>0</v>
      </c>
      <c r="I182">
        <f>NETWORKDAYS($J$99,F182,'Festivos Colombia'!$A$3:$A$22)</f>
        <v>12</v>
      </c>
      <c r="J182">
        <f>H182</f>
        <v>0</v>
      </c>
    </row>
    <row r="183">
      <c r="A183" t="str">
        <f>G183</f>
        <v>Cancelado</v>
      </c>
      <c r="B183">
        <f>IF(I183&lt;=-1,1,IF(I183&lt;=5,2,IF(I183&lt;=15,3,IF(H183&lt;=60,4))))</f>
        <v>3</v>
      </c>
      <c r="D183" t="str">
        <v>Reembolso  Edgar Felipe Chaves Rodriguez C1029 - Insider</v>
      </c>
      <c r="E183">
        <v>843033</v>
      </c>
      <c r="F183">
        <v>46098</v>
      </c>
      <c r="G183" t="str">
        <v>Cancelado</v>
      </c>
      <c r="H183">
        <f>IF(OR(G183="Sin pagar",G183="Pagar"),NETWORKDAYS($J$99,F183,'Festivos Colombia'!$A$3:$A$22),0)</f>
        <v>0</v>
      </c>
      <c r="I183">
        <f>NETWORKDAYS($J$99,F183,'Festivos Colombia'!$A$3:$A$22)</f>
        <v>12</v>
      </c>
      <c r="J183">
        <f>H183</f>
        <v>0</v>
      </c>
    </row>
    <row r="184">
      <c r="A184" t="str">
        <f>G184</f>
        <v>Cancelado</v>
      </c>
      <c r="B184">
        <f>IF(I184&lt;=-1,1,IF(I184&lt;=5,2,IF(I184&lt;=15,3,IF(H184&lt;=60,4))))</f>
        <v>3</v>
      </c>
      <c r="D184" t="str">
        <v>Reembolso  Jenifer Paola Galindo Villegas C1029 - Insider</v>
      </c>
      <c r="E184">
        <v>685250.24</v>
      </c>
      <c r="F184">
        <v>46098</v>
      </c>
      <c r="G184" t="str">
        <v>Cancelado</v>
      </c>
      <c r="H184">
        <f>IF(OR(G184="Sin pagar",G184="Pagar"),NETWORKDAYS($J$99,F184,'Festivos Colombia'!$A$3:$A$22),0)</f>
        <v>0</v>
      </c>
      <c r="I184">
        <f>NETWORKDAYS($J$99,F184,'Festivos Colombia'!$A$3:$A$22)</f>
        <v>12</v>
      </c>
      <c r="J184">
        <f>H184</f>
        <v>0</v>
      </c>
    </row>
    <row r="185">
      <c r="A185" t="str">
        <f>G185</f>
        <v>Cancelado</v>
      </c>
      <c r="B185">
        <f>IF(I185&lt;=-1,1,IF(I185&lt;=5,2,IF(I185&lt;=15,3,IF(H185&lt;=60,4))))</f>
        <v>3</v>
      </c>
      <c r="D185" t="str">
        <v>Reembolso  Pablo Roberto Pinzon Cabrera C1029 - Insider</v>
      </c>
      <c r="E185">
        <v>797956.79</v>
      </c>
      <c r="F185">
        <v>46098</v>
      </c>
      <c r="G185" t="str">
        <v>Cancelado</v>
      </c>
      <c r="H185">
        <f>IF(OR(G185="Sin pagar",G185="Pagar"),NETWORKDAYS($J$99,F185,'Festivos Colombia'!$A$3:$A$22),0)</f>
        <v>0</v>
      </c>
      <c r="I185">
        <f>NETWORKDAYS($J$99,F185,'Festivos Colombia'!$A$3:$A$22)</f>
        <v>12</v>
      </c>
      <c r="J185">
        <f>H185</f>
        <v>0</v>
      </c>
    </row>
    <row r="186">
      <c r="A186" t="str">
        <f>G186</f>
        <v>Cancelado</v>
      </c>
      <c r="B186">
        <f>IF(I186&lt;=-1,1,IF(I186&lt;=5,2,IF(I186&lt;=15,3,IF(H186&lt;=60,4))))</f>
        <v>3</v>
      </c>
      <c r="D186" t="str">
        <v>Reembolso  Silvia  Pardo Sanchez C1029 - Insider</v>
      </c>
      <c r="E186">
        <v>690452.94</v>
      </c>
      <c r="F186">
        <v>46098</v>
      </c>
      <c r="G186" t="str">
        <v>Cancelado</v>
      </c>
      <c r="H186">
        <f>IF(OR(G186="Sin pagar",G186="Pagar"),NETWORKDAYS($J$99,F186,'Festivos Colombia'!$A$3:$A$22),0)</f>
        <v>0</v>
      </c>
      <c r="I186">
        <f>NETWORKDAYS($J$99,F186,'Festivos Colombia'!$A$3:$A$22)</f>
        <v>12</v>
      </c>
      <c r="J186">
        <f>H186</f>
        <v>0</v>
      </c>
    </row>
    <row r="187">
      <c r="D187" t="str">
        <v>ASESORÍAS</v>
      </c>
      <c r="E187">
        <f>SUBTOTAL(9,E188:E218)</f>
        <v>48938386.57222</v>
      </c>
    </row>
    <row r="188">
      <c r="A188" t="str">
        <f>G188</f>
        <v>Cancelado</v>
      </c>
      <c r="B188">
        <f>IF(I188&lt;=-1,1,IF(I188&lt;=5,2,IF(I188&lt;=15,3,IF(H188&lt;=60,4))))</f>
        <v>2</v>
      </c>
      <c r="C188" t="str">
        <v>EMPR62186</v>
      </c>
      <c r="D188" t="str">
        <v>Compensar bienestar a la carta diciembre 2025</v>
      </c>
      <c r="E188">
        <f>1219000</f>
        <v>1219000</v>
      </c>
      <c r="F188">
        <v>46087</v>
      </c>
      <c r="G188" t="str">
        <v>Cancelado</v>
      </c>
      <c r="H188">
        <f>IF(OR(G188="Sin pagar",G188="Pagar"),NETWORKDAYS($J$99,F188,'Festivos Colombia'!$A$3:$A$22),0)</f>
        <v>0</v>
      </c>
      <c r="I188">
        <f>NETWORKDAYS($J$99,F188,'Festivos Colombia'!$A$3:$A$22)</f>
        <v>5</v>
      </c>
      <c r="J188">
        <f>H188</f>
        <v>0</v>
      </c>
    </row>
    <row r="189">
      <c r="A189" t="str">
        <f>G189</f>
        <v>Cancelado</v>
      </c>
      <c r="B189">
        <f>IF(I189&lt;=-1,1,IF(I189&lt;=5,2,IF(I189&lt;=15,3,IF(H189&lt;=60,4))))</f>
        <v>2</v>
      </c>
      <c r="C189" t="str">
        <v>BPA 6759</v>
      </c>
      <c r="D189" t="str">
        <v>Barrera Palacios</v>
      </c>
      <c r="E189">
        <f>1723309.31</f>
        <v>1723309.31</v>
      </c>
      <c r="F189">
        <v>46087</v>
      </c>
      <c r="G189" t="str">
        <v>Cancelado</v>
      </c>
      <c r="H189">
        <f>IF(OR(G189="Sin pagar",G189="Pagar"),NETWORKDAYS($J$99,F189,'Festivos Colombia'!$A$3:$A$22),0)</f>
        <v>0</v>
      </c>
      <c r="I189">
        <f>NETWORKDAYS($J$99,F189,'Festivos Colombia'!$A$3:$A$22)</f>
        <v>5</v>
      </c>
      <c r="J189">
        <f>H189</f>
        <v>0</v>
      </c>
    </row>
    <row r="190">
      <c r="A190" t="str">
        <f>G190</f>
        <v>Cancelado</v>
      </c>
      <c r="B190">
        <f>IF(I190&lt;=-1,1,IF(I190&lt;=5,2,IF(I190&lt;=15,3,IF(H190&lt;=60,4))))</f>
        <v>2</v>
      </c>
      <c r="C190" t="str">
        <v>FEV-1-96</v>
      </c>
      <c r="D190" t="str">
        <v>Yoana Forero Servicios profesionales -Costa Rica</v>
      </c>
      <c r="E190">
        <f>774025.2</f>
        <v>774025.2</v>
      </c>
      <c r="F190">
        <v>46087</v>
      </c>
      <c r="G190" t="str">
        <v>Cancelado</v>
      </c>
      <c r="H190">
        <f>IF(OR(G190="Sin pagar",G190="Pagar"),NETWORKDAYS($J$99,F190,'Festivos Colombia'!$A$3:$A$22),0)</f>
        <v>0</v>
      </c>
      <c r="I190">
        <f>NETWORKDAYS($J$99,F190,'Festivos Colombia'!$A$3:$A$22)</f>
        <v>5</v>
      </c>
      <c r="J190">
        <f>H190</f>
        <v>0</v>
      </c>
    </row>
    <row r="191">
      <c r="A191" t="str">
        <f>G191</f>
        <v>Cancelado</v>
      </c>
      <c r="B191">
        <f>IF(I191&lt;=-1,1,IF(I191&lt;=5,2,IF(I191&lt;=15,3,IF(H191&lt;=60,4))))</f>
        <v>2</v>
      </c>
      <c r="C191" t="str">
        <v>FENI-11655</v>
      </c>
      <c r="D191" t="str">
        <v>Nixcom Servicio técnico mensual</v>
      </c>
      <c r="E191">
        <v>1307380.42422</v>
      </c>
      <c r="F191">
        <v>46087</v>
      </c>
      <c r="G191" t="str">
        <v>Cancelado</v>
      </c>
      <c r="H191">
        <f>IF(OR(G191="Sin pagar",G191="Pagar"),NETWORKDAYS($J$99,F191,'Festivos Colombia'!$A$3:$A$22),0)</f>
        <v>0</v>
      </c>
      <c r="I191">
        <f>NETWORKDAYS($J$99,F191,'Festivos Colombia'!$A$3:$A$22)</f>
        <v>5</v>
      </c>
      <c r="J191">
        <f>H191</f>
        <v>0</v>
      </c>
    </row>
    <row r="192">
      <c r="A192" t="str">
        <f>G192</f>
        <v>Cancelado</v>
      </c>
      <c r="B192">
        <f>IF(I192&lt;=-1,1,IF(I192&lt;=5,2,IF(I192&lt;=15,3,IF(H192&lt;=60,4))))</f>
        <v>2</v>
      </c>
      <c r="C192" t="str">
        <v>FENI-11656</v>
      </c>
      <c r="D192" t="str">
        <v>Nixcom Servicio técnico mensual-Sporte gestion de inventarios mes febrero 2026</v>
      </c>
      <c r="E192">
        <v>798238</v>
      </c>
      <c r="F192">
        <v>46087</v>
      </c>
      <c r="G192" t="str">
        <v>Cancelado</v>
      </c>
      <c r="H192">
        <f>IF(OR(G192="Sin pagar",G192="Pagar"),NETWORKDAYS($J$99,F192,'Festivos Colombia'!$A$3:$A$22),0)</f>
        <v>0</v>
      </c>
      <c r="I192">
        <f>NETWORKDAYS($J$99,F192,'Festivos Colombia'!$A$3:$A$22)</f>
        <v>5</v>
      </c>
      <c r="J192">
        <f>H192</f>
        <v>0</v>
      </c>
    </row>
    <row r="193">
      <c r="A193" t="str">
        <f>G193</f>
        <v>Cancelado</v>
      </c>
      <c r="B193">
        <f>IF(I193&lt;=-1,1,IF(I193&lt;=5,2,IF(I193&lt;=15,3,IF(H193&lt;=60,4))))</f>
        <v>3</v>
      </c>
      <c r="C193" t="str">
        <v>EMPR63655</v>
      </c>
      <c r="D193" t="str">
        <v>Compensar bienestar a la carta Enero 2026</v>
      </c>
      <c r="E193">
        <v>98700</v>
      </c>
      <c r="F193">
        <v>46094</v>
      </c>
      <c r="G193" t="str">
        <v>Cancelado</v>
      </c>
      <c r="H193">
        <f>IF(OR(G193="Sin pagar",G193="Pagar"),NETWORKDAYS($J$99,F193,'Festivos Colombia'!$A$3:$A$22),0)</f>
        <v>0</v>
      </c>
      <c r="I193">
        <f>NETWORKDAYS($J$99,F193,'Festivos Colombia'!$A$3:$A$22)</f>
        <v>10</v>
      </c>
      <c r="J193">
        <f>H193</f>
        <v>0</v>
      </c>
    </row>
    <row r="194">
      <c r="A194" t="str">
        <f>G194</f>
        <v>Cancelado</v>
      </c>
      <c r="B194">
        <f>IF(I194&lt;=-1,1,IF(I194&lt;=5,2,IF(I194&lt;=15,3,IF(H194&lt;=60,4))))</f>
        <v>3</v>
      </c>
      <c r="C194" t="str">
        <v>EACB199</v>
      </c>
      <c r="D194" t="str">
        <v>CBP Consultoria - Servicio de mercadeo oautal digital enero 2026</v>
      </c>
      <c r="E194">
        <v>1607010</v>
      </c>
      <c r="F194">
        <v>46094</v>
      </c>
      <c r="G194" t="str">
        <v>Cancelado</v>
      </c>
      <c r="H194">
        <f>IF(OR(G194="Sin pagar",G194="Pagar"),NETWORKDAYS($J$99,F194,'Festivos Colombia'!$A$3:$A$22),0)</f>
        <v>0</v>
      </c>
      <c r="I194">
        <f>NETWORKDAYS($J$99,F194,'Festivos Colombia'!$A$3:$A$22)</f>
        <v>10</v>
      </c>
      <c r="J194">
        <f>H194</f>
        <v>0</v>
      </c>
    </row>
    <row r="195">
      <c r="A195" t="str">
        <f>G195</f>
        <v>Cancelado</v>
      </c>
      <c r="B195">
        <f>IF(I195&lt;=-1,1,IF(I195&lt;=5,2,IF(I195&lt;=15,3,IF(H195&lt;=60,4))))</f>
        <v>3</v>
      </c>
      <c r="C195" t="str">
        <v>EACB108</v>
      </c>
      <c r="D195" t="str">
        <v>CBP Consultoria - Servicio de mercadeo oautal digital febrero 2026</v>
      </c>
      <c r="E195">
        <v>1607010</v>
      </c>
      <c r="F195">
        <v>46094</v>
      </c>
      <c r="G195" t="str">
        <v>Cancelado</v>
      </c>
      <c r="H195">
        <f>IF(OR(G195="Sin pagar",G195="Pagar"),NETWORKDAYS($J$99,F195,'Festivos Colombia'!$A$3:$A$22),0)</f>
        <v>0</v>
      </c>
      <c r="I195">
        <f>NETWORKDAYS($J$99,F195,'Festivos Colombia'!$A$3:$A$22)</f>
        <v>10</v>
      </c>
      <c r="J195">
        <f>H195</f>
        <v>0</v>
      </c>
    </row>
    <row r="196">
      <c r="A196" t="str">
        <f>G196</f>
        <v>Cancelado</v>
      </c>
      <c r="B196">
        <f>IF(I196&lt;=-1,1,IF(I196&lt;=5,2,IF(I196&lt;=15,3,IF(H196&lt;=60,4))))</f>
        <v>3</v>
      </c>
      <c r="C196" t="str">
        <v>FEV 3379</v>
      </c>
      <c r="D196" t="str">
        <v>THT Talent Systems -Venta de pruebas online plan 220 Detal informes</v>
      </c>
      <c r="E196">
        <v>1449600.208</v>
      </c>
      <c r="F196">
        <v>46094</v>
      </c>
      <c r="G196" t="str">
        <v>Cancelado</v>
      </c>
      <c r="H196">
        <f>IF(OR(G196="Sin pagar",G196="Pagar"),NETWORKDAYS($J$99,F196,'Festivos Colombia'!$A$3:$A$22),0)</f>
        <v>0</v>
      </c>
      <c r="I196">
        <f>NETWORKDAYS($J$99,F196,'Festivos Colombia'!$A$3:$A$22)</f>
        <v>10</v>
      </c>
      <c r="J196">
        <f>H196</f>
        <v>0</v>
      </c>
    </row>
    <row r="197">
      <c r="A197" t="str">
        <f>G197</f>
        <v>Cancelado</v>
      </c>
      <c r="B197">
        <f>IF(I197&lt;=-1,1,IF(I197&lt;=5,2,IF(I197&lt;=15,3,IF(H197&lt;=60,4))))</f>
        <v>3</v>
      </c>
      <c r="C197" t="str">
        <v>FE -77</v>
      </c>
      <c r="D197" t="str">
        <v>Ibrand Marketing SAS-Servicios agencia II</v>
      </c>
      <c r="E197">
        <v>4413700</v>
      </c>
      <c r="F197">
        <v>46094</v>
      </c>
      <c r="G197" t="str">
        <v>Cancelado</v>
      </c>
      <c r="H197">
        <f>IF(OR(G197="Sin pagar",G197="Pagar"),NETWORKDAYS($J$99,F197,'Festivos Colombia'!$A$3:$A$22),0)</f>
        <v>0</v>
      </c>
      <c r="I197">
        <f>NETWORKDAYS($J$99,F197,'Festivos Colombia'!$A$3:$A$22)</f>
        <v>10</v>
      </c>
      <c r="J197">
        <f>H197</f>
        <v>0</v>
      </c>
    </row>
    <row r="198">
      <c r="A198" t="str">
        <f>G198</f>
        <v>Cancelado</v>
      </c>
      <c r="B198">
        <f>IF(I198&lt;=-1,1,IF(I198&lt;=5,2,IF(I198&lt;=15,3,IF(H198&lt;=60,4))))</f>
        <v>3</v>
      </c>
      <c r="C198">
        <v>27</v>
      </c>
      <c r="D198" t="str">
        <v xml:space="preserve">Edward Felipe Forero Osorio </v>
      </c>
      <c r="E198">
        <v>1489471.36</v>
      </c>
      <c r="F198">
        <v>46101</v>
      </c>
      <c r="G198" t="str">
        <v>Cancelado</v>
      </c>
      <c r="H198">
        <f>IF(OR(G198="Sin pagar",G198="Pagar"),NETWORKDAYS($J$99,F198,'Festivos Colombia'!$A$3:$A$22),0)</f>
        <v>0</v>
      </c>
      <c r="I198">
        <f>NETWORKDAYS($J$99,F198,'Festivos Colombia'!$A$3:$A$22)</f>
        <v>15</v>
      </c>
      <c r="J198">
        <f>H198</f>
        <v>0</v>
      </c>
    </row>
    <row r="199">
      <c r="A199" t="str">
        <f>G199</f>
        <v>Cancelado</v>
      </c>
      <c r="B199">
        <f>IF(I199&lt;=-1,1,IF(I199&lt;=5,2,IF(I199&lt;=15,3,IF(H199&lt;=60,4))))</f>
        <v>3</v>
      </c>
      <c r="C199">
        <v>18</v>
      </c>
      <c r="D199" t="str">
        <v xml:space="preserve">Sara Forero Osorio </v>
      </c>
      <c r="E199">
        <v>1489471.36</v>
      </c>
      <c r="F199">
        <v>46101</v>
      </c>
      <c r="G199" t="str">
        <v>Cancelado</v>
      </c>
      <c r="H199">
        <f>IF(OR(G199="Sin pagar",G199="Pagar"),NETWORKDAYS($J$99,F199,'Festivos Colombia'!$A$3:$A$22),0)</f>
        <v>0</v>
      </c>
      <c r="I199">
        <f>NETWORKDAYS($J$99,F199,'Festivos Colombia'!$A$3:$A$22)</f>
        <v>15</v>
      </c>
      <c r="J199">
        <f>H199</f>
        <v>0</v>
      </c>
    </row>
    <row r="200">
      <c r="A200" t="str">
        <f>G200</f>
        <v>Cancelado</v>
      </c>
      <c r="B200">
        <f>IF(I200&lt;=-1,1,IF(I200&lt;=5,2,IF(I200&lt;=15,3,IF(H200&lt;=60,4))))</f>
        <v>3</v>
      </c>
      <c r="C200" t="str">
        <v>CLOA105248909</v>
      </c>
      <c r="D200" t="str">
        <v>Carvajal</v>
      </c>
      <c r="E200">
        <f>77395</f>
        <v>77395</v>
      </c>
      <c r="F200">
        <v>46101</v>
      </c>
      <c r="G200" t="str">
        <v>Cancelado</v>
      </c>
      <c r="H200">
        <f>IF(OR(G200="Sin pagar",G200="Pagar"),NETWORKDAYS($J$99,F200,'Festivos Colombia'!$A$3:$A$22),0)</f>
        <v>0</v>
      </c>
      <c r="I200">
        <f>NETWORKDAYS($J$99,F200,'Festivos Colombia'!$A$3:$A$22)</f>
        <v>15</v>
      </c>
      <c r="J200">
        <f>H200</f>
        <v>0</v>
      </c>
    </row>
    <row r="201">
      <c r="A201" t="str">
        <f>G201</f>
        <v>Cancelado</v>
      </c>
      <c r="B201">
        <f>IF(I201&lt;=-1,1,IF(I201&lt;=5,2,IF(I201&lt;=15,3,IF(H201&lt;=60,4))))</f>
        <v>3</v>
      </c>
      <c r="C201">
        <v>260301</v>
      </c>
      <c r="D201" t="str">
        <v xml:space="preserve">Analia Lorena Di Nicola </v>
      </c>
      <c r="E201">
        <v>475363.2</v>
      </c>
      <c r="F201">
        <v>46101</v>
      </c>
      <c r="G201" t="str">
        <v>Cancelado</v>
      </c>
      <c r="H201">
        <f>IF(OR(G201="Sin pagar",G201="Pagar"),NETWORKDAYS($J$99,F201,'Festivos Colombia'!$A$3:$A$22),0)</f>
        <v>0</v>
      </c>
      <c r="I201">
        <f>NETWORKDAYS($J$99,F201,'Festivos Colombia'!$A$3:$A$22)</f>
        <v>15</v>
      </c>
      <c r="J201">
        <f>H201</f>
        <v>0</v>
      </c>
    </row>
    <row r="202">
      <c r="A202" t="str">
        <f>G202</f>
        <v>Cancelado</v>
      </c>
      <c r="B202">
        <f>IF(I202&lt;=-1,1,IF(I202&lt;=5,2,IF(I202&lt;=15,3,IF(H202&lt;=60,4))))</f>
        <v>3</v>
      </c>
      <c r="C202">
        <v>10</v>
      </c>
      <c r="D202" t="str">
        <v>Sebastían Romero Espitia</v>
      </c>
      <c r="E202">
        <v>340000</v>
      </c>
      <c r="F202">
        <v>46101</v>
      </c>
      <c r="G202" t="str">
        <v>Cancelado</v>
      </c>
      <c r="H202">
        <f>IF(OR(G202="Sin pagar",G202="Pagar"),NETWORKDAYS($J$99,F202,'Festivos Colombia'!$A$3:$A$22),0)</f>
        <v>0</v>
      </c>
      <c r="I202">
        <f>NETWORKDAYS($J$99,F202,'Festivos Colombia'!$A$3:$A$22)</f>
        <v>15</v>
      </c>
      <c r="J202">
        <f>H202</f>
        <v>0</v>
      </c>
    </row>
    <row r="203">
      <c r="A203" t="str">
        <f>G203</f>
        <v>Cancelado</v>
      </c>
      <c r="B203">
        <f>IF(I203&lt;=-1,1,IF(I203&lt;=5,2,IF(I203&lt;=15,3,IF(H203&lt;=60,4))))</f>
        <v>3</v>
      </c>
      <c r="C203" t="str">
        <v>02-26</v>
      </c>
      <c r="D203" t="str">
        <v>Yadira Pineda- servicios Diciembre  y mensajeria service Panamá -Pago por Panamá</v>
      </c>
      <c r="E203">
        <f>600*0</f>
        <v>0</v>
      </c>
      <c r="F203">
        <v>46101</v>
      </c>
      <c r="G203" t="str">
        <v>Cancelado</v>
      </c>
      <c r="H203">
        <f>IF(OR(G203="Sin pagar",G203="Pagar"),NETWORKDAYS($J$99,F203,'Festivos Colombia'!$A$3:$A$22),0)</f>
        <v>0</v>
      </c>
      <c r="I203">
        <f>NETWORKDAYS($J$99,F203,'Festivos Colombia'!$A$3:$A$22)</f>
        <v>15</v>
      </c>
      <c r="J203">
        <f>H203</f>
        <v>0</v>
      </c>
      <c r="K203">
        <v>0</v>
      </c>
    </row>
    <row r="204">
      <c r="A204" t="str">
        <f>G204</f>
        <v>Cancelado</v>
      </c>
      <c r="B204">
        <f>IF(I204&lt;=-1,1,IF(I204&lt;=5,2,IF(I204&lt;=15,3,IF(H204&lt;=60,4))))</f>
        <v>4</v>
      </c>
      <c r="C204">
        <v>9</v>
      </c>
      <c r="D204" t="str">
        <v>José Joaquín Salcedo Duran ( Consultoria en seguridad información)</v>
      </c>
      <c r="E204">
        <f>3100000</f>
        <v>3100000</v>
      </c>
      <c r="F204">
        <v>46108</v>
      </c>
      <c r="G204" t="str">
        <v>Cancelado</v>
      </c>
      <c r="H204">
        <f>IF(OR(G204="Sin pagar",G204="Pagar"),NETWORKDAYS($J$99,F204,'Festivos Colombia'!$A$3:$A$22),0)</f>
        <v>0</v>
      </c>
      <c r="I204">
        <f>NETWORKDAYS($J$99,F204,'Festivos Colombia'!$A$3:$A$22)</f>
        <v>19</v>
      </c>
      <c r="J204">
        <f>H204</f>
        <v>0</v>
      </c>
    </row>
    <row r="205">
      <c r="A205" t="str">
        <f>G205</f>
        <v>Cancelado</v>
      </c>
      <c r="B205">
        <f>IF(I205&lt;=-1,1,IF(I205&lt;=5,2,IF(I205&lt;=15,3,IF(H205&lt;=60,4))))</f>
        <v>4</v>
      </c>
      <c r="C205" t="str">
        <v>2026-003</v>
      </c>
      <c r="D205" t="str">
        <v xml:space="preserve">Pedro Pablo oviedo Cutiva- Cuenta Ricardo Arambulo </v>
      </c>
      <c r="E205">
        <v>1438893</v>
      </c>
      <c r="F205">
        <v>46108</v>
      </c>
      <c r="G205" t="str">
        <v>Cancelado</v>
      </c>
      <c r="H205">
        <f>IF(OR(G205="Sin pagar",G205="Pagar"),NETWORKDAYS($J$99,F205,'Festivos Colombia'!$A$3:$A$22),0)</f>
        <v>0</v>
      </c>
      <c r="I205">
        <f>NETWORKDAYS($J$99,F205,'Festivos Colombia'!$A$3:$A$22)</f>
        <v>19</v>
      </c>
      <c r="J205">
        <f>H205</f>
        <v>0</v>
      </c>
    </row>
    <row r="206">
      <c r="A206" t="str">
        <f>G206</f>
        <v>Cancelado</v>
      </c>
      <c r="B206">
        <f>IF(I206&lt;=-1,1,IF(I206&lt;=5,2,IF(I206&lt;=15,3,IF(H206&lt;=60,4))))</f>
        <v>4</v>
      </c>
      <c r="C206" t="str">
        <v>2026-001</v>
      </c>
      <c r="D206" t="str">
        <v>Edgar Arambulo Rojas- Cuenta Ricardo Arambulo -Incapcidades</v>
      </c>
      <c r="E206">
        <v>4332737.5</v>
      </c>
      <c r="F206">
        <v>46108</v>
      </c>
      <c r="G206" t="str">
        <v>Cancelado</v>
      </c>
      <c r="H206">
        <f>IF(OR(G206="Sin pagar",G206="Pagar"),NETWORKDAYS($J$99,F206,'Festivos Colombia'!$A$3:$A$22),0)</f>
        <v>0</v>
      </c>
      <c r="I206">
        <f>NETWORKDAYS($J$99,F206,'Festivos Colombia'!$A$3:$A$22)</f>
        <v>19</v>
      </c>
      <c r="J206">
        <f>H206</f>
        <v>0</v>
      </c>
    </row>
    <row r="207">
      <c r="A207" t="str">
        <f>G207</f>
        <v>Cancelado</v>
      </c>
      <c r="B207">
        <f>IF(I207&lt;=-1,1,IF(I207&lt;=5,2,IF(I207&lt;=15,3,IF(H207&lt;=60,4))))</f>
        <v>4</v>
      </c>
      <c r="C207" t="str">
        <v>2026-002</v>
      </c>
      <c r="D207" t="str">
        <v>Edgar Arambulo Rojas- Cuenta Ricardo Arambulo -Incapcidades</v>
      </c>
      <c r="E207">
        <v>4332737.5</v>
      </c>
      <c r="F207">
        <v>46108</v>
      </c>
      <c r="G207" t="str">
        <v>Cancelado</v>
      </c>
      <c r="H207">
        <f>IF(OR(G207="Sin pagar",G207="Pagar"),NETWORKDAYS($J$99,F207,'Festivos Colombia'!$A$3:$A$22),0)</f>
        <v>0</v>
      </c>
      <c r="I207">
        <f>NETWORKDAYS($J$99,F207,'Festivos Colombia'!$A$3:$A$22)</f>
        <v>19</v>
      </c>
      <c r="J207">
        <f>H207</f>
        <v>0</v>
      </c>
    </row>
    <row r="208">
      <c r="A208" t="str">
        <f>G208</f>
        <v>Cancelado</v>
      </c>
      <c r="B208">
        <f>IF(I208&lt;=-1,1,IF(I208&lt;=5,2,IF(I208&lt;=15,3,IF(H208&lt;=60,4))))</f>
        <v>4</v>
      </c>
      <c r="C208" t="str">
        <v>FEV-1-97</v>
      </c>
      <c r="D208" t="str">
        <v>Yoana Forero Servicios profesionales -Costa Rica</v>
      </c>
      <c r="E208">
        <f>774025.2</f>
        <v>774025.2</v>
      </c>
      <c r="F208">
        <v>46111</v>
      </c>
      <c r="G208" t="str">
        <v>Cancelado</v>
      </c>
      <c r="H208">
        <f>IF(OR(G208="Sin pagar",G208="Pagar"),NETWORKDAYS($J$99,F208,'Festivos Colombia'!$A$3:$A$22),0)</f>
        <v>0</v>
      </c>
      <c r="I208">
        <f>NETWORKDAYS($J$99,F208,'Festivos Colombia'!$A$3:$A$22)</f>
        <v>20</v>
      </c>
      <c r="J208">
        <f>H208</f>
        <v>0</v>
      </c>
    </row>
    <row r="209">
      <c r="A209" t="str">
        <f>G209</f>
        <v>Cancelado</v>
      </c>
      <c r="B209">
        <f>IF(I209&lt;=-1,1,IF(I209&lt;=5,2,IF(I209&lt;=15,3,IF(H209&lt;=60,4))))</f>
        <v>4</v>
      </c>
      <c r="C209" t="str">
        <v>FE 40</v>
      </c>
      <c r="D209" t="str">
        <v>Gomez Rodriguez &amp; Associados Revisoria fiscal- Febrero</v>
      </c>
      <c r="E209">
        <v>1877565</v>
      </c>
      <c r="F209">
        <v>46112</v>
      </c>
      <c r="G209" t="str">
        <v>Cancelado</v>
      </c>
      <c r="H209">
        <f>IF(OR(G209="Sin pagar",G209="Pagar"),NETWORKDAYS($J$99,F209,'Festivos Colombia'!$A$3:$A$22),0)</f>
        <v>0</v>
      </c>
      <c r="I209">
        <f>NETWORKDAYS($J$99,F209,'Festivos Colombia'!$A$3:$A$22)</f>
        <v>21</v>
      </c>
      <c r="J209">
        <f>H209</f>
        <v>0</v>
      </c>
    </row>
    <row r="210">
      <c r="A210" t="str">
        <f>G210</f>
        <v>Cancelado</v>
      </c>
      <c r="B210">
        <f>IF(I210&lt;=-1,1,IF(I210&lt;=5,2,IF(I210&lt;=15,3,IF(H210&lt;=60,4))))</f>
        <v>4</v>
      </c>
      <c r="C210" t="str">
        <v>FE 40</v>
      </c>
      <c r="D210" t="str">
        <v>Gomez Rodriguez &amp; Associados Revisoria fiscal- Marzo</v>
      </c>
      <c r="E210">
        <v>1877565</v>
      </c>
      <c r="F210">
        <v>46112</v>
      </c>
      <c r="G210" t="str">
        <v>Cancelado</v>
      </c>
      <c r="H210">
        <f>IF(OR(G210="Sin pagar",G210="Pagar"),NETWORKDAYS($J$99,F210,'Festivos Colombia'!$A$3:$A$22),0)</f>
        <v>0</v>
      </c>
      <c r="I210">
        <f>NETWORKDAYS($J$99,F210,'Festivos Colombia'!$A$3:$A$22)</f>
        <v>21</v>
      </c>
      <c r="J210">
        <f>H210</f>
        <v>0</v>
      </c>
    </row>
    <row r="211">
      <c r="A211" t="str">
        <f>G211</f>
        <v>Cancelado</v>
      </c>
      <c r="B211">
        <f>IF(I211&lt;=-1,1,IF(I211&lt;=5,2,IF(I211&lt;=15,3,IF(H211&lt;=60,4))))</f>
        <v>4</v>
      </c>
      <c r="C211" t="str">
        <v>FE 417</v>
      </c>
      <c r="D211" t="str">
        <v>ACT&amp;J Consultores S&amp;P febrero 2026</v>
      </c>
      <c r="E211">
        <f>4065250</f>
        <v>4065250</v>
      </c>
      <c r="F211">
        <v>46112</v>
      </c>
      <c r="G211" t="str">
        <v>Cancelado</v>
      </c>
      <c r="H211">
        <f>IF(OR(G211="Sin pagar",G211="Pagar"),NETWORKDAYS($J$99,F211,'Festivos Colombia'!$A$3:$A$22),0)</f>
        <v>0</v>
      </c>
      <c r="I211">
        <f>NETWORKDAYS($J$99,F211,'Festivos Colombia'!$A$3:$A$22)</f>
        <v>21</v>
      </c>
      <c r="J211">
        <f>H211</f>
        <v>0</v>
      </c>
    </row>
    <row r="212">
      <c r="A212" t="str">
        <f>G212</f>
        <v>Cancelado</v>
      </c>
      <c r="B212">
        <f>IF(I212&lt;=-1,1,IF(I212&lt;=5,2,IF(I212&lt;=15,3,IF(H212&lt;=60,4))))</f>
        <v>4</v>
      </c>
      <c r="C212" t="str">
        <v>FE 418</v>
      </c>
      <c r="D212" t="str">
        <v>ACT&amp;J Consultores Global CS Colombia febrero 2026</v>
      </c>
      <c r="E212">
        <f>3665694</f>
        <v>3665694</v>
      </c>
      <c r="F212">
        <v>46112</v>
      </c>
      <c r="G212" t="str">
        <v>Cancelado</v>
      </c>
      <c r="H212">
        <f>IF(OR(G212="Sin pagar",G212="Pagar"),NETWORKDAYS($J$99,F212,'Festivos Colombia'!$A$3:$A$22),0)</f>
        <v>0</v>
      </c>
      <c r="I212">
        <f>NETWORKDAYS($J$99,F212,'Festivos Colombia'!$A$3:$A$22)</f>
        <v>21</v>
      </c>
      <c r="J212">
        <f>H212</f>
        <v>0</v>
      </c>
    </row>
    <row r="213">
      <c r="A213" t="str">
        <f>G213</f>
        <v>Cancelado</v>
      </c>
      <c r="B213">
        <f>IF(I213&lt;=-1,1,IF(I213&lt;=5,2,IF(I213&lt;=15,3,IF(H213&lt;=60,4))))</f>
        <v>4</v>
      </c>
      <c r="C213" t="str">
        <v>FENI-11856</v>
      </c>
      <c r="D213" t="str">
        <v>Nixcom Servicio técnico mensual</v>
      </c>
      <c r="E213">
        <v>1246875</v>
      </c>
      <c r="F213">
        <v>46112</v>
      </c>
      <c r="G213" t="str">
        <v>Cancelado</v>
      </c>
      <c r="H213">
        <f>IF(OR(G213="Sin pagar",G213="Pagar"),NETWORKDAYS($J$99,F213,'Festivos Colombia'!$A$3:$A$22),0)</f>
        <v>0</v>
      </c>
      <c r="I213">
        <f>NETWORKDAYS($J$99,F213,'Festivos Colombia'!$A$3:$A$22)</f>
        <v>21</v>
      </c>
      <c r="J213">
        <f>H213</f>
        <v>0</v>
      </c>
    </row>
    <row r="214">
      <c r="A214" t="str">
        <f>G214</f>
        <v>Cancelado</v>
      </c>
      <c r="B214">
        <f>IF(I214&lt;=-1,1,IF(I214&lt;=5,2,IF(I214&lt;=15,3,IF(H214&lt;=60,4))))</f>
        <v>4</v>
      </c>
      <c r="C214" t="str">
        <v>BPA 6893</v>
      </c>
      <c r="D214" t="str">
        <v>Barrera Palacios</v>
      </c>
      <c r="E214">
        <f>1723309.31</f>
        <v>1723309.31</v>
      </c>
      <c r="F214">
        <v>46112</v>
      </c>
      <c r="G214" t="str">
        <v>Cancelado</v>
      </c>
      <c r="H214">
        <f>IF(OR(G214="Sin pagar",G214="Pagar"),NETWORKDAYS($J$99,F214,'Festivos Colombia'!$A$3:$A$22),0)</f>
        <v>0</v>
      </c>
      <c r="I214">
        <f>NETWORKDAYS($J$99,F214,'Festivos Colombia'!$A$3:$A$22)</f>
        <v>21</v>
      </c>
      <c r="J214">
        <f>H214</f>
        <v>0</v>
      </c>
    </row>
    <row r="215">
      <c r="A215" t="str">
        <f>G215</f>
        <v>Cancelado</v>
      </c>
      <c r="B215">
        <f>IF(I215&lt;=-1,1,IF(I215&lt;=5,2,IF(I215&lt;=15,3,IF(H215&lt;=60,4))))</f>
        <v>4</v>
      </c>
      <c r="C215">
        <v>18</v>
      </c>
      <c r="D215" t="str">
        <v>Edgardo Rafael Obredor Borja</v>
      </c>
      <c r="E215">
        <v>1634061</v>
      </c>
      <c r="F215">
        <v>46113</v>
      </c>
      <c r="G215" t="str">
        <v>Cancelado</v>
      </c>
      <c r="H215">
        <f>IF(OR(G215="Sin pagar",G215="Pagar"),NETWORKDAYS($J$99,F215,'Festivos Colombia'!$A$3:$A$22),0)</f>
        <v>0</v>
      </c>
      <c r="I215">
        <f>NETWORKDAYS($J$99,F215,'Festivos Colombia'!$A$3:$A$22)</f>
        <v>22</v>
      </c>
      <c r="J215">
        <f>H215</f>
        <v>0</v>
      </c>
    </row>
    <row r="216">
      <c r="A216" t="str">
        <f>G216</f>
        <v>Sin Pagar</v>
      </c>
      <c r="B216">
        <f>IF(I216&lt;=-1,1,IF(I216&lt;=5,2,IF(I216&lt;=15,3,IF(H216&lt;=60,4))))</f>
        <v>4</v>
      </c>
      <c r="C216">
        <v>12051</v>
      </c>
      <c r="D216" t="str">
        <v>Nixcom Servicio técnico mensual</v>
      </c>
      <c r="E216">
        <f>1301175*0</f>
        <v>0</v>
      </c>
      <c r="F216">
        <v>46142</v>
      </c>
      <c r="G216" t="str">
        <v>Sin Pagar</v>
      </c>
      <c r="H216">
        <f>IF(OR(G216="Sin pagar",G216="Pagar"),NETWORKDAYS($J$99,F216,'Festivos Colombia'!$A$3:$A$22),0)</f>
        <v>41</v>
      </c>
      <c r="I216">
        <f>NETWORKDAYS($J$99,F216,'Festivos Colombia'!$A$3:$A$22)</f>
        <v>41</v>
      </c>
      <c r="J216">
        <f>H216</f>
        <v>41</v>
      </c>
    </row>
    <row r="217">
      <c r="A217" t="str">
        <f>G217</f>
        <v>Sin Pagar</v>
      </c>
      <c r="B217">
        <f>IF(I217&lt;=-1,1,IF(I217&lt;=5,2,IF(I217&lt;=15,3,IF(H217&lt;=60,4))))</f>
        <v>4</v>
      </c>
      <c r="C217" t="str">
        <v>CLOA105256994</v>
      </c>
      <c r="D217" t="str">
        <v>Carvajal</v>
      </c>
      <c r="E217">
        <f>77395*0</f>
        <v>0</v>
      </c>
      <c r="F217">
        <v>46136</v>
      </c>
      <c r="G217" t="str">
        <v>Sin Pagar</v>
      </c>
      <c r="H217">
        <f>IF(OR(G217="Sin pagar",G217="Pagar"),NETWORKDAYS($J$99,F217,'Festivos Colombia'!$A$3:$A$22),0)</f>
        <v>37</v>
      </c>
      <c r="I217">
        <f>NETWORKDAYS($J$99,F217,'Festivos Colombia'!$A$3:$A$22)</f>
        <v>37</v>
      </c>
      <c r="J217">
        <f>H217</f>
        <v>37</v>
      </c>
    </row>
    <row r="218">
      <c r="A218" t="str">
        <f>G218</f>
        <v>Sin Pagar</v>
      </c>
      <c r="B218">
        <f>IF(I218&lt;=-1,1,IF(I218&lt;=5,2,IF(I218&lt;=15,3,IF(H218&lt;=60,4))))</f>
        <v>4</v>
      </c>
      <c r="C218" t="str">
        <v>FE -77</v>
      </c>
      <c r="D218" t="str">
        <v xml:space="preserve">Ibrand Marketing SAS-Servicios agencia mes de abril </v>
      </c>
      <c r="E218">
        <f>3800000*0</f>
        <v>0</v>
      </c>
      <c r="F218">
        <v>46129</v>
      </c>
      <c r="G218" t="str">
        <v>Sin Pagar</v>
      </c>
      <c r="H218">
        <f>IF(OR(G218="Sin pagar",G218="Pagar"),NETWORKDAYS($J$99,F218,'Festivos Colombia'!$A$3:$A$22),0)</f>
        <v>32</v>
      </c>
      <c r="I218">
        <f>NETWORKDAYS($J$99,F218,'Festivos Colombia'!$A$3:$A$22)</f>
        <v>32</v>
      </c>
      <c r="J218">
        <f>H218</f>
        <v>32</v>
      </c>
    </row>
    <row r="219">
      <c r="D219" t="str">
        <v xml:space="preserve">COSTOS FINANCIEROS </v>
      </c>
      <c r="E219">
        <f>SUBTOTAL(9,E220:E220)</f>
        <v>16446896.25</v>
      </c>
    </row>
    <row r="220">
      <c r="A220" t="str">
        <f>G220</f>
        <v>Cancelado</v>
      </c>
      <c r="B220">
        <f>IF(I220&lt;=-1,1,IF(I220&lt;=5,2,IF(I220&lt;=15,3,IF(H220&lt;=60,4))))</f>
        <v>4</v>
      </c>
      <c r="D220" t="str">
        <v>Costos financieros (Cuentas S&amp;P)</v>
      </c>
      <c r="E220">
        <f>13715337.25+2731559</f>
        <v>16446896.25</v>
      </c>
      <c r="F220">
        <v>46112</v>
      </c>
      <c r="G220" t="str">
        <v>Cancelado</v>
      </c>
      <c r="H220">
        <f>IF(OR(G220="Sin pagar",G220="Pagar"),NETWORKDAYS($J$99,F220,'Festivos Colombia'!$A$3:$A$22),0)</f>
        <v>0</v>
      </c>
      <c r="I220">
        <f>NETWORKDAYS($J$99,F220,'Festivos Colombia'!$A$3:$A$22)</f>
        <v>21</v>
      </c>
      <c r="J220">
        <f>H220</f>
        <v>0</v>
      </c>
    </row>
    <row r="221">
      <c r="D221" t="str">
        <v>CRÉDITOS-LIBRANZAS</v>
      </c>
      <c r="E221">
        <f>SUBTOTAL(9,E222:E223)</f>
        <v>5171996</v>
      </c>
    </row>
    <row r="222">
      <c r="A222" t="str">
        <f>G222</f>
        <v>Cancelado</v>
      </c>
      <c r="B222">
        <f>IF(I222&lt;=-1,1,IF(I222&lt;=5,2,IF(I222&lt;=15,3,IF(H222&lt;=60,4))))</f>
        <v>4</v>
      </c>
      <c r="D222" t="str">
        <v>Libranza Compensar</v>
      </c>
      <c r="E222">
        <v>4633173</v>
      </c>
      <c r="F222">
        <v>46108</v>
      </c>
      <c r="G222" t="str">
        <v>Cancelado</v>
      </c>
      <c r="H222">
        <f>IF(OR(G222="Sin pagar",G222="Pagar"),NETWORKDAYS($J$99,F222,'Festivos Colombia'!$A$3:$A$22),0)</f>
        <v>0</v>
      </c>
      <c r="I222">
        <f>NETWORKDAYS($J$99,F222,'Festivos Colombia'!$A$3:$A$22)</f>
        <v>19</v>
      </c>
      <c r="J222">
        <f>H222</f>
        <v>0</v>
      </c>
    </row>
    <row r="223">
      <c r="A223" t="str">
        <f>G223</f>
        <v>Cancelado</v>
      </c>
      <c r="B223">
        <f>IF(I223&lt;=-1,1,IF(I223&lt;=5,2,IF(I223&lt;=15,3,IF(H223&lt;=60,4))))</f>
        <v>4</v>
      </c>
      <c r="D223" t="str">
        <v>Libranza Comfenalco Lisset Franco REMOFIRST</v>
      </c>
      <c r="E223">
        <v>538823</v>
      </c>
      <c r="F223">
        <v>46111</v>
      </c>
      <c r="G223" t="str">
        <v>Cancelado</v>
      </c>
      <c r="H223">
        <f>IF(OR(G223="Sin pagar",G223="Pagar"),NETWORKDAYS($J$99,F223,'Festivos Colombia'!$A$3:$A$22),0)</f>
        <v>0</v>
      </c>
      <c r="I223">
        <f>NETWORKDAYS($J$99,F223,'Festivos Colombia'!$A$3:$A$22)</f>
        <v>20</v>
      </c>
      <c r="J223">
        <f>H223</f>
        <v>0</v>
      </c>
    </row>
    <row r="224">
      <c r="D224" t="str">
        <v>TARJETAS DE CRÉDITO</v>
      </c>
      <c r="E224">
        <f>SUBTOTAL(9,E225:E228)</f>
        <v>17286981.42</v>
      </c>
    </row>
    <row r="225">
      <c r="A225" t="str">
        <f>G225</f>
        <v>Cancelado</v>
      </c>
      <c r="B225">
        <f>IF(I225&lt;=-1,1,IF(I225&lt;=5,2,IF(I225&lt;=15,3,IF(H225&lt;=60,4))))</f>
        <v>3</v>
      </c>
      <c r="D225" t="str">
        <v>TC Bancolombia-Ramon Esteban Cardona Salazar TC 5996</v>
      </c>
      <c r="E225">
        <v>12712349</v>
      </c>
      <c r="F225">
        <v>46097</v>
      </c>
      <c r="G225" t="str">
        <v>Cancelado</v>
      </c>
      <c r="H225">
        <f>IF(OR(G225="Sin pagar",G225="Pagar"),NETWORKDAYS($J$99,F225,'Festivos Colombia'!$A$3:$A$22),0)</f>
        <v>0</v>
      </c>
      <c r="I225">
        <f>NETWORKDAYS($J$99,F225,'Festivos Colombia'!$A$3:$A$22)</f>
        <v>11</v>
      </c>
      <c r="J225">
        <f>H225</f>
        <v>0</v>
      </c>
    </row>
    <row r="226">
      <c r="A226" t="str">
        <f>G226</f>
        <v>Cancelado</v>
      </c>
      <c r="B226">
        <f>IF(I226&lt;=-1,1,IF(I226&lt;=5,2,IF(I226&lt;=15,3,IF(H226&lt;=60,4))))</f>
        <v>4</v>
      </c>
      <c r="D226" t="str">
        <v>TC Bancolombia Dolares TC 4853</v>
      </c>
      <c r="E226">
        <f>(582*3675.81)</f>
        <v>2139321.42</v>
      </c>
      <c r="F226">
        <v>46118</v>
      </c>
      <c r="G226" t="str">
        <v>Cancelado</v>
      </c>
      <c r="H226">
        <f>IF(OR(G226="Sin pagar",G226="Pagar"),NETWORKDAYS($J$128,F226,'Festivos Colombia'!$A$3:$A$22),0)</f>
        <v>0</v>
      </c>
      <c r="I226">
        <f>NETWORKDAYS($J$128,F226,'Festivos Colombia'!$A$3:$A$22)</f>
        <v>32936</v>
      </c>
      <c r="J226">
        <f>H226</f>
        <v>0</v>
      </c>
    </row>
    <row r="227">
      <c r="A227" t="str">
        <f>G227</f>
        <v>Cancelado</v>
      </c>
      <c r="B227">
        <f>IF(I227&lt;=-1,1,IF(I227&lt;=5,2,IF(I227&lt;=15,3,IF(H227&lt;=60,4))))</f>
        <v>4</v>
      </c>
      <c r="D227" t="str">
        <v>TC Bancolombia Pesos TC 4853</v>
      </c>
      <c r="E227">
        <v>2435311</v>
      </c>
      <c r="F227">
        <v>46118</v>
      </c>
      <c r="G227" t="str">
        <v>Cancelado</v>
      </c>
      <c r="H227">
        <f>IF(OR(G227="Sin pagar",G227="Pagar"),NETWORKDAYS($J$128,F227,'Festivos Colombia'!$A$3:$A$22),0)</f>
        <v>0</v>
      </c>
      <c r="I227">
        <f>NETWORKDAYS($J$128,F227,'Festivos Colombia'!$A$3:$A$22)</f>
        <v>32936</v>
      </c>
      <c r="J227">
        <f>H227</f>
        <v>0</v>
      </c>
    </row>
    <row r="228">
      <c r="A228" t="str">
        <f>G228</f>
        <v>Sin Pagar</v>
      </c>
      <c r="B228">
        <f>IF(I228&lt;=-1,1,IF(I228&lt;=5,2,IF(I228&lt;=15,3,IF(H228&lt;=60,4))))</f>
        <v>4</v>
      </c>
      <c r="D228" t="str">
        <v>TC Bancolombia-Ramon Esteban Cardona Salazar TC 5996</v>
      </c>
      <c r="E228">
        <f>21127878*0</f>
        <v>0</v>
      </c>
      <c r="F228">
        <v>46128</v>
      </c>
      <c r="G228" t="str">
        <v>Sin Pagar</v>
      </c>
      <c r="H228">
        <f>IF(OR(G228="Sin pagar",G228="Pagar"),NETWORKDAYS($J$99,F228,'Festivos Colombia'!$A$3:$A$22),0)</f>
        <v>31</v>
      </c>
      <c r="I228">
        <f>NETWORKDAYS($J$99,F228,'Festivos Colombia'!$A$3:$A$22)</f>
        <v>31</v>
      </c>
      <c r="J228">
        <f>H228</f>
        <v>31</v>
      </c>
    </row>
    <row r="229">
      <c r="D229" t="str">
        <v>ESTUDIOS DE SEGURIDAD Y EXAMENES OCUPACIONALES</v>
      </c>
      <c r="E229">
        <f>SUBTOTAL(9,E230:E243)</f>
        <v>3572686.06</v>
      </c>
    </row>
    <row r="230">
      <c r="A230" t="str">
        <f>G230</f>
        <v>Cancelado</v>
      </c>
      <c r="B230">
        <f>IF(I230&lt;=-1,1,IF(I230&lt;=5,2,IF(I230&lt;=15,3,IF(H230&lt;=60,4))))</f>
        <v>2</v>
      </c>
      <c r="C230">
        <v>6910</v>
      </c>
      <c r="D230" t="str">
        <v xml:space="preserve">EMASOC </v>
      </c>
      <c r="E230">
        <v>341000</v>
      </c>
      <c r="F230">
        <v>46087</v>
      </c>
      <c r="G230" t="str">
        <v>Cancelado</v>
      </c>
      <c r="H230">
        <f>IF(OR(G230="Sin pagar",G230="Pagar"),NETWORKDAYS($J$99,F230,'Festivos Colombia'!$A$3:$A$22),0)</f>
        <v>0</v>
      </c>
      <c r="I230">
        <f>NETWORKDAYS($J$99,F230,'Festivos Colombia'!$A$3:$A$22)</f>
        <v>5</v>
      </c>
      <c r="J230">
        <f>H230</f>
        <v>0</v>
      </c>
    </row>
    <row r="231">
      <c r="A231" t="str">
        <f>G231</f>
        <v>Cancelado</v>
      </c>
      <c r="B231">
        <f>IF(I231&lt;=-1,1,IF(I231&lt;=5,2,IF(I231&lt;=15,3,IF(H231&lt;=60,4))))</f>
        <v>2</v>
      </c>
      <c r="C231">
        <v>6914</v>
      </c>
      <c r="D231" t="str">
        <v xml:space="preserve">EMASOC </v>
      </c>
      <c r="E231">
        <f>509500</f>
        <v>509500</v>
      </c>
      <c r="F231">
        <v>46087</v>
      </c>
      <c r="G231" t="str">
        <v>Cancelado</v>
      </c>
      <c r="H231">
        <f>IF(OR(G231="Sin pagar",G231="Pagar"),NETWORKDAYS($J$99,F231,'Festivos Colombia'!$A$3:$A$22),0)</f>
        <v>0</v>
      </c>
      <c r="I231">
        <f>NETWORKDAYS($J$99,F231,'Festivos Colombia'!$A$3:$A$22)</f>
        <v>5</v>
      </c>
      <c r="J231">
        <f>H231</f>
        <v>0</v>
      </c>
    </row>
    <row r="232">
      <c r="A232" t="str">
        <f>G232</f>
        <v>Cancelado</v>
      </c>
      <c r="B232">
        <f>IF(I232&lt;=-1,1,IF(I232&lt;=5,2,IF(I232&lt;=15,3,IF(H232&lt;=60,4))))</f>
        <v>3</v>
      </c>
      <c r="C232">
        <v>6917</v>
      </c>
      <c r="D232" t="str">
        <v xml:space="preserve">EMASOC </v>
      </c>
      <c r="E232">
        <f>205000</f>
        <v>205000</v>
      </c>
      <c r="F232">
        <v>46094</v>
      </c>
      <c r="G232" t="str">
        <v>Cancelado</v>
      </c>
      <c r="H232">
        <f>IF(OR(G232="Sin pagar",G232="Pagar"),NETWORKDAYS($J$99,F232,'Festivos Colombia'!$A$3:$A$22),0)</f>
        <v>0</v>
      </c>
      <c r="I232">
        <f>NETWORKDAYS($J$99,F232,'Festivos Colombia'!$A$3:$A$22)</f>
        <v>10</v>
      </c>
      <c r="J232">
        <f>H232</f>
        <v>0</v>
      </c>
    </row>
    <row r="233">
      <c r="A233" t="str">
        <f>G233</f>
        <v>Cancelado</v>
      </c>
      <c r="B233">
        <f>IF(I233&lt;=-1,1,IF(I233&lt;=5,2,IF(I233&lt;=15,3,IF(H233&lt;=60,4))))</f>
        <v>3</v>
      </c>
      <c r="C233">
        <v>6929</v>
      </c>
      <c r="D233" t="str">
        <v xml:space="preserve">EMASOC </v>
      </c>
      <c r="E233">
        <f>567500</f>
        <v>567500</v>
      </c>
      <c r="F233">
        <v>46094</v>
      </c>
      <c r="G233" t="str">
        <v>Cancelado</v>
      </c>
      <c r="H233">
        <f>IF(OR(G233="Sin pagar",G233="Pagar"),NETWORKDAYS($J$99,F233,'Festivos Colombia'!$A$3:$A$22),0)</f>
        <v>0</v>
      </c>
      <c r="I233">
        <f>NETWORKDAYS($J$99,F233,'Festivos Colombia'!$A$3:$A$22)</f>
        <v>10</v>
      </c>
      <c r="J233">
        <f>H233</f>
        <v>0</v>
      </c>
    </row>
    <row r="234">
      <c r="A234" t="str">
        <f>G234</f>
        <v>Cancelado</v>
      </c>
      <c r="B234">
        <f>IF(I234&lt;=-1,1,IF(I234&lt;=5,2,IF(I234&lt;=15,3,IF(H234&lt;=60,4))))</f>
        <v>3</v>
      </c>
      <c r="C234">
        <v>6932</v>
      </c>
      <c r="D234" t="str">
        <v xml:space="preserve">EMASOC </v>
      </c>
      <c r="E234">
        <f>225000</f>
        <v>225000</v>
      </c>
      <c r="F234">
        <v>46101</v>
      </c>
      <c r="G234" t="str">
        <v>Cancelado</v>
      </c>
      <c r="H234">
        <f>IF(OR(G234="Sin pagar",G234="Pagar"),NETWORKDAYS($J$99,F234,'Festivos Colombia'!$A$3:$A$22),0)</f>
        <v>0</v>
      </c>
      <c r="I234">
        <f>NETWORKDAYS($J$99,F234,'Festivos Colombia'!$A$3:$A$22)</f>
        <v>15</v>
      </c>
      <c r="J234">
        <f>H234</f>
        <v>0</v>
      </c>
    </row>
    <row r="235">
      <c r="A235" t="str">
        <f>G235</f>
        <v>Cancelado</v>
      </c>
      <c r="B235">
        <f>IF(I235&lt;=-1,1,IF(I235&lt;=5,2,IF(I235&lt;=15,3,IF(H235&lt;=60,4))))</f>
        <v>4</v>
      </c>
      <c r="C235">
        <v>6940</v>
      </c>
      <c r="D235" t="str">
        <v xml:space="preserve">EMASOC </v>
      </c>
      <c r="E235">
        <f>807500</f>
        <v>807500</v>
      </c>
      <c r="F235">
        <v>46108</v>
      </c>
      <c r="G235" t="str">
        <v>Cancelado</v>
      </c>
      <c r="H235">
        <f>IF(OR(G235="Sin pagar",G235="Pagar"),NETWORKDAYS($J$99,F235,'Festivos Colombia'!$A$3:$A$22),0)</f>
        <v>0</v>
      </c>
      <c r="I235">
        <f>NETWORKDAYS($J$99,F235,'Festivos Colombia'!$A$3:$A$22)</f>
        <v>19</v>
      </c>
      <c r="J235">
        <f>H235</f>
        <v>0</v>
      </c>
    </row>
    <row r="236">
      <c r="A236" t="str">
        <f>G236</f>
        <v>Cancelado</v>
      </c>
      <c r="B236">
        <f>IF(I236&lt;=-1,1,IF(I236&lt;=5,2,IF(I236&lt;=15,3,IF(H236&lt;=60,4))))</f>
        <v>4</v>
      </c>
      <c r="C236">
        <v>6950</v>
      </c>
      <c r="D236" t="str">
        <v xml:space="preserve">EMASOC </v>
      </c>
      <c r="E236">
        <f>342500</f>
        <v>342500</v>
      </c>
      <c r="F236">
        <v>46108</v>
      </c>
      <c r="G236" t="str">
        <v>Cancelado</v>
      </c>
      <c r="H236">
        <f>IF(OR(G236="Sin pagar",G236="Pagar"),NETWORKDAYS($J$99,F236,'Festivos Colombia'!$A$3:$A$22),0)</f>
        <v>0</v>
      </c>
      <c r="I236">
        <f>NETWORKDAYS($J$99,F236,'Festivos Colombia'!$A$3:$A$22)</f>
        <v>19</v>
      </c>
      <c r="J236">
        <f>H236</f>
        <v>0</v>
      </c>
    </row>
    <row r="237">
      <c r="A237" t="str">
        <f>G237</f>
        <v>Sin Pagar</v>
      </c>
      <c r="B237">
        <f>IF(I237&lt;=-1,1,IF(I237&lt;=5,2,IF(I237&lt;=15,3,IF(H237&lt;=60,4))))</f>
        <v>4</v>
      </c>
      <c r="C237">
        <v>6955</v>
      </c>
      <c r="D237" t="str">
        <v xml:space="preserve">EMASOC </v>
      </c>
      <c r="E237">
        <f>671000*0</f>
        <v>0</v>
      </c>
      <c r="F237">
        <v>46122</v>
      </c>
      <c r="G237" t="str">
        <v>Sin Pagar</v>
      </c>
      <c r="H237">
        <f>IF(OR(G237="Sin pagar",G237="Pagar"),NETWORKDAYS($J$99,F237,'Festivos Colombia'!$A$3:$A$22),0)</f>
        <v>27</v>
      </c>
      <c r="I237">
        <f>NETWORKDAYS($J$99,F237,'Festivos Colombia'!$A$3:$A$22)</f>
        <v>27</v>
      </c>
      <c r="J237">
        <f>H237</f>
        <v>27</v>
      </c>
    </row>
    <row r="238">
      <c r="A238" t="str">
        <f>G238</f>
        <v>Sin Pagar</v>
      </c>
      <c r="B238">
        <f>IF(I238&lt;=-1,1,IF(I238&lt;=5,2,IF(I238&lt;=15,3,IF(H238&lt;=60,4))))</f>
        <v>4</v>
      </c>
      <c r="C238">
        <v>6967</v>
      </c>
      <c r="D238" t="str">
        <v xml:space="preserve">EMASOC </v>
      </c>
      <c r="E238">
        <f>684500*0</f>
        <v>0</v>
      </c>
      <c r="F238">
        <v>46122</v>
      </c>
      <c r="G238" t="str">
        <v>Sin Pagar</v>
      </c>
      <c r="H238">
        <f>IF(OR(G238="Sin pagar",G238="Pagar"),NETWORKDAYS($J$99,F238,'Festivos Colombia'!$A$3:$A$22),0)</f>
        <v>27</v>
      </c>
      <c r="I238">
        <f>NETWORKDAYS($J$99,F238,'Festivos Colombia'!$A$3:$A$22)</f>
        <v>27</v>
      </c>
      <c r="J238">
        <f>H238</f>
        <v>27</v>
      </c>
    </row>
    <row r="239">
      <c r="A239" t="str">
        <f>G239</f>
        <v>Sin Pagar</v>
      </c>
      <c r="B239">
        <f>IF(I239&lt;=-1,1,IF(I239&lt;=5,2,IF(I239&lt;=15,3,IF(H239&lt;=60,4))))</f>
        <v>4</v>
      </c>
      <c r="C239">
        <v>6988</v>
      </c>
      <c r="D239" t="str">
        <v xml:space="preserve">EMASOC </v>
      </c>
      <c r="E239">
        <f>340500*0</f>
        <v>0</v>
      </c>
      <c r="F239">
        <v>46129</v>
      </c>
      <c r="G239" t="str">
        <v>Sin Pagar</v>
      </c>
      <c r="H239">
        <f>IF(OR(G239="Sin pagar",G239="Pagar"),NETWORKDAYS($J$99,F239,'Festivos Colombia'!$A$3:$A$22),0)</f>
        <v>32</v>
      </c>
      <c r="I239">
        <f>NETWORKDAYS($J$99,F239,'Festivos Colombia'!$A$3:$A$22)</f>
        <v>32</v>
      </c>
      <c r="J239">
        <f>H239</f>
        <v>32</v>
      </c>
    </row>
    <row r="240">
      <c r="A240" t="str">
        <f>G240</f>
        <v>Sin Pagar</v>
      </c>
      <c r="B240">
        <f>IF(I240&lt;=-1,1,IF(I240&lt;=5,2,IF(I240&lt;=15,3,IF(H240&lt;=60,4))))</f>
        <v>4</v>
      </c>
      <c r="C240">
        <v>6994</v>
      </c>
      <c r="D240" t="str">
        <v xml:space="preserve">EMASOC </v>
      </c>
      <c r="E240">
        <f>235000*0</f>
        <v>0</v>
      </c>
      <c r="F240">
        <v>46136</v>
      </c>
      <c r="G240" t="str">
        <v>Sin Pagar</v>
      </c>
      <c r="H240">
        <f>IF(OR(G240="Sin pagar",G240="Pagar"),NETWORKDAYS($J$99,F240,'Festivos Colombia'!$A$3:$A$22),0)</f>
        <v>37</v>
      </c>
      <c r="I240">
        <f>NETWORKDAYS($J$99,F240,'Festivos Colombia'!$A$3:$A$22)</f>
        <v>37</v>
      </c>
      <c r="J240">
        <f>H240</f>
        <v>37</v>
      </c>
    </row>
    <row r="241">
      <c r="A241" t="str">
        <f>G241</f>
        <v>Sin Pagar</v>
      </c>
      <c r="B241">
        <f>IF(I241&lt;=-1,1,IF(I241&lt;=5,2,IF(I241&lt;=15,3,IF(H241&lt;=60,4))))</f>
        <v>4</v>
      </c>
      <c r="C241">
        <v>7004</v>
      </c>
      <c r="D241" t="str">
        <v xml:space="preserve">EMASOC </v>
      </c>
      <c r="E241">
        <f>235000*0</f>
        <v>0</v>
      </c>
      <c r="F241">
        <v>46139</v>
      </c>
      <c r="G241" t="str">
        <v>Sin Pagar</v>
      </c>
      <c r="H241">
        <f>IF(OR(G241="Sin pagar",G241="Pagar"),NETWORKDAYS($J$99,F241,'Festivos Colombia'!$A$3:$A$22),0)</f>
        <v>38</v>
      </c>
      <c r="I241">
        <f>NETWORKDAYS($J$99,F241,'Festivos Colombia'!$A$3:$A$22)</f>
        <v>38</v>
      </c>
      <c r="J241">
        <f>H241</f>
        <v>38</v>
      </c>
    </row>
    <row r="242">
      <c r="A242" t="str">
        <f>G242</f>
        <v>Cancelado</v>
      </c>
      <c r="B242">
        <f>IF(I242&lt;=-1,1,IF(I242&lt;=5,2,IF(I242&lt;=15,3,IF(H242&lt;=60,4))))</f>
        <v>4</v>
      </c>
      <c r="C242">
        <v>3195</v>
      </c>
      <c r="D242" t="str">
        <v>Prosinte</v>
      </c>
      <c r="E242">
        <f>384004.68</f>
        <v>384004.68</v>
      </c>
      <c r="F242">
        <v>46108</v>
      </c>
      <c r="G242" t="str">
        <v>Cancelado</v>
      </c>
      <c r="H242">
        <f>IF(OR(G242="Sin pagar",G242="Pagar"),NETWORKDAYS($J$99,F242,'Festivos Colombia'!$A$3:$A$22),0)</f>
        <v>0</v>
      </c>
      <c r="I242">
        <f>NETWORKDAYS($J$99,F242,'Festivos Colombia'!$A$3:$A$22)</f>
        <v>19</v>
      </c>
      <c r="J242">
        <f>H242</f>
        <v>0</v>
      </c>
    </row>
    <row r="243">
      <c r="A243" t="str">
        <f>G243</f>
        <v>Cancelado</v>
      </c>
      <c r="B243">
        <f>IF(I243&lt;=-1,1,IF(I243&lt;=5,2,IF(I243&lt;=15,3,IF(H243&lt;=60,4))))</f>
        <v>4</v>
      </c>
      <c r="C243">
        <v>3196</v>
      </c>
      <c r="D243" t="str">
        <v>Prosinte</v>
      </c>
      <c r="E243">
        <f>190681.38</f>
        <v>190681.38</v>
      </c>
      <c r="F243">
        <v>46108</v>
      </c>
      <c r="G243" t="str">
        <v>Cancelado</v>
      </c>
      <c r="H243">
        <f>IF(OR(G243="Sin pagar",G243="Pagar"),NETWORKDAYS($J$99,F243,'Festivos Colombia'!$A$3:$A$22),0)</f>
        <v>0</v>
      </c>
      <c r="I243">
        <f>NETWORKDAYS($J$99,F243,'Festivos Colombia'!$A$3:$A$22)</f>
        <v>19</v>
      </c>
      <c r="J243">
        <f>H243</f>
        <v>0</v>
      </c>
    </row>
    <row r="244">
      <c r="D244" t="str">
        <v>SOFTWARE NÓMINA</v>
      </c>
      <c r="E244">
        <f>SUBTOTAL(9,E245:E249)</f>
        <v>7246002.19208</v>
      </c>
    </row>
    <row r="245">
      <c r="A245" t="str">
        <f>G245</f>
        <v>Cancelado</v>
      </c>
      <c r="B245">
        <f>IF(I245&lt;=-1,1,IF(I245&lt;=5,2,IF(I245&lt;=15,3,IF(H245&lt;=60,4))))</f>
        <v>3</v>
      </c>
      <c r="C245" t="str">
        <v>PX44893</v>
      </c>
      <c r="D245" t="str">
        <v>Servidores ( hosting) y/ o computación en la nuble cloud Enero</v>
      </c>
      <c r="E245">
        <v>1498061.01128</v>
      </c>
      <c r="F245">
        <v>46094</v>
      </c>
      <c r="G245" t="str">
        <v>Cancelado</v>
      </c>
      <c r="H245">
        <f>IF(OR(G245="Sin pagar",G245="Pagar"),NETWORKDAYS($J$99,F245,'Festivos Colombia'!$A$3:$A$22),0)</f>
        <v>0</v>
      </c>
      <c r="I245">
        <f>NETWORKDAYS($J$99,F245,'Festivos Colombia'!$A$3:$A$22)</f>
        <v>10</v>
      </c>
      <c r="J245">
        <f>H245</f>
        <v>0</v>
      </c>
    </row>
    <row r="246">
      <c r="A246" t="str">
        <f>G246</f>
        <v>Cancelado</v>
      </c>
      <c r="B246">
        <f>IF(I246&lt;=-1,1,IF(I246&lt;=5,2,IF(I246&lt;=15,3,IF(H246&lt;=60,4))))</f>
        <v>3</v>
      </c>
      <c r="C246" t="str">
        <v>PX44892</v>
      </c>
      <c r="D246" t="str">
        <v>Transmision nomina electronica</v>
      </c>
      <c r="E246">
        <v>241804.18079999997</v>
      </c>
      <c r="F246">
        <v>46094</v>
      </c>
      <c r="G246" t="str">
        <v>Cancelado</v>
      </c>
      <c r="H246">
        <f>IF(OR(G246="Sin pagar",G246="Pagar"),NETWORKDAYS($J$99,F246,'Festivos Colombia'!$A$3:$A$22),0)</f>
        <v>0</v>
      </c>
      <c r="I246">
        <f>NETWORKDAYS($J$99,F246,'Festivos Colombia'!$A$3:$A$22)</f>
        <v>10</v>
      </c>
      <c r="J246">
        <f>H246</f>
        <v>0</v>
      </c>
    </row>
    <row r="247">
      <c r="A247" t="str">
        <f>G247</f>
        <v>Sin Pagar</v>
      </c>
      <c r="B247">
        <f>IF(I247&lt;=-1,1,IF(I247&lt;=5,2,IF(I247&lt;=15,3,IF(H247&lt;=60,4))))</f>
        <v>4</v>
      </c>
      <c r="C247" t="str">
        <v>PX45392</v>
      </c>
      <c r="D247" t="str">
        <v>Transmision nomina electronica</v>
      </c>
      <c r="E247">
        <f>197076*0</f>
        <v>0</v>
      </c>
      <c r="F247">
        <v>46125</v>
      </c>
      <c r="G247" t="str">
        <v>Sin Pagar</v>
      </c>
      <c r="H247">
        <f>IF(OR(G247="Sin pagar",G247="Pagar"),NETWORKDAYS($J$99,F247,'Festivos Colombia'!$A$3:$A$22),0)</f>
        <v>28</v>
      </c>
      <c r="I247">
        <f>NETWORKDAYS($J$99,F247,'Festivos Colombia'!$A$3:$A$22)</f>
        <v>28</v>
      </c>
      <c r="J247">
        <f>H247</f>
        <v>28</v>
      </c>
    </row>
    <row r="248">
      <c r="A248" t="str">
        <f>G248</f>
        <v>Sin Pagar</v>
      </c>
      <c r="B248">
        <f>IF(I248&lt;=-1,1,IF(I248&lt;=5,2,IF(I248&lt;=15,3,IF(H248&lt;=60,4))))</f>
        <v>4</v>
      </c>
      <c r="C248" t="str">
        <v>PX45217</v>
      </c>
      <c r="D248" t="str">
        <v>Servidores ( hosting) y/ o computación en la nuble cloud Febrero</v>
      </c>
      <c r="E248">
        <f>1563888*0</f>
        <v>0</v>
      </c>
      <c r="F248">
        <v>46128</v>
      </c>
      <c r="G248" t="str">
        <v>Sin Pagar</v>
      </c>
      <c r="H248">
        <f>IF(OR(G248="Sin pagar",G248="Pagar"),NETWORKDAYS($J$99,F248,'Festivos Colombia'!$A$3:$A$22),0)</f>
        <v>31</v>
      </c>
      <c r="I248">
        <f>NETWORKDAYS($J$99,F248,'Festivos Colombia'!$A$3:$A$22)</f>
        <v>31</v>
      </c>
      <c r="J248">
        <f>H248</f>
        <v>31</v>
      </c>
    </row>
    <row r="249">
      <c r="A249" t="str">
        <f>G249</f>
        <v>Cancelado</v>
      </c>
      <c r="B249">
        <f>IF(I249&lt;=-1,1,IF(I249&lt;=5,2,IF(I249&lt;=15,3,IF(H249&lt;=60,4))))</f>
        <v>3</v>
      </c>
      <c r="C249" t="str">
        <v>GFE60050</v>
      </c>
      <c r="D249" t="str">
        <v>Novasoft-Servicio hosting Web-19 Usuarios-29 Bases de datos Enero</v>
      </c>
      <c r="E249">
        <f>5506137</f>
        <v>5506137</v>
      </c>
      <c r="F249">
        <v>46101</v>
      </c>
      <c r="G249" t="str">
        <v>Cancelado</v>
      </c>
      <c r="H249">
        <f>IF(OR(G249="Sin pagar",G249="Pagar"),NETWORKDAYS($J$99,F249,'Festivos Colombia'!$A$3:$A$22),0)</f>
        <v>0</v>
      </c>
      <c r="I249">
        <f>NETWORKDAYS($J$99,F249,'Festivos Colombia'!$A$3:$A$22)</f>
        <v>15</v>
      </c>
      <c r="J249">
        <f>H249</f>
        <v>0</v>
      </c>
    </row>
    <row r="250">
      <c r="D250" t="str">
        <v>NÓMINAS Y ABONO A TARJETAS PEOPLE PASS</v>
      </c>
      <c r="E250">
        <f>SUBTOTAL(9,E251:E273)</f>
        <v>1562338371</v>
      </c>
    </row>
    <row r="251">
      <c r="A251" t="str">
        <f>G251</f>
        <v>Cancelado</v>
      </c>
      <c r="B251">
        <f>IF(I251&lt;=-1,1,IF(I251&lt;=5,2,IF(I251&lt;=15,3,IF(H251&lt;=60,4))))</f>
        <v>3</v>
      </c>
      <c r="C251" t="str">
        <v>1 Registro</v>
      </c>
      <c r="D251" t="str">
        <v>Anticipo nómina Viviana Martinez</v>
      </c>
      <c r="E251">
        <v>1000000</v>
      </c>
      <c r="F251">
        <v>46100</v>
      </c>
      <c r="G251" t="str">
        <v>Cancelado</v>
      </c>
      <c r="H251">
        <f>IF(OR(G251="Sin pagar",G251="Pagar"),NETWORKDAYS($J$99,F251,'Festivos Colombia'!$A$3:$A$22),0)</f>
        <v>0</v>
      </c>
      <c r="I251">
        <f>NETWORKDAYS($J$99,F251,'Festivos Colombia'!$A$3:$A$22)</f>
        <v>14</v>
      </c>
      <c r="J251">
        <f>H251</f>
        <v>0</v>
      </c>
    </row>
    <row r="252">
      <c r="A252" t="str">
        <f>G252</f>
        <v>Cancelado</v>
      </c>
      <c r="B252">
        <f>IF(I252&lt;=-1,1,IF(I252&lt;=5,2,IF(I252&lt;=15,3,IF(H252&lt;=60,4))))</f>
        <v>4</v>
      </c>
      <c r="C252" t="str">
        <v>58 registros</v>
      </c>
      <c r="D252" t="str">
        <v>Nómina S&amp;P</v>
      </c>
      <c r="E252">
        <v>172530460</v>
      </c>
      <c r="F252">
        <v>46108</v>
      </c>
      <c r="G252" t="str">
        <v>Cancelado</v>
      </c>
      <c r="H252">
        <f>IF(OR(G252="Sin pagar",G252="Pagar"),NETWORKDAYS($J$99,F252,'Festivos Colombia'!$A$3:$A$22),0)</f>
        <v>0</v>
      </c>
      <c r="I252">
        <f>NETWORKDAYS($J$99,F252,'Festivos Colombia'!$A$3:$A$22)</f>
        <v>19</v>
      </c>
      <c r="J252">
        <f>H252</f>
        <v>0</v>
      </c>
    </row>
    <row r="253">
      <c r="D253" t="str">
        <v>C1007 - NZD</v>
      </c>
      <c r="E253">
        <v>28736036</v>
      </c>
      <c r="F253">
        <v>46108</v>
      </c>
      <c r="G253" t="str">
        <v>Cancelado</v>
      </c>
      <c r="H253">
        <f>IF(OR(G253="Sin pagar",G253="Pagar"),NETWORKDAYS($J$99,F253,'Festivos Colombia'!$A$3:$A$22),0)</f>
        <v>0</v>
      </c>
      <c r="I253">
        <f>NETWORKDAYS($J$99,F253,'Festivos Colombia'!$A$3:$A$22)</f>
        <v>19</v>
      </c>
      <c r="J253">
        <f>H253</f>
        <v>0</v>
      </c>
    </row>
    <row r="254">
      <c r="D254" t="str">
        <v>C1022 - Root Capital</v>
      </c>
      <c r="E254">
        <v>13247564</v>
      </c>
      <c r="F254">
        <v>46108</v>
      </c>
      <c r="G254" t="str">
        <v>Cancelado</v>
      </c>
      <c r="H254">
        <f>IF(OR(G254="Sin pagar",G254="Pagar"),NETWORKDAYS($J$99,F254,'Festivos Colombia'!$A$3:$A$22),0)</f>
        <v>0</v>
      </c>
      <c r="I254">
        <f>NETWORKDAYS($J$99,F254,'Festivos Colombia'!$A$3:$A$22)</f>
        <v>19</v>
      </c>
      <c r="J254">
        <f>H254</f>
        <v>0</v>
      </c>
    </row>
    <row r="255">
      <c r="D255" t="str">
        <v>C1024 - MKD</v>
      </c>
      <c r="E255">
        <v>2842696</v>
      </c>
      <c r="F255">
        <v>46108</v>
      </c>
      <c r="G255" t="str">
        <v>Cancelado</v>
      </c>
      <c r="H255">
        <f>IF(OR(G255="Sin pagar",G255="Pagar"),NETWORKDAYS($J$99,F255,'Festivos Colombia'!$A$3:$A$22),0)</f>
        <v>0</v>
      </c>
      <c r="I255">
        <f>NETWORKDAYS($J$99,F255,'Festivos Colombia'!$A$3:$A$22)</f>
        <v>19</v>
      </c>
      <c r="J255">
        <f>H255</f>
        <v>0</v>
      </c>
    </row>
    <row r="256">
      <c r="D256" t="str">
        <v>C1029 - INSIDER</v>
      </c>
      <c r="E256">
        <f>292487078</f>
        <v>292487078</v>
      </c>
      <c r="F256">
        <v>46108</v>
      </c>
      <c r="G256" t="str">
        <v>Cancelado</v>
      </c>
      <c r="H256">
        <f>IF(OR(G256="Sin pagar",G256="Pagar"),NETWORKDAYS($J$99,F256,'Festivos Colombia'!$A$3:$A$22),0)</f>
        <v>0</v>
      </c>
      <c r="I256">
        <f>NETWORKDAYS($J$99,F256,'Festivos Colombia'!$A$3:$A$22)</f>
        <v>19</v>
      </c>
      <c r="J256">
        <f>H256</f>
        <v>0</v>
      </c>
    </row>
    <row r="257">
      <c r="D257" t="str">
        <v>C1032 - FLEXCO</v>
      </c>
      <c r="E257">
        <v>7338849</v>
      </c>
      <c r="F257">
        <v>46108</v>
      </c>
      <c r="G257" t="str">
        <v>Cancelado</v>
      </c>
      <c r="H257">
        <f>IF(OR(G257="Sin pagar",G257="Pagar"),NETWORKDAYS($J$99,F257,'Festivos Colombia'!$A$3:$A$22),0)</f>
        <v>0</v>
      </c>
      <c r="I257">
        <f>NETWORKDAYS($J$99,F257,'Festivos Colombia'!$A$3:$A$22)</f>
        <v>19</v>
      </c>
      <c r="J257">
        <f>H257</f>
        <v>0</v>
      </c>
    </row>
    <row r="258">
      <c r="D258" t="str">
        <v>C1037 - REMOFIRST</v>
      </c>
      <c r="E258">
        <f>785005821+3264128</f>
        <v>788269949</v>
      </c>
      <c r="F258">
        <v>46108</v>
      </c>
      <c r="G258" t="str">
        <v>Cancelado</v>
      </c>
      <c r="H258">
        <f>IF(OR(G258="Sin pagar",G258="Pagar"),NETWORKDAYS($J$99,F258,'Festivos Colombia'!$A$3:$A$22),0)</f>
        <v>0</v>
      </c>
      <c r="I258">
        <f>NETWORKDAYS($J$99,F258,'Festivos Colombia'!$A$3:$A$22)</f>
        <v>19</v>
      </c>
      <c r="J258">
        <f>H258</f>
        <v>0</v>
      </c>
    </row>
    <row r="259">
      <c r="D259" t="str">
        <v>C1038 - ONCEHUB</v>
      </c>
      <c r="E259">
        <v>9259167</v>
      </c>
      <c r="F259">
        <v>46108</v>
      </c>
      <c r="G259" t="str">
        <v>Cancelado</v>
      </c>
      <c r="H259">
        <f>IF(OR(G259="Sin pagar",G259="Pagar"),NETWORKDAYS($J$99,F259,'Festivos Colombia'!$A$3:$A$22),0)</f>
        <v>0</v>
      </c>
      <c r="I259">
        <f>NETWORKDAYS($J$99,F259,'Festivos Colombia'!$A$3:$A$22)</f>
        <v>19</v>
      </c>
      <c r="J259">
        <f>H259</f>
        <v>0</v>
      </c>
    </row>
    <row r="260">
      <c r="D260" t="str">
        <v>C1041 - EDRINGTON</v>
      </c>
      <c r="E260">
        <v>19151707</v>
      </c>
      <c r="F260">
        <v>46108</v>
      </c>
      <c r="G260" t="str">
        <v>Cancelado</v>
      </c>
      <c r="H260">
        <f>IF(OR(G260="Sin pagar",G260="Pagar"),NETWORKDAYS($J$99,F260,'Festivos Colombia'!$A$3:$A$22),0)</f>
        <v>0</v>
      </c>
      <c r="I260">
        <f>NETWORKDAYS($J$99,F260,'Festivos Colombia'!$A$3:$A$22)</f>
        <v>19</v>
      </c>
      <c r="J260">
        <f>H260</f>
        <v>0</v>
      </c>
    </row>
    <row r="261">
      <c r="D261" t="str">
        <v>C1042 - EPDM</v>
      </c>
      <c r="E261">
        <v>6495192</v>
      </c>
      <c r="F261">
        <v>46108</v>
      </c>
      <c r="G261" t="str">
        <v>Cancelado</v>
      </c>
      <c r="H261">
        <f>IF(OR(G261="Sin pagar",G261="Pagar"),NETWORKDAYS($J$99,F261,'Festivos Colombia'!$A$3:$A$22),0)</f>
        <v>0</v>
      </c>
      <c r="I261">
        <f>NETWORKDAYS($J$99,F261,'Festivos Colombia'!$A$3:$A$22)</f>
        <v>19</v>
      </c>
      <c r="J261">
        <f>H261</f>
        <v>0</v>
      </c>
    </row>
    <row r="262">
      <c r="D262" t="str">
        <v>C1043 - NEO</v>
      </c>
      <c r="E262">
        <v>47285365</v>
      </c>
      <c r="F262">
        <v>46108</v>
      </c>
      <c r="G262" t="str">
        <v>Cancelado</v>
      </c>
      <c r="H262">
        <f>IF(OR(G262="Sin pagar",G262="Pagar"),NETWORKDAYS($J$99,F262,'Festivos Colombia'!$A$3:$A$22),0)</f>
        <v>0</v>
      </c>
      <c r="I262">
        <f>NETWORKDAYS($J$99,F262,'Festivos Colombia'!$A$3:$A$22)</f>
        <v>19</v>
      </c>
      <c r="J262">
        <f>H262</f>
        <v>0</v>
      </c>
    </row>
    <row r="263">
      <c r="D263" t="str">
        <v>C1050 - HEMMERSBACH</v>
      </c>
      <c r="E263">
        <v>12323248</v>
      </c>
      <c r="F263">
        <v>46108</v>
      </c>
      <c r="G263" t="str">
        <v>Cancelado</v>
      </c>
      <c r="H263">
        <f>IF(OR(G263="Sin pagar",G263="Pagar"),NETWORKDAYS($J$99,F263,'Festivos Colombia'!$A$3:$A$22),0)</f>
        <v>0</v>
      </c>
      <c r="I263">
        <f>NETWORKDAYS($J$99,F263,'Festivos Colombia'!$A$3:$A$22)</f>
        <v>19</v>
      </c>
      <c r="J263">
        <f>H263</f>
        <v>0</v>
      </c>
    </row>
    <row r="264">
      <c r="D264" t="str">
        <v>C1051 - YONYOU</v>
      </c>
      <c r="E264">
        <f>26050177-3264128</f>
        <v>22786049</v>
      </c>
      <c r="F264">
        <v>46108</v>
      </c>
      <c r="G264" t="str">
        <v>Cancelado</v>
      </c>
      <c r="H264">
        <f>IF(OR(G264="Sin pagar",G264="Pagar"),NETWORKDAYS($J$99,F264,'Festivos Colombia'!$A$3:$A$22),0)</f>
        <v>0</v>
      </c>
      <c r="I264">
        <f>NETWORKDAYS($J$99,F264,'Festivos Colombia'!$A$3:$A$22)</f>
        <v>19</v>
      </c>
      <c r="J264">
        <f>H264</f>
        <v>0</v>
      </c>
    </row>
    <row r="265">
      <c r="D265" t="str">
        <v>C1052 - BUBBLE BPM INC</v>
      </c>
      <c r="E265">
        <v>3264128</v>
      </c>
      <c r="F265">
        <v>46108</v>
      </c>
      <c r="G265" t="str">
        <v>Cancelado</v>
      </c>
      <c r="H265">
        <f>IF(OR(G265="Sin pagar",G265="Pagar"),NETWORKDAYS($J$99,F265,'Festivos Colombia'!$A$3:$A$22),0)</f>
        <v>0</v>
      </c>
      <c r="I265">
        <f>NETWORKDAYS($J$99,F265,'Festivos Colombia'!$A$3:$A$22)</f>
        <v>19</v>
      </c>
      <c r="J265">
        <f>H265</f>
        <v>0</v>
      </c>
    </row>
    <row r="266">
      <c r="D266" t="str">
        <v>C1053 - GLOBAL EXPANSION</v>
      </c>
      <c r="E266">
        <v>1280000</v>
      </c>
      <c r="F266">
        <v>46108</v>
      </c>
      <c r="G266" t="str">
        <v>Cancelado</v>
      </c>
      <c r="H266">
        <f>IF(OR(G266="Sin pagar",G266="Pagar"),NETWORKDAYS($J$99,F266,'Festivos Colombia'!$A$3:$A$22),0)</f>
        <v>0</v>
      </c>
      <c r="I266">
        <f>NETWORKDAYS($J$99,F266,'Festivos Colombia'!$A$3:$A$22)</f>
        <v>19</v>
      </c>
      <c r="J266">
        <f>H266</f>
        <v>0</v>
      </c>
    </row>
    <row r="267">
      <c r="D267" t="str">
        <v>C1055 - RIVERMATE</v>
      </c>
      <c r="E267">
        <v>44310885</v>
      </c>
      <c r="F267">
        <v>46108</v>
      </c>
      <c r="G267" t="str">
        <v>Cancelado</v>
      </c>
      <c r="H267">
        <f>IF(OR(G267="Sin pagar",G267="Pagar"),NETWORKDAYS($J$99,F267,'Festivos Colombia'!$A$3:$A$22),0)</f>
        <v>0</v>
      </c>
      <c r="I267">
        <f>NETWORKDAYS($J$99,F267,'Festivos Colombia'!$A$3:$A$22)</f>
        <v>19</v>
      </c>
      <c r="J267">
        <f>H267</f>
        <v>0</v>
      </c>
    </row>
    <row r="268">
      <c r="D268" t="str">
        <v>C1056 - EUROPORTAGE</v>
      </c>
      <c r="E268">
        <v>59228852</v>
      </c>
      <c r="F268">
        <v>46108</v>
      </c>
      <c r="G268" t="str">
        <v>Cancelado</v>
      </c>
      <c r="H268">
        <f>IF(OR(G268="Sin pagar",G268="Pagar"),NETWORKDAYS($J$99,F268,'Festivos Colombia'!$A$3:$A$22),0)</f>
        <v>0</v>
      </c>
      <c r="I268">
        <f>NETWORKDAYS($J$99,F268,'Festivos Colombia'!$A$3:$A$22)</f>
        <v>19</v>
      </c>
      <c r="J268">
        <f>H268</f>
        <v>0</v>
      </c>
    </row>
    <row r="269">
      <c r="D269" t="str">
        <v>C1058 - POC PHARMA</v>
      </c>
      <c r="E269">
        <v>11074092</v>
      </c>
      <c r="F269">
        <v>46108</v>
      </c>
      <c r="G269" t="str">
        <v>Cancelado</v>
      </c>
      <c r="H269">
        <f>IF(OR(G269="Sin pagar",G269="Pagar"),NETWORKDAYS($J$99,F269,'Festivos Colombia'!$A$3:$A$22),0)</f>
        <v>0</v>
      </c>
      <c r="I269">
        <f>NETWORKDAYS($J$99,F269,'Festivos Colombia'!$A$3:$A$22)</f>
        <v>19</v>
      </c>
      <c r="J269">
        <f>H269</f>
        <v>0</v>
      </c>
    </row>
    <row r="270">
      <c r="D270" t="str">
        <v>C1059 - SIFFI</v>
      </c>
      <c r="E270">
        <v>5336000</v>
      </c>
      <c r="F270">
        <v>46108</v>
      </c>
      <c r="G270" t="str">
        <v>Cancelado</v>
      </c>
      <c r="H270">
        <f>IF(OR(G270="Sin pagar",G270="Pagar"),NETWORKDAYS($J$99,F270,'Festivos Colombia'!$A$3:$A$22),0)</f>
        <v>0</v>
      </c>
      <c r="I270">
        <f>NETWORKDAYS($J$99,F270,'Festivos Colombia'!$A$3:$A$22)</f>
        <v>19</v>
      </c>
      <c r="J270">
        <f>H270</f>
        <v>0</v>
      </c>
    </row>
    <row r="271">
      <c r="A271" t="str">
        <f>G271</f>
        <v>Cancelado</v>
      </c>
      <c r="B271">
        <f>IF(I271&lt;=-1,1,IF(I271&lt;=5,2,IF(I271&lt;=15,3,IF(H271&lt;=60,4))))</f>
        <v>4</v>
      </c>
      <c r="C271" t="str">
        <v>1 registro</v>
      </c>
      <c r="D271" t="str">
        <v xml:space="preserve">Embargo Fabian Morales- Banco Agrario </v>
      </c>
      <c r="E271">
        <v>1112000</v>
      </c>
      <c r="F271">
        <v>46108</v>
      </c>
      <c r="G271" t="str">
        <v>Cancelado</v>
      </c>
      <c r="H271">
        <f>IF(OR(G271="Sin pagar",G271="Pagar"),NETWORKDAYS($J$99,F271,'Festivos Colombia'!$A$3:$A$22),0)</f>
        <v>0</v>
      </c>
      <c r="I271">
        <f>NETWORKDAYS($J$99,F271,'Festivos Colombia'!$A$3:$A$22)</f>
        <v>19</v>
      </c>
      <c r="J271">
        <f>H271</f>
        <v>0</v>
      </c>
    </row>
    <row r="272">
      <c r="A272" t="str">
        <f>G272</f>
        <v>Cancelado</v>
      </c>
      <c r="B272">
        <f>IF(I272&lt;=-1,1,IF(I272&lt;=5,2,IF(I272&lt;=15,3,IF(H272&lt;=60,4))))</f>
        <v>4</v>
      </c>
      <c r="C272" t="str">
        <v>FPP464606</v>
      </c>
      <c r="D272" t="str">
        <v xml:space="preserve">People Pass </v>
      </c>
      <c r="E272">
        <v>12097393</v>
      </c>
      <c r="F272">
        <v>46108</v>
      </c>
      <c r="G272" t="str">
        <v>Cancelado</v>
      </c>
      <c r="H272">
        <f>IF(OR(G272="Sin pagar",G272="Pagar"),NETWORKDAYS($J$99,F272,'Festivos Colombia'!$A$3:$A$22),0)</f>
        <v>0</v>
      </c>
      <c r="I272">
        <f>NETWORKDAYS($J$99,F272,'Festivos Colombia'!$A$3:$A$22)</f>
        <v>19</v>
      </c>
      <c r="J272">
        <f>H272</f>
        <v>0</v>
      </c>
    </row>
    <row r="273">
      <c r="A273" t="str">
        <f>G273</f>
        <v>Cancelado</v>
      </c>
      <c r="B273">
        <f>IF(I273&lt;=-1,1,IF(I273&lt;=5,2,IF(I273&lt;=15,3,IF(H273&lt;=60,4))))</f>
        <v>4</v>
      </c>
      <c r="D273" t="str">
        <v>Pago vaciones en dinero German Hincapie</v>
      </c>
      <c r="E273">
        <v>881661</v>
      </c>
      <c r="F273">
        <v>46111</v>
      </c>
      <c r="G273" t="str">
        <v>Cancelado</v>
      </c>
      <c r="H273">
        <f>IF(OR(G273="Sin pagar",G273="Pagar"),NETWORKDAYS($J$99,F273,'Festivos Colombia'!$A$3:$A$22),0)</f>
        <v>0</v>
      </c>
      <c r="I273">
        <f>NETWORKDAYS($J$99,F273,'Festivos Colombia'!$A$3:$A$22)</f>
        <v>20</v>
      </c>
      <c r="J273">
        <f>H273</f>
        <v>0</v>
      </c>
    </row>
    <row r="274">
      <c r="D274" t="str">
        <v xml:space="preserve">LIQUIDACIONES </v>
      </c>
      <c r="E274">
        <f>SUBTOTAL(9,E275:E281)</f>
        <v>163292993</v>
      </c>
    </row>
    <row r="275">
      <c r="A275" t="e">
        <f>#REF!</f>
        <v>#REF!</v>
      </c>
      <c r="B275">
        <f>IF(I275&lt;=-1,1,IF(I275&lt;=5,2,IF(I275&lt;=15,3,IF(H275&lt;=60,4))))</f>
        <v>2</v>
      </c>
      <c r="D275" t="str">
        <v>Liquidación Santiago posada Remofirst</v>
      </c>
      <c r="E275">
        <v>6235813</v>
      </c>
      <c r="F275">
        <v>46082</v>
      </c>
      <c r="G275" t="str">
        <v>Cancelado</v>
      </c>
      <c r="H275">
        <f>IF(OR(G275="Sin pagar",G275="Pagar"),NETWORKDAYS($J$99,F275,'Festivos Colombia'!$A$3:$A$22),0)</f>
        <v>0</v>
      </c>
      <c r="I275">
        <f>NETWORKDAYS($J$99,F275,'Festivos Colombia'!$A$3:$A$22)</f>
        <v>0</v>
      </c>
      <c r="J275">
        <f>H275</f>
        <v>0</v>
      </c>
    </row>
    <row r="276">
      <c r="A276" t="e">
        <f>#REF!</f>
        <v>#REF!</v>
      </c>
      <c r="B276">
        <f>IF(I276&lt;=-1,1,IF(I276&lt;=5,2,IF(I276&lt;=15,3,IF(H276&lt;=60,4))))</f>
        <v>3</v>
      </c>
      <c r="D276" t="str">
        <v>Liquidación Laura Gómez Diaz -S&amp;P</v>
      </c>
      <c r="E276">
        <v>3589219</v>
      </c>
      <c r="F276">
        <v>46094</v>
      </c>
      <c r="G276" t="str">
        <v>Cancelado</v>
      </c>
      <c r="H276">
        <f>IF(OR(G276="Sin pagar",G276="Pagar"),NETWORKDAYS($J$99,F276,'Festivos Colombia'!$A$3:$A$22),0)</f>
        <v>0</v>
      </c>
      <c r="I276">
        <f>NETWORKDAYS($J$99,F276,'Festivos Colombia'!$A$3:$A$22)</f>
        <v>10</v>
      </c>
      <c r="J276">
        <f>H276</f>
        <v>0</v>
      </c>
    </row>
    <row r="277">
      <c r="A277" t="e">
        <f>#REF!</f>
        <v>#REF!</v>
      </c>
      <c r="B277">
        <f>IF(I277&lt;=-1,1,IF(I277&lt;=5,2,IF(I277&lt;=15,3,IF(H277&lt;=60,4))))</f>
        <v>3</v>
      </c>
      <c r="D277" t="str">
        <v xml:space="preserve">ReLiquidación José Luis Sepulveda Forero-Neo </v>
      </c>
      <c r="E277">
        <v>1862000</v>
      </c>
      <c r="F277">
        <v>46101</v>
      </c>
      <c r="G277" t="str">
        <v>Cancelado</v>
      </c>
      <c r="H277">
        <f>IF(OR(G277="Sin pagar",G277="Pagar"),NETWORKDAYS($J$99,F277,'Festivos Colombia'!$A$3:$A$22),0)</f>
        <v>0</v>
      </c>
      <c r="I277">
        <f>NETWORKDAYS($J$99,F277,'Festivos Colombia'!$A$3:$A$22)</f>
        <v>15</v>
      </c>
      <c r="J277">
        <f>H277</f>
        <v>0</v>
      </c>
    </row>
    <row r="278">
      <c r="A278" t="e">
        <f>#REF!</f>
        <v>#REF!</v>
      </c>
      <c r="B278">
        <f>IF(I278&lt;=-1,1,IF(I278&lt;=5,2,IF(I278&lt;=15,3,IF(H278&lt;=60,4))))</f>
        <v>4</v>
      </c>
      <c r="D278" t="str">
        <v>Liquidación Luis Fernando Coronado- S&amp;P</v>
      </c>
      <c r="E278">
        <v>1167961</v>
      </c>
      <c r="F278">
        <v>46108</v>
      </c>
      <c r="G278" t="str">
        <v>Cancelado</v>
      </c>
      <c r="H278">
        <f>IF(OR(G278="Sin pagar",G278="Pagar"),NETWORKDAYS($J$99,F278,'Festivos Colombia'!$A$3:$A$22),0)</f>
        <v>0</v>
      </c>
      <c r="I278">
        <f>NETWORKDAYS($J$99,F278,'Festivos Colombia'!$A$3:$A$22)</f>
        <v>19</v>
      </c>
      <c r="J278">
        <f>H278</f>
        <v>0</v>
      </c>
    </row>
    <row r="279">
      <c r="A279" t="e">
        <f>#REF!</f>
        <v>#REF!</v>
      </c>
      <c r="B279">
        <f>IF(I279&lt;=-1,1,IF(I279&lt;=5,2,IF(I279&lt;=15,3,IF(H279&lt;=60,4))))</f>
        <v>4</v>
      </c>
      <c r="D279" t="str">
        <v>Liquidación Stiven Smith Narvaez Ortiz- S&amp;P</v>
      </c>
      <c r="E279">
        <v>8890544</v>
      </c>
      <c r="F279">
        <v>46108</v>
      </c>
      <c r="G279" t="str">
        <v>Cancelado</v>
      </c>
      <c r="H279">
        <f>IF(OR(G279="Sin pagar",G279="Pagar"),NETWORKDAYS($J$99,F279,'Festivos Colombia'!$A$3:$A$22),0)</f>
        <v>0</v>
      </c>
      <c r="I279">
        <f>NETWORKDAYS($J$99,F279,'Festivos Colombia'!$A$3:$A$22)</f>
        <v>19</v>
      </c>
      <c r="J279">
        <f>H279</f>
        <v>0</v>
      </c>
    </row>
    <row r="280">
      <c r="A280" t="e">
        <f>#REF!</f>
        <v>#REF!</v>
      </c>
      <c r="B280">
        <f>IF(I280&lt;=-1,1,IF(I280&lt;=5,2,IF(I280&lt;=15,3,IF(H280&lt;=60,4))))</f>
        <v>4</v>
      </c>
      <c r="D280" t="str">
        <v>Liquidación Juan Pablo Chaves Parra-Remofrist</v>
      </c>
      <c r="E280">
        <v>2568864</v>
      </c>
      <c r="F280">
        <v>46112</v>
      </c>
      <c r="G280" t="str">
        <v>Cancelado</v>
      </c>
      <c r="H280">
        <f>IF(OR(G280="Sin pagar",G280="Pagar"),NETWORKDAYS($J$99,F280,'Festivos Colombia'!$A$3:$A$22),0)</f>
        <v>0</v>
      </c>
      <c r="I280">
        <f>NETWORKDAYS($J$99,F280,'Festivos Colombia'!$A$3:$A$22)</f>
        <v>21</v>
      </c>
      <c r="J280">
        <f>H280</f>
        <v>0</v>
      </c>
    </row>
    <row r="281">
      <c r="A281" t="e">
        <f>#REF!</f>
        <v>#REF!</v>
      </c>
      <c r="B281">
        <f>IF(I281&lt;=-1,1,IF(I281&lt;=5,2,IF(I281&lt;=15,3,IF(H281&lt;=60,4))))</f>
        <v>4</v>
      </c>
      <c r="D281" t="str">
        <v>Liquidación Edgar Felipe Chaves Rodriguez</v>
      </c>
      <c r="E281">
        <v>138978592</v>
      </c>
      <c r="F281">
        <v>46118</v>
      </c>
      <c r="G281" t="str">
        <v>Cancelado</v>
      </c>
      <c r="H281">
        <f>IF(OR(G281="Sin pagar",G281="Pagar"),NETWORKDAYS($J$99,F281,'Festivos Colombia'!$A$3:$A$22),0)</f>
        <v>0</v>
      </c>
      <c r="I281">
        <f>NETWORKDAYS($J$99,F281,'Festivos Colombia'!$A$3:$A$22)</f>
        <v>23</v>
      </c>
      <c r="J281">
        <f>H281</f>
        <v>0</v>
      </c>
    </row>
    <row r="282">
      <c r="D282" t="str">
        <v>IMPREVISTO</v>
      </c>
      <c r="E282">
        <f>SUBTOTAL(9,E283:E291)</f>
        <v>6072186</v>
      </c>
    </row>
    <row r="283">
      <c r="A283" t="str">
        <f>G283</f>
        <v>Cancelado</v>
      </c>
      <c r="B283">
        <f>IF(I283&lt;=-1,1,IF(I283&lt;=5,2,IF(I283&lt;=15,3,IF(H283&lt;=60,4))))</f>
        <v>2</v>
      </c>
      <c r="C283" t="str">
        <v>702386580</v>
      </c>
      <c r="D283" t="str">
        <v>Anticipo alba suarez- Impresiones petrobra</v>
      </c>
      <c r="E283">
        <v>250000</v>
      </c>
      <c r="F283">
        <v>46086</v>
      </c>
      <c r="G283" t="str">
        <v>Cancelado</v>
      </c>
      <c r="H283">
        <f>IF(OR(G283="Sin pagar",G283="Pagar"),NETWORKDAYS($J$99,F283,'Festivos Colombia'!$A$3:$A$22),0)</f>
        <v>0</v>
      </c>
      <c r="I283">
        <f>NETWORKDAYS($J$99,F283,'Festivos Colombia'!$A$3:$A$22)</f>
        <v>4</v>
      </c>
      <c r="J283">
        <f>H283</f>
        <v>0</v>
      </c>
    </row>
    <row r="284">
      <c r="A284" t="str">
        <f>G284</f>
        <v>Cancelado</v>
      </c>
      <c r="B284">
        <f>IF(I284&lt;=-1,1,IF(I284&lt;=5,2,IF(I284&lt;=15,3,IF(H284&lt;=60,4))))</f>
        <v>3</v>
      </c>
      <c r="C284" t="str">
        <v>702386580</v>
      </c>
      <c r="D284" t="str">
        <v>Anticipo alba suarez- Impresiones petrobra</v>
      </c>
      <c r="E284">
        <v>307800</v>
      </c>
      <c r="F284">
        <v>46090</v>
      </c>
      <c r="G284" t="str">
        <v>Cancelado</v>
      </c>
      <c r="H284">
        <f>IF(OR(G284="Sin pagar",G284="Pagar"),NETWORKDAYS($J$99,F284,'Festivos Colombia'!$A$3:$A$22),0)</f>
        <v>0</v>
      </c>
      <c r="I284">
        <f>NETWORKDAYS($J$99,F284,'Festivos Colombia'!$A$3:$A$22)</f>
        <v>6</v>
      </c>
      <c r="J284">
        <f>H284</f>
        <v>0</v>
      </c>
    </row>
    <row r="285">
      <c r="A285" t="str">
        <f>G285</f>
        <v>Cancelado</v>
      </c>
      <c r="B285">
        <f>IF(I285&lt;=-1,1,IF(I285&lt;=5,2,IF(I285&lt;=15,3,IF(H285&lt;=60,4))))</f>
        <v>2</v>
      </c>
      <c r="C285">
        <v>10025785</v>
      </c>
      <c r="D285" t="str">
        <v>Certificado camara de comercio S&amp;P</v>
      </c>
      <c r="E285">
        <v>12100</v>
      </c>
      <c r="F285">
        <v>46086</v>
      </c>
      <c r="G285" t="str">
        <v>Cancelado</v>
      </c>
      <c r="H285">
        <f>IF(OR(G285="Sin pagar",G285="Pagar"),NETWORKDAYS($J$99,F285,'Festivos Colombia'!$A$3:$A$22),0)</f>
        <v>0</v>
      </c>
      <c r="I285">
        <f>NETWORKDAYS($J$99,F285,'Festivos Colombia'!$A$3:$A$22)</f>
        <v>4</v>
      </c>
      <c r="J285">
        <f>H285</f>
        <v>0</v>
      </c>
    </row>
    <row r="286">
      <c r="A286" t="str">
        <f>G286</f>
        <v>Cancelado</v>
      </c>
      <c r="B286">
        <f>IF(I286&lt;=-1,1,IF(I286&lt;=5,2,IF(I286&lt;=15,3,IF(H286&lt;=60,4))))</f>
        <v>3</v>
      </c>
      <c r="C286" t="str">
        <v>S/N</v>
      </c>
      <c r="D286" t="str">
        <v>Reembolso eduard forero por pago de la TC</v>
      </c>
      <c r="E286">
        <v>703528</v>
      </c>
      <c r="F286">
        <v>46101</v>
      </c>
      <c r="G286" t="str">
        <v>Cancelado</v>
      </c>
      <c r="H286">
        <f>IF(OR(G286="Sin pagar",G286="Pagar"),NETWORKDAYS($J$99,F286,'Festivos Colombia'!$A$3:$A$22),0)</f>
        <v>0</v>
      </c>
      <c r="I286">
        <f>NETWORKDAYS($J$99,F286,'Festivos Colombia'!$A$3:$A$22)</f>
        <v>15</v>
      </c>
      <c r="J286">
        <f>H286</f>
        <v>0</v>
      </c>
    </row>
    <row r="287">
      <c r="A287" t="str">
        <f>G287</f>
        <v>Cancelado</v>
      </c>
      <c r="B287">
        <f>IF(I287&lt;=-1,1,IF(I287&lt;=5,2,IF(I287&lt;=15,3,IF(H287&lt;=60,4))))</f>
        <v>4</v>
      </c>
      <c r="C287" t="str">
        <v>FERA 2716</v>
      </c>
      <c r="D287" t="str">
        <v>Refri break - Almuerzo Líderes reunion 26 de marzo</v>
      </c>
      <c r="E287">
        <v>328258</v>
      </c>
      <c r="F287">
        <v>46106</v>
      </c>
      <c r="G287" t="str">
        <v>Cancelado</v>
      </c>
      <c r="H287">
        <f>IF(OR(G287="Sin pagar",G287="Pagar"),NETWORKDAYS($J$99,F287,'Festivos Colombia'!$A$3:$A$22),0)</f>
        <v>0</v>
      </c>
      <c r="I287">
        <f>NETWORKDAYS($J$99,F287,'Festivos Colombia'!$A$3:$A$22)</f>
        <v>17</v>
      </c>
      <c r="J287">
        <f>H287</f>
        <v>0</v>
      </c>
    </row>
    <row r="288">
      <c r="A288" t="str">
        <f>G288</f>
        <v>Cancelado</v>
      </c>
      <c r="B288">
        <f>IF(I288&lt;=-1,1,IF(I288&lt;=5,2,IF(I288&lt;=15,3,IF(H288&lt;=60,4))))</f>
        <v>4</v>
      </c>
      <c r="C288" t="str">
        <v>S/N</v>
      </c>
      <c r="D288" t="str">
        <v>Reembolso de gastos Julieth bonilla por transferencia de fondos a panamá Western union</v>
      </c>
      <c r="E288">
        <v>200000</v>
      </c>
      <c r="F288">
        <v>46108</v>
      </c>
      <c r="G288" t="str">
        <v>Cancelado</v>
      </c>
      <c r="H288">
        <f>IF(OR(G288="Sin pagar",G288="Pagar"),NETWORKDAYS($J$99,F288,'Festivos Colombia'!$A$3:$A$22),0)</f>
        <v>0</v>
      </c>
      <c r="I288">
        <f>NETWORKDAYS($J$99,F288,'Festivos Colombia'!$A$3:$A$22)</f>
        <v>19</v>
      </c>
      <c r="J288">
        <f>H288</f>
        <v>0</v>
      </c>
    </row>
    <row r="289">
      <c r="A289" t="str">
        <f>G289</f>
        <v>Cancelado</v>
      </c>
      <c r="B289">
        <f>IF(I289&lt;=-1,1,IF(I289&lt;=5,2,IF(I289&lt;=15,3,IF(H289&lt;=60,4))))</f>
        <v>4</v>
      </c>
      <c r="D289" t="str">
        <v xml:space="preserve">Renovacion cámara de comercio </v>
      </c>
      <c r="E289">
        <v>3970500</v>
      </c>
      <c r="F289">
        <v>46112</v>
      </c>
      <c r="G289" t="str">
        <v>Cancelado</v>
      </c>
      <c r="H289">
        <f>IF(OR(G289="Sin pagar",G289="Pagar"),NETWORKDAYS($J$99,F289,'Festivos Colombia'!$A$3:$A$22),0)</f>
        <v>0</v>
      </c>
      <c r="I289">
        <f>NETWORKDAYS($J$99,F289,'Festivos Colombia'!$A$3:$A$22)</f>
        <v>21</v>
      </c>
      <c r="J289">
        <f>H289</f>
        <v>0</v>
      </c>
    </row>
    <row r="290">
      <c r="A290" t="str">
        <f>G290</f>
        <v>Cancelado</v>
      </c>
      <c r="B290">
        <f>IF(I290&lt;=-1,1,IF(I290&lt;=5,2,IF(I290&lt;=15,3,IF(H290&lt;=60,4))))</f>
        <v>4</v>
      </c>
      <c r="D290" t="str">
        <v xml:space="preserve">Devolucion de  anticipo edrington </v>
      </c>
      <c r="E290">
        <f>(89512000/2)*0</f>
        <v>0</v>
      </c>
      <c r="F290">
        <v>46112</v>
      </c>
      <c r="G290" t="str">
        <v>Cancelado</v>
      </c>
      <c r="H290">
        <f>IF(OR(G290="Sin pagar",G290="Pagar"),NETWORKDAYS($J$99,F290,'Festivos Colombia'!$A$3:$A$22),0)</f>
        <v>0</v>
      </c>
      <c r="I290">
        <f>NETWORKDAYS($J$99,F290,'Festivos Colombia'!$A$3:$A$22)</f>
        <v>21</v>
      </c>
      <c r="J290">
        <f>H290</f>
        <v>0</v>
      </c>
    </row>
    <row r="291">
      <c r="A291" t="str">
        <f>G291</f>
        <v>Cancelado</v>
      </c>
      <c r="B291">
        <f>IF(I291&lt;=-1,1,IF(I291&lt;=5,2,IF(I291&lt;=15,3,IF(H291&lt;=60,4))))</f>
        <v>4</v>
      </c>
      <c r="D291" t="str">
        <v>Anticipo de dinero Yecid Martin</v>
      </c>
      <c r="E291">
        <v>300000</v>
      </c>
      <c r="F291">
        <v>46119</v>
      </c>
      <c r="G291" t="str">
        <v>Cancelado</v>
      </c>
      <c r="H291">
        <f>IF(OR(G291="Sin pagar",G291="Pagar"),NETWORKDAYS($J$99,F291,'Festivos Colombia'!$A$3:$A$22),0)</f>
        <v>0</v>
      </c>
      <c r="I291">
        <f>NETWORKDAYS($J$99,F291,'Festivos Colombia'!$A$3:$A$22)</f>
        <v>24</v>
      </c>
      <c r="J291">
        <f>H291</f>
        <v>0</v>
      </c>
    </row>
    <row r="292">
      <c r="D292" t="str">
        <v>TOTAL EGRESOS</v>
      </c>
      <c r="E292">
        <f>SUBTOTAL(9,E101:E291)</f>
        <v>2715664341.9842997</v>
      </c>
    </row>
    <row r="294">
      <c r="D294" t="str">
        <v>SALDO</v>
      </c>
      <c r="E294">
        <f>E96-E292</f>
        <v>772774870.7075005</v>
      </c>
    </row>
    <row r="295">
      <c r="D295" t="str">
        <v xml:space="preserve">% </v>
      </c>
      <c r="E295">
        <f>IF($E$96=0,0,E294/$E$96)</f>
        <v>0.22152453392220664</v>
      </c>
    </row>
    <row r="297">
      <c r="D297" t="str">
        <v>Nombre</v>
      </c>
    </row>
    <row r="298">
      <c r="D298" t="str">
        <v>Jerson Porras -Tarjeta 7</v>
      </c>
      <c r="E298" t="str">
        <v>Carestream</v>
      </c>
    </row>
    <row r="299">
      <c r="D299" t="str">
        <v>Monica Fabiana Hernandez Pinto - Tarjeta 8</v>
      </c>
      <c r="E299" t="str">
        <v>Root capital</v>
      </c>
    </row>
    <row r="303">
      <c r="D303" t="str">
        <v>Pagos del 23 al 31 marzo</v>
      </c>
      <c r="E303">
        <v>0</v>
      </c>
    </row>
    <row r="304">
      <c r="D304" t="str">
        <v xml:space="preserve">4 x mil </v>
      </c>
      <c r="E304">
        <f>(E303*4)/1000</f>
        <v>0</v>
      </c>
    </row>
    <row r="305">
      <c r="D305" t="str">
        <v>Gran total</v>
      </c>
      <c r="E305">
        <f>E303+E304</f>
        <v>0</v>
      </c>
    </row>
    <row r="308">
      <c r="D308" t="str">
        <v>BBVA 07/04/2026</v>
      </c>
      <c r="E308">
        <v>9189970.63</v>
      </c>
    </row>
    <row r="309">
      <c r="D309" t="str">
        <v>Bancolombia  07/04/2026</v>
      </c>
      <c r="E309">
        <f>763886099.63-301200</f>
        <v>763584899.63</v>
      </c>
    </row>
    <row r="310">
      <c r="D310" t="str">
        <v xml:space="preserve">Total Caja </v>
      </c>
      <c r="E310">
        <f>SUM(E308:E309)</f>
        <v>772774870.26</v>
      </c>
    </row>
    <row r="312">
      <c r="D312" t="str">
        <v>Superavit o Deficit</v>
      </c>
      <c r="E312">
        <f>E310-E305</f>
        <v>772774870.26</v>
      </c>
    </row>
    <row r="316">
      <c r="D316" t="str">
        <v>Banco Panamá S&amp;P USD 07/04/2026</v>
      </c>
      <c r="E316">
        <v>42967.01</v>
      </c>
      <c r="F316">
        <v>43246.46</v>
      </c>
      <c r="G316">
        <f>E316-F316</f>
        <v>-279.4499999999971</v>
      </c>
      <c r="K316">
        <v>2616.55</v>
      </c>
    </row>
    <row r="317">
      <c r="D317" t="str">
        <v>BAC Costa Rica  ₡ 07/04/2026</v>
      </c>
      <c r="E317">
        <v>36606225.82567004</v>
      </c>
      <c r="F317">
        <f>E317/480</f>
        <v>76262.97047014591</v>
      </c>
      <c r="G317">
        <f>F317+E318</f>
        <v>105138.20047014591</v>
      </c>
    </row>
    <row r="318">
      <c r="D318" t="str">
        <v>BAC Costa Rica  USD 07/04/2026</v>
      </c>
      <c r="E318">
        <v>28875.23</v>
      </c>
    </row>
    <row r="319">
      <c r="D319" t="str">
        <v>Banco Bibankg Guatemala QTZ 07/04/2026</v>
      </c>
      <c r="E319">
        <v>523366.30346177786</v>
      </c>
      <c r="F319">
        <f>E319/7.46</f>
        <v>70156.34094661902</v>
      </c>
      <c r="G319">
        <f>F319+E320</f>
        <v>76652.83094661901</v>
      </c>
    </row>
    <row r="320">
      <c r="D320" t="str">
        <v>Banco Bibankg Guatemala USD 07/04/2026</v>
      </c>
      <c r="E320">
        <v>6496.489999999991</v>
      </c>
    </row>
    <row r="321">
      <c r="D321" t="str">
        <v>BCP Perú Soles 07/04/2026</v>
      </c>
      <c r="E321">
        <v>382280.32127186365</v>
      </c>
      <c r="F321">
        <f>E321/3.52</f>
        <v>108602.36399768853</v>
      </c>
      <c r="G321">
        <f>F321+E322+F323+E324</f>
        <v>124251.85399004209</v>
      </c>
    </row>
    <row r="322">
      <c r="D322" t="str">
        <v>BCP Perú USD 07/04/2026</v>
      </c>
      <c r="E322">
        <v>15140.983713283786</v>
      </c>
    </row>
    <row r="323">
      <c r="D323" t="str">
        <v>BBVA Perú Soles 07/04/2026</v>
      </c>
      <c r="E323">
        <v>1714.38</v>
      </c>
      <c r="F323">
        <f>E323/3.44</f>
        <v>498.3662790697675</v>
      </c>
    </row>
    <row r="324">
      <c r="D324" t="str">
        <v>BBVA Perú USD 07/04/2026</v>
      </c>
      <c r="E324">
        <v>10.14</v>
      </c>
    </row>
    <row r="325">
      <c r="D325" t="str">
        <v>Bancolombia ACT&amp;J COPS 07/04/2026</v>
      </c>
      <c r="E325">
        <v>292927.05</v>
      </c>
    </row>
    <row r="327">
      <c r="D327" t="str">
        <v>Banco Aliado Panamá USD 30/03/2026</v>
      </c>
      <c r="E327">
        <f>51472.96*0</f>
        <v>0</v>
      </c>
      <c r="F327" t="str">
        <v>Dato Informativo no es CTA de S&amp;P</v>
      </c>
    </row>
    <row r="330">
      <c r="D330" t="str">
        <v>Bancos</v>
      </c>
      <c r="E330">
        <v>13</v>
      </c>
    </row>
    <row r="331">
      <c r="D331" t="str">
        <v>Cuentas</v>
      </c>
      <c r="E331">
        <v>17</v>
      </c>
    </row>
    <row r="334">
      <c r="E334">
        <f>18091.99+2</f>
        <v>18093.99</v>
      </c>
    </row>
    <row r="337">
      <c r="D337" t="str">
        <v>Cuenta de la hermana Yadira</v>
      </c>
      <c r="E337">
        <v>3000</v>
      </c>
      <c r="F337" t="str">
        <v>Banco</v>
      </c>
    </row>
    <row r="338">
      <c r="D338" t="str">
        <v>Cuenta del esposo</v>
      </c>
      <c r="E338">
        <v>2200</v>
      </c>
      <c r="F338" t="str">
        <v>Banco</v>
      </c>
    </row>
    <row r="339">
      <c r="D339" t="str">
        <v>Western yadira</v>
      </c>
      <c r="E339">
        <v>6000</v>
      </c>
      <c r="F339" t="str">
        <v xml:space="preserve">Usuario Alfonso </v>
      </c>
      <c r="G339">
        <v>170000</v>
      </c>
      <c r="J339">
        <f>G339/3704.87</f>
        <v>45.88555064010343</v>
      </c>
      <c r="K339">
        <f>E339+J339</f>
        <v>6045.885550640103</v>
      </c>
    </row>
    <row r="340">
      <c r="D340" t="str">
        <v>Western esposo yadira</v>
      </c>
      <c r="E340">
        <v>3894</v>
      </c>
      <c r="F340" t="str">
        <v>Mensajería</v>
      </c>
      <c r="G340">
        <f>(210084+39915.86)+100000</f>
        <v>349999.86</v>
      </c>
      <c r="J340">
        <f>G340/3704.87</f>
        <v>94.47021352975948</v>
      </c>
      <c r="K340">
        <f>E340+J340</f>
        <v>3988.4702135297593</v>
      </c>
    </row>
    <row r="341">
      <c r="D341" t="str">
        <v>Western hermana Yadira</v>
      </c>
      <c r="E341">
        <v>3000</v>
      </c>
      <c r="F341" t="str">
        <v xml:space="preserve">Mensajeria </v>
      </c>
      <c r="G341">
        <f>(210084+39915.86)+100000</f>
        <v>349999.86</v>
      </c>
      <c r="J341">
        <f>(G341/3704.87)+0.17</f>
        <v>94.64021352975948</v>
      </c>
      <c r="K341">
        <f>E341+J341</f>
        <v>3094.6402135297594</v>
      </c>
    </row>
    <row r="342">
      <c r="E342">
        <f>SUM(E337:E341)</f>
        <v>18094</v>
      </c>
      <c r="G342">
        <v>900000</v>
      </c>
      <c r="J342">
        <f>SUM(J339:J341)</f>
        <v>234.9959776996224</v>
      </c>
      <c r="K342">
        <f>SUM(K339:K341)</f>
        <v>13128.995977699622</v>
      </c>
    </row>
    <row r="345">
      <c r="E345">
        <f>SUM(E339:E341)</f>
        <v>12894</v>
      </c>
      <c r="J345">
        <f>+J342+E345</f>
        <v>13128.995977699622</v>
      </c>
    </row>
  </sheetData>
  <autoFilter ref="C100:K291"/>
  <mergeCells count="1">
    <mergeCell ref="D301:E301"/>
  </mergeCells>
  <pageMargins left="0.7" right="0.7" top="0.75" bottom="0.75" header="0.3" footer="0.3"/>
  <ignoredErrors>
    <ignoredError numberStoredAsText="1" sqref="A1:X347"/>
  </ignoredErrors>
  <legacyDrawing r:id="rId1"/>
</worksheet>
</file>

<file path=xl/worksheets/sheet6.xml><?xml version="1.0" encoding="utf-8"?>
<worksheet xmlns="http://schemas.openxmlformats.org/spreadsheetml/2006/main" xmlns:r="http://schemas.openxmlformats.org/officeDocument/2006/relationships">
  <dimension ref="A1:X249"/>
  <sheetViews>
    <sheetView workbookViewId="0" rightToLeft="0"/>
  </sheetViews>
  <sheetData>
    <row r="1">
      <c r="E1">
        <v>42400</v>
      </c>
    </row>
    <row r="2">
      <c r="I2">
        <v>1</v>
      </c>
    </row>
    <row r="3">
      <c r="I3">
        <v>2</v>
      </c>
    </row>
    <row r="4">
      <c r="D4" t="str">
        <v>BANCOS</v>
      </c>
      <c r="E4">
        <f>SUBTOTAL(9,E5:E5)</f>
        <v>772774870.7075005</v>
      </c>
      <c r="I4">
        <v>3</v>
      </c>
    </row>
    <row r="5">
      <c r="D5" t="str">
        <v>Bancos</v>
      </c>
      <c r="E5">
        <f>MARZO!E294</f>
        <v>772774870.7075005</v>
      </c>
      <c r="I5">
        <v>4</v>
      </c>
    </row>
    <row r="6">
      <c r="D6" t="str">
        <v>CLIENTES</v>
      </c>
      <c r="E6">
        <f>SUBTOTAL(9,E7:E36)</f>
        <v>277142497.66999996</v>
      </c>
    </row>
    <row r="7">
      <c r="C7" t="str">
        <v>Sin Pagar</v>
      </c>
      <c r="D7" t="str">
        <v>ACT&amp;J Consultores Factura 6598</v>
      </c>
      <c r="E7">
        <v>2031584.61</v>
      </c>
    </row>
    <row r="8">
      <c r="C8" t="str">
        <v>Sin Pagar</v>
      </c>
      <c r="D8" t="str">
        <v>AECID Factura # 6789</v>
      </c>
      <c r="E8">
        <v>34362712.65</v>
      </c>
    </row>
    <row r="9">
      <c r="C9" t="str">
        <v>Sin Pagar</v>
      </c>
      <c r="D9" t="str">
        <v>AECID Factura # 5-262</v>
      </c>
      <c r="E9">
        <v>2104000</v>
      </c>
    </row>
    <row r="10">
      <c r="C10" t="str">
        <v>Pagado</v>
      </c>
      <c r="D10" t="str">
        <v>Clarke Modet factura # 6790</v>
      </c>
      <c r="E10">
        <v>2804648.13</v>
      </c>
    </row>
    <row r="11">
      <c r="C11" t="str">
        <v>Sin Pagar</v>
      </c>
      <c r="D11" t="str">
        <v>Compassion international factura # XXXX</v>
      </c>
      <c r="E11">
        <v>6766084.2</v>
      </c>
    </row>
    <row r="12">
      <c r="C12" t="str">
        <v>Sin Pagar</v>
      </c>
      <c r="D12" t="str">
        <v>Consorcio HL-Gisaico #  6785</v>
      </c>
      <c r="E12">
        <f>3646434.25*0</f>
        <v>0</v>
      </c>
    </row>
    <row r="13">
      <c r="C13" t="str">
        <v>Sin Pagar</v>
      </c>
      <c r="D13" t="str">
        <v>Consorcio SK - HL 6745</v>
      </c>
      <c r="E13">
        <v>252331.2</v>
      </c>
    </row>
    <row r="14">
      <c r="C14" t="str">
        <v>Sin Pagar</v>
      </c>
      <c r="D14" t="str">
        <v>Corporación punto azul factura # 6661</v>
      </c>
      <c r="E14">
        <v>2015276.25</v>
      </c>
    </row>
    <row r="15">
      <c r="C15" t="str">
        <v>Sin Pagar</v>
      </c>
      <c r="D15" t="str">
        <v>Deel  Facturas  # 6728-6729-6730-6731-6732-6733-6734-6735-6736 ( Por monetizar)</v>
      </c>
      <c r="E15">
        <f>'MONETIZACIONES PEND'!$R$14</f>
        <v>41243759</v>
      </c>
    </row>
    <row r="16">
      <c r="C16" t="str">
        <v>Sin Pagar</v>
      </c>
      <c r="D16" t="str">
        <v>Deel  Facturas  # 6737-6738-6739-6740-6741 ( Por monetizar)</v>
      </c>
      <c r="E16">
        <f>'MONETIZACIONES PEND'!$R$15</f>
        <v>21043637</v>
      </c>
    </row>
    <row r="17">
      <c r="C17" t="str">
        <v>Sin Pagar</v>
      </c>
      <c r="D17" t="str">
        <v>Deel  Facturas  # 6325 ( Por monetizar)</v>
      </c>
      <c r="E17">
        <f>'MONETIZACIONES PEND'!$R$16</f>
        <v>5300165</v>
      </c>
    </row>
    <row r="18">
      <c r="C18" t="str">
        <v>Sin Pagar</v>
      </c>
      <c r="D18" t="str">
        <v>Dinterweb factura # 5646-5725-5805-5892-5974-6061</v>
      </c>
      <c r="E18">
        <f>7528323*0</f>
        <v>0</v>
      </c>
    </row>
    <row r="19">
      <c r="C19" t="str">
        <v>Sin Pagar</v>
      </c>
      <c r="D19" t="str">
        <v>Distritech facturas # 6631 Llega por Panamá</v>
      </c>
      <c r="E19">
        <v>987674.51</v>
      </c>
    </row>
    <row r="20">
      <c r="C20" t="str">
        <v>Sin Pagar</v>
      </c>
      <c r="D20" t="str">
        <v xml:space="preserve">Dream Tyme resort </v>
      </c>
      <c r="E20">
        <v>12075000.88</v>
      </c>
    </row>
    <row r="21">
      <c r="C21" t="str">
        <v>Sin Pagar</v>
      </c>
      <c r="D21" t="str">
        <v>Ecohl facturas 6690-6691-6692-6723-6724-6780-6781-6782</v>
      </c>
      <c r="E21">
        <f>3182508.68*0</f>
        <v>0</v>
      </c>
    </row>
    <row r="22">
      <c r="C22" t="str">
        <v>Sin Pagar</v>
      </c>
      <c r="D22" t="str">
        <v>Gilead Scense Colombia Factura # XXXX</v>
      </c>
      <c r="E22">
        <v>920132.14</v>
      </c>
    </row>
    <row r="23">
      <c r="C23" t="str">
        <v>Sin Pagar</v>
      </c>
      <c r="D23" t="str">
        <v>Global CS Colombia SAS -factura # 6778-5-272</v>
      </c>
      <c r="E23">
        <v>20244754</v>
      </c>
    </row>
    <row r="24">
      <c r="C24" t="str">
        <v>Sin Pagar</v>
      </c>
      <c r="D24" t="str">
        <v>Global Projects service AG facturas factura 6597-6663-6694-6758-221-256</v>
      </c>
      <c r="E24">
        <v>24139258</v>
      </c>
    </row>
    <row r="25">
      <c r="C25" t="str">
        <v>Sin Pagar</v>
      </c>
      <c r="D25" t="str">
        <v>Global Upside Factura #  6750</v>
      </c>
      <c r="E25">
        <f>'MONETIZACIONES PEND'!$R$12</f>
        <v>6825500</v>
      </c>
    </row>
    <row r="26">
      <c r="C26" t="str">
        <v>Sin Pagar</v>
      </c>
      <c r="D26" t="str">
        <v>HL Gestiones factura # 6395-6572</v>
      </c>
      <c r="E26">
        <f>1719065*0</f>
        <v>0</v>
      </c>
      <c r="I26">
        <v>4</v>
      </c>
    </row>
    <row r="27">
      <c r="C27" t="str">
        <v>Sin Pagar</v>
      </c>
      <c r="D27" t="str">
        <v>HL Ingenieros factura # 6678-6757</v>
      </c>
      <c r="E27">
        <f>667948.35*0</f>
        <v>0</v>
      </c>
    </row>
    <row r="28">
      <c r="C28" t="str">
        <v>Sin Pagar</v>
      </c>
      <c r="D28" t="str">
        <v>Hl Infraestructura factura # 6507-6512-6513-6514-6519</v>
      </c>
      <c r="E28">
        <f>24527869*0</f>
        <v>0</v>
      </c>
    </row>
    <row r="29">
      <c r="C29" t="str">
        <v>Sin Pagar</v>
      </c>
      <c r="D29" t="str">
        <v>Inversiones el Bosque factura # 6797</v>
      </c>
      <c r="E29">
        <f>2013039</f>
        <v>2013039</v>
      </c>
    </row>
    <row r="30">
      <c r="C30" t="str">
        <v>Pagado</v>
      </c>
      <c r="D30" t="str">
        <v>Live Systems technology factura # 6626</v>
      </c>
      <c r="E30">
        <f>1264316.04</f>
        <v>1264316.04</v>
      </c>
    </row>
    <row r="31">
      <c r="C31" t="str">
        <v>Sin Pagar</v>
      </c>
      <c r="D31" t="str">
        <v>Monica Londoño Factura 6573</v>
      </c>
      <c r="E31">
        <f>177905</f>
        <v>177905</v>
      </c>
    </row>
    <row r="32">
      <c r="C32" t="str">
        <v>Sin Pagar</v>
      </c>
      <c r="D32" t="str">
        <v>Ortho Clinical Diagnostics # 6794</v>
      </c>
      <c r="E32">
        <v>1451213.81</v>
      </c>
    </row>
    <row r="33">
      <c r="C33" t="str">
        <v>Sin Pagar</v>
      </c>
      <c r="D33" t="str">
        <v>Petrobras colombia Factura # 6752</v>
      </c>
      <c r="E33">
        <v>18093866.33</v>
      </c>
    </row>
    <row r="34">
      <c r="C34" t="str">
        <v>Sin Pagar</v>
      </c>
      <c r="D34" t="str">
        <v>TPL Logistics factura # 6796</v>
      </c>
      <c r="E34">
        <f>2033960.42</f>
        <v>2033960.42</v>
      </c>
    </row>
    <row r="35">
      <c r="C35" t="str">
        <v>Sin Pagar</v>
      </c>
      <c r="D35" t="str">
        <v>Safeguard World Inter Ltd Factura # 6575 a 6577</v>
      </c>
      <c r="E35">
        <f>SUM('MONETIZACIONES PEND'!$R$9:$R$11)</f>
        <v>21070829.5</v>
      </c>
    </row>
    <row r="36">
      <c r="C36" t="str">
        <v>Sin Pagar</v>
      </c>
      <c r="D36" t="str">
        <v>Solutions ingreso dinero de Panamá</v>
      </c>
      <c r="E36">
        <f>'MONETIZACIONES PEND'!$R$13</f>
        <v>47920850</v>
      </c>
    </row>
    <row r="37">
      <c r="D37" t="str">
        <v>EOR</v>
      </c>
      <c r="E37">
        <f>SUBTOTAL(9,E38:E86)</f>
        <v>2828512488.671092</v>
      </c>
      <c r="F37">
        <v>1</v>
      </c>
    </row>
    <row r="38">
      <c r="C38" t="str">
        <v>Sin Pagar</v>
      </c>
      <c r="D38" t="str">
        <v>Action Factura # XXXX</v>
      </c>
      <c r="E38">
        <v>1570694.5392724636</v>
      </c>
    </row>
    <row r="39">
      <c r="C39" t="str">
        <v>Sin Pagar</v>
      </c>
      <c r="D39" t="str">
        <v>Action Factura # X-XXX</v>
      </c>
      <c r="E39">
        <v>14278927.274793396</v>
      </c>
    </row>
    <row r="40">
      <c r="C40" t="str">
        <v>Sin Pagar</v>
      </c>
      <c r="D40" t="str">
        <v>Bubble BPM Factura # 6815</v>
      </c>
      <c r="E40">
        <f>'MONETIZACIONES PEND'!$Q$18</f>
        <v>470071.3472</v>
      </c>
    </row>
    <row r="41">
      <c r="C41" t="str">
        <v>Sin Pagar</v>
      </c>
      <c r="D41" t="str">
        <v>Bubble BPM Factura # 5-273</v>
      </c>
      <c r="E41">
        <f>'MONETIZACIONES PEND'!$Q$19</f>
        <v>4273385.8048</v>
      </c>
    </row>
    <row r="42">
      <c r="C42" t="str">
        <v>Sin Pagar</v>
      </c>
      <c r="D42" t="str">
        <v>Bubble BPM Factura # XXXX</v>
      </c>
      <c r="E42">
        <v>546032.4903449321</v>
      </c>
    </row>
    <row r="43">
      <c r="C43" t="str">
        <v>Sin Pagar</v>
      </c>
      <c r="D43" t="str">
        <v>Bubble BPM Factura # X-XXX</v>
      </c>
      <c r="E43">
        <v>4963927.799826693</v>
      </c>
    </row>
    <row r="44">
      <c r="C44" t="str">
        <v>Sin Pagar</v>
      </c>
      <c r="D44" t="str">
        <v>Edrington  Factura # XXXX</v>
      </c>
      <c r="E44">
        <v>2944619.7269184655</v>
      </c>
    </row>
    <row r="45">
      <c r="C45" t="str">
        <v>Sin Pagar</v>
      </c>
      <c r="D45" t="str">
        <v>Edrington  Factura # X-XXX</v>
      </c>
      <c r="E45">
        <v>53538585.59350456</v>
      </c>
    </row>
    <row r="46">
      <c r="C46" t="str">
        <v>Sin Pagar</v>
      </c>
      <c r="D46" t="str">
        <v>EPDM Factura # XXXX</v>
      </c>
      <c r="E46">
        <v>1221537.895069908</v>
      </c>
    </row>
    <row r="47">
      <c r="C47" t="str">
        <v>Sin Pagar</v>
      </c>
      <c r="D47" t="str">
        <v>EPDM Factura # X-XXX</v>
      </c>
      <c r="E47">
        <v>12215378.95069908</v>
      </c>
    </row>
    <row r="48">
      <c r="C48" t="str">
        <v>Sin Pagar</v>
      </c>
      <c r="D48" t="str">
        <v>Equus Global Expansion, LLC Factura # XXXX</v>
      </c>
      <c r="E48">
        <v>799725.6961137567</v>
      </c>
    </row>
    <row r="49">
      <c r="C49" t="str">
        <v>Sin Pagar</v>
      </c>
      <c r="D49" t="str">
        <v>Equus Global Expansion, LLC Factura # X-XXX</v>
      </c>
      <c r="E49">
        <v>1997970.1634842008</v>
      </c>
    </row>
    <row r="50">
      <c r="C50" t="str">
        <v>Sin Pagar</v>
      </c>
      <c r="D50" t="str">
        <v>Europortage Factura # XXXX</v>
      </c>
      <c r="E50">
        <v>4792287.072256347</v>
      </c>
    </row>
    <row r="51">
      <c r="C51" t="str">
        <v>Sin Pagar</v>
      </c>
      <c r="D51" t="str">
        <v>Europortage Factura # X-XXX</v>
      </c>
      <c r="E51">
        <v>75902155.8178022</v>
      </c>
    </row>
    <row r="52">
      <c r="C52" t="str">
        <v>Sin Pagar</v>
      </c>
      <c r="D52" t="str">
        <v>Hemmebarsch GMBH &amp; Co KG , factura # 6684 Marzo</v>
      </c>
      <c r="E52">
        <v>717615.65</v>
      </c>
    </row>
    <row r="53">
      <c r="C53" t="str">
        <v>Sin Pagar</v>
      </c>
      <c r="D53" t="str">
        <v>Hemmebarsch GMBH &amp; Co KG , factura # 2-13 Marzo</v>
      </c>
      <c r="E53">
        <v>7176043.7855</v>
      </c>
    </row>
    <row r="54">
      <c r="C54" t="str">
        <v>Sin Pagar</v>
      </c>
      <c r="D54" t="str">
        <v>Hemmebarsch GMBH &amp; Co KG , factura # 6685 Marzo</v>
      </c>
      <c r="E54">
        <v>479299.62549999997</v>
      </c>
    </row>
    <row r="55">
      <c r="C55" t="str">
        <v>Sin Pagar</v>
      </c>
      <c r="D55" t="str">
        <v>Hemmebarsch GMBH &amp; Co KG , factura # 2-14 Marzo</v>
      </c>
      <c r="E55">
        <v>4792883.5405</v>
      </c>
    </row>
    <row r="56">
      <c r="C56" t="str">
        <v>Sin Pagar</v>
      </c>
      <c r="D56" t="str">
        <v>Hemmebarsch GMBH &amp; Co KG , factura # 6700 Marzo</v>
      </c>
      <c r="E56">
        <v>352448.8795</v>
      </c>
    </row>
    <row r="57">
      <c r="C57" t="str">
        <v>Sin Pagar</v>
      </c>
      <c r="D57" t="str">
        <v>Hemmebarsch GMBH &amp; Co KG , factura # 5-224 Marzo</v>
      </c>
      <c r="E57">
        <v>3524562.7224</v>
      </c>
    </row>
    <row r="58">
      <c r="C58" t="str">
        <v>Sin Pagar</v>
      </c>
      <c r="D58" t="str">
        <v>Hemmebarsch GMBH &amp; Co KG , factura # 6771 Marzo</v>
      </c>
      <c r="E58">
        <v>462859.45139999996</v>
      </c>
    </row>
    <row r="59">
      <c r="C59" t="str">
        <v>Sin Pagar</v>
      </c>
      <c r="D59" t="str">
        <v>Hemmebarsch GMBH &amp; Co KG , factura # 5-246 Marzo</v>
      </c>
      <c r="E59">
        <v>4628742.3688</v>
      </c>
    </row>
    <row r="60">
      <c r="C60" t="str">
        <v>Sin Pagar</v>
      </c>
      <c r="D60" t="str">
        <v>Hong kong yonyou xinfushe cloud technology co., limited Factura XXXX</v>
      </c>
      <c r="E60">
        <v>3345894.3041707226</v>
      </c>
    </row>
    <row r="61">
      <c r="C61" t="str">
        <v>Sin Pagar</v>
      </c>
      <c r="D61" t="str">
        <v>Hong kong yonyou xinfushe cloud technology co., limited Factura 5-XXX</v>
      </c>
      <c r="E61">
        <v>59692503.873623565</v>
      </c>
    </row>
    <row r="62">
      <c r="C62" t="str">
        <v>Sin Pagar</v>
      </c>
      <c r="D62" t="str">
        <v>Flexco Factura # XXXX</v>
      </c>
      <c r="E62">
        <v>1338816.8865855152</v>
      </c>
    </row>
    <row r="63">
      <c r="C63" t="str">
        <v>Sin Pagar</v>
      </c>
      <c r="D63" t="str">
        <v>Flexco Factura # 5-XXX</v>
      </c>
      <c r="E63">
        <v>14875837.319014488</v>
      </c>
    </row>
    <row r="64">
      <c r="C64" t="str">
        <v>Sin Pagar</v>
      </c>
      <c r="D64" t="str">
        <v>Insider factura  # 5-XXX</v>
      </c>
      <c r="E64">
        <v>698811.9951000001</v>
      </c>
    </row>
    <row r="65">
      <c r="C65" t="str">
        <v>Sin Pagar</v>
      </c>
      <c r="D65" t="str">
        <v>Insider factura  # 5-XXX</v>
      </c>
      <c r="E65">
        <v>7704505.575</v>
      </c>
    </row>
    <row r="66">
      <c r="C66" t="str">
        <v>Sin Pagar</v>
      </c>
      <c r="D66" t="str">
        <v>Insider factura  # XXXX</v>
      </c>
      <c r="E66">
        <v>21745758.691800002</v>
      </c>
    </row>
    <row r="67">
      <c r="C67" t="str">
        <v>Sin Pagar</v>
      </c>
      <c r="D67" t="str">
        <v>Insider factura  # 2-XXX</v>
      </c>
      <c r="E67">
        <v>686318871.9753</v>
      </c>
    </row>
    <row r="68">
      <c r="C68" t="str">
        <v>Sin Pagar</v>
      </c>
      <c r="D68" t="str">
        <v>Minudoc OÜ ( SIFFI) Factura # XXXX</v>
      </c>
      <c r="E68">
        <v>788259.6250385499</v>
      </c>
    </row>
    <row r="69">
      <c r="C69" t="str">
        <v>Sin Pagar</v>
      </c>
      <c r="D69" t="str">
        <v>Minudoc OÜ ( SIFFI) Factura # 5-252</v>
      </c>
      <c r="E69">
        <v>7882450.465361449</v>
      </c>
    </row>
    <row r="70">
      <c r="C70" t="str">
        <v>Sin Pagar</v>
      </c>
      <c r="D70" t="str">
        <v>MKD Factura # XXXX</v>
      </c>
      <c r="E70">
        <v>510186.4248</v>
      </c>
    </row>
    <row r="71">
      <c r="C71" t="str">
        <v>Sin Pagar</v>
      </c>
      <c r="D71" t="str">
        <v>MKD Factura # 5-XXX</v>
      </c>
      <c r="E71">
        <v>4638085.2576</v>
      </c>
    </row>
    <row r="72">
      <c r="C72" t="str">
        <v>Sin Pagar</v>
      </c>
      <c r="D72" t="str">
        <v>Nazdar Factura # XXXX</v>
      </c>
      <c r="E72">
        <v>3613174.8160595368</v>
      </c>
    </row>
    <row r="73">
      <c r="C73" t="str">
        <v>Sin Pagar</v>
      </c>
      <c r="D73" t="str">
        <v>Nazdar Factura # 5-XXX</v>
      </c>
      <c r="E73">
        <v>60219309.761540465</v>
      </c>
    </row>
    <row r="74">
      <c r="C74" t="str">
        <v>Sin Pagar</v>
      </c>
      <c r="D74" t="str">
        <v>Neo Factura # XXXX</v>
      </c>
      <c r="E74">
        <v>5786118.204377905</v>
      </c>
    </row>
    <row r="75">
      <c r="C75" t="str">
        <v>Sin Pagar</v>
      </c>
      <c r="D75" t="str">
        <v>Neo Factura # FV-5-XXX</v>
      </c>
      <c r="E75">
        <v>72326237.9822221</v>
      </c>
    </row>
    <row r="76">
      <c r="C76" t="str">
        <v>Sin Pagar</v>
      </c>
      <c r="D76" t="str">
        <v>Oncehub Factura # XXXX</v>
      </c>
      <c r="E76">
        <v>877475.3780630965</v>
      </c>
    </row>
    <row r="77">
      <c r="C77" t="str">
        <v>Sin Pagar</v>
      </c>
      <c r="D77" t="str">
        <v>Oncehub Factura # 5-XXX</v>
      </c>
      <c r="E77">
        <v>12016513.441936903</v>
      </c>
    </row>
    <row r="78">
      <c r="C78" t="str">
        <v>Sin Pagar</v>
      </c>
      <c r="D78" t="str">
        <v>Poc Pharma Limited Factura # XXXX</v>
      </c>
      <c r="E78">
        <v>2339876.56</v>
      </c>
    </row>
    <row r="79">
      <c r="C79" t="str">
        <v>Sin Pagar</v>
      </c>
      <c r="D79" t="str">
        <v>Poc Pharma Limited Factura # 5-XXX</v>
      </c>
      <c r="E79">
        <v>13320855.36</v>
      </c>
    </row>
    <row r="80">
      <c r="C80" t="str">
        <v>Sin Pagar</v>
      </c>
      <c r="D80" t="str">
        <v>Remofirst Factura # 5-XXX</v>
      </c>
      <c r="E80">
        <v>1524795325.8927038</v>
      </c>
    </row>
    <row r="81">
      <c r="C81" t="str">
        <v>Sin Pagar</v>
      </c>
      <c r="D81" t="str">
        <v>Remofirst Factura # XXXX</v>
      </c>
      <c r="E81">
        <v>3216554.1384510556</v>
      </c>
    </row>
    <row r="82">
      <c r="C82" t="str">
        <v>Sin Pagar</v>
      </c>
      <c r="D82" t="str">
        <v>Rivermate Factura # XXXX</v>
      </c>
      <c r="E82">
        <v>1568505.6851801719</v>
      </c>
    </row>
    <row r="83">
      <c r="C83" t="str">
        <v>Sin Pagar</v>
      </c>
      <c r="D83" t="str">
        <v>Rivermate Factura # 5-XXX</v>
      </c>
      <c r="E83">
        <v>87240843.92170504</v>
      </c>
    </row>
    <row r="84">
      <c r="C84" t="str">
        <v>Sin Pagar</v>
      </c>
      <c r="D84" t="str">
        <v>Rivermate Factura # 5-XXX</v>
      </c>
      <c r="E84">
        <v>2309967.8341362863</v>
      </c>
    </row>
    <row r="85">
      <c r="C85" t="str">
        <v>Sin Pagar</v>
      </c>
      <c r="D85" t="str">
        <v>Root capital factura # XXXX</v>
      </c>
      <c r="E85">
        <v>2283114.858138515</v>
      </c>
    </row>
    <row r="86">
      <c r="C86" t="str">
        <v>Sin Pagar</v>
      </c>
      <c r="D86" t="str">
        <v>Root capital  # FV-5-XXX</v>
      </c>
      <c r="E86">
        <v>25408876.2474968</v>
      </c>
    </row>
    <row r="87">
      <c r="D87" t="str">
        <v>TOTAL INGRESOS</v>
      </c>
      <c r="E87">
        <f>SUBTOTAL(9,E4:E86)</f>
        <v>3878429857.0485926</v>
      </c>
      <c r="G87">
        <f>SUM(G6:G86)</f>
        <v>0</v>
      </c>
    </row>
    <row r="90">
      <c r="C90" t="str">
        <v xml:space="preserve">CUENTAS X PAGAR MES </v>
      </c>
      <c r="E90" t="str">
        <v>ABRIL</v>
      </c>
      <c r="F90" t="str">
        <v>Fecha de Elaboración:</v>
      </c>
      <c r="J90">
        <v>46113</v>
      </c>
    </row>
    <row r="91">
      <c r="C91" t="str">
        <v>Factura</v>
      </c>
      <c r="D91" t="str">
        <v>PROVEEDOR</v>
      </c>
      <c r="E91" t="str">
        <v>VALOR</v>
      </c>
      <c r="F91" t="str">
        <v>Fecha vencimiento</v>
      </c>
      <c r="G91" t="str">
        <v>Estado</v>
      </c>
      <c r="J91" t="str">
        <v>KPI</v>
      </c>
      <c r="K91" t="str">
        <v>Objeto</v>
      </c>
    </row>
    <row r="92">
      <c r="D92" t="str">
        <v>PAGOS ANTICIPADOS</v>
      </c>
      <c r="E92">
        <f>SUBTOTAL(9,E93:E95)</f>
        <v>17522648</v>
      </c>
    </row>
    <row r="93">
      <c r="A93" t="str">
        <f>G93</f>
        <v>Sin Pagar</v>
      </c>
      <c r="B93">
        <f>IF(I93&lt;=-1,1,IF(I93&lt;=5,2,IF(I93&lt;=15,3,IF(H93&lt;=60,4))))</f>
        <v>3</v>
      </c>
      <c r="D93" t="str">
        <v>Anticipo nómina Action</v>
      </c>
      <c r="E93">
        <v>4360000</v>
      </c>
      <c r="F93">
        <v>46126</v>
      </c>
      <c r="G93" t="str">
        <v>Sin Pagar</v>
      </c>
      <c r="H93">
        <f>IF(OR(G93="Sin pagar",G93="Pagar"),NETWORKDAYS($J$90,F93,'Festivos Colombia'!$A$3:$A$22),0)</f>
        <v>8</v>
      </c>
      <c r="I93">
        <f>NETWORKDAYS($J$90,F93,'Festivos Colombia'!$A$3:$A$22)</f>
        <v>8</v>
      </c>
      <c r="J93">
        <f>H93</f>
        <v>8</v>
      </c>
    </row>
    <row r="94">
      <c r="A94" t="str">
        <f>G94</f>
        <v>Sin Pagar</v>
      </c>
      <c r="B94">
        <f>IF(I94&lt;=-1,1,IF(I94&lt;=5,2,IF(I94&lt;=15,3,IF(H94&lt;=60,4))))</f>
        <v>3</v>
      </c>
      <c r="D94" t="str">
        <v>Anticipo nómina Nazdar</v>
      </c>
      <c r="E94">
        <v>9500000</v>
      </c>
      <c r="F94">
        <v>46126</v>
      </c>
      <c r="G94" t="str">
        <v>Sin Pagar</v>
      </c>
      <c r="H94">
        <f>IF(OR(G94="Sin pagar",G94="Pagar"),NETWORKDAYS($J$90,F94,'Festivos Colombia'!$A$3:$A$22),0)</f>
        <v>8</v>
      </c>
      <c r="I94">
        <f>NETWORKDAYS($J$90,F94,'Festivos Colombia'!$A$3:$A$22)</f>
        <v>8</v>
      </c>
      <c r="J94">
        <f>H94</f>
        <v>8</v>
      </c>
    </row>
    <row r="95">
      <c r="A95" t="str">
        <f>G95</f>
        <v>Sin Pagar</v>
      </c>
      <c r="B95">
        <f>IF(I95&lt;=-1,1,IF(I95&lt;=5,2,IF(I95&lt;=15,3,IF(H95&lt;=60,4))))</f>
        <v>4</v>
      </c>
      <c r="D95" t="str">
        <v>Anticipo nómina Action</v>
      </c>
      <c r="E95">
        <v>3662648</v>
      </c>
      <c r="F95">
        <v>46142</v>
      </c>
      <c r="G95" t="str">
        <v>Sin Pagar</v>
      </c>
      <c r="H95">
        <f>IF(OR(G95="Sin pagar",G95="Pagar"),NETWORKDAYS($J$90,F95,'Festivos Colombia'!$A$3:$A$22),0)</f>
        <v>20</v>
      </c>
      <c r="I95">
        <f>NETWORKDAYS($J$90,F95,'Festivos Colombia'!$A$3:$A$22)</f>
        <v>20</v>
      </c>
      <c r="J95">
        <f>H95</f>
        <v>20</v>
      </c>
    </row>
    <row r="96">
      <c r="D96" t="str">
        <v xml:space="preserve">SEGURIDAD SOCIAL   </v>
      </c>
      <c r="E96">
        <f>SUBTOTAL(9,E97:E97)</f>
        <v>530117800</v>
      </c>
    </row>
    <row r="97">
      <c r="A97" t="str">
        <f>G97</f>
        <v>Sin Pagar</v>
      </c>
      <c r="B97">
        <f>IF(I97&lt;=-1,1,IF(I97&lt;=5,2,IF(I97&lt;=15,3,IF(H97&lt;=60,4))))</f>
        <v>3</v>
      </c>
      <c r="C97">
        <v>176206200</v>
      </c>
      <c r="D97" t="str">
        <v xml:space="preserve">Seguridad social </v>
      </c>
      <c r="E97">
        <v>530117800</v>
      </c>
      <c r="F97">
        <v>46127</v>
      </c>
      <c r="G97" t="str">
        <v>Sin Pagar</v>
      </c>
      <c r="H97">
        <f>IF(OR(G97="Sin pagar",G97="Pagar"),NETWORKDAYS($J$90,F97,'Festivos Colombia'!$A$3:$A$22),0)</f>
        <v>9</v>
      </c>
      <c r="I97">
        <f>NETWORKDAYS($J$90,F97,'Festivos Colombia'!$A$3:$A$22)</f>
        <v>9</v>
      </c>
      <c r="J97">
        <f>H97</f>
        <v>9</v>
      </c>
    </row>
    <row r="98">
      <c r="D98" t="str">
        <v>AFC´S</v>
      </c>
      <c r="E98">
        <f>SUBTOTAL(9,E99:E101)</f>
        <v>14755460</v>
      </c>
    </row>
    <row r="99">
      <c r="A99" t="str">
        <f>G99</f>
        <v>Sin Pagar</v>
      </c>
      <c r="B99">
        <f>IF(I99&lt;=-1,1,IF(I99&lt;=5,2,IF(I99&lt;=15,3,IF(H99&lt;=60,4))))</f>
        <v>4</v>
      </c>
      <c r="D99" t="str">
        <v xml:space="preserve">AFC Dafuturo cheque </v>
      </c>
      <c r="E99">
        <v>1000000</v>
      </c>
      <c r="F99">
        <v>46142</v>
      </c>
      <c r="G99" t="str">
        <v>Sin Pagar</v>
      </c>
      <c r="H99">
        <f>IF(OR(G99="Sin pagar",G99="Pagar"),NETWORKDAYS($J$90,F99,'Festivos Colombia'!$A$3:$A$22),0)</f>
        <v>20</v>
      </c>
      <c r="I99">
        <f>NETWORKDAYS($J$90,F99,'Festivos Colombia'!$A$3:$A$22)</f>
        <v>20</v>
      </c>
      <c r="J99">
        <f>H99</f>
        <v>20</v>
      </c>
    </row>
    <row r="100">
      <c r="A100" t="str">
        <f>G100</f>
        <v>Sin Pagar</v>
      </c>
      <c r="B100">
        <f>IF(I100&lt;=-1,1,IF(I100&lt;=5,2,IF(I100&lt;=15,3,IF(H100&lt;=60,4))))</f>
        <v>4</v>
      </c>
      <c r="D100" t="str">
        <v xml:space="preserve">AFC OER electronico </v>
      </c>
      <c r="E100">
        <f>7600000+4000000</f>
        <v>11600000</v>
      </c>
      <c r="F100">
        <v>46142</v>
      </c>
      <c r="G100" t="str">
        <v>Sin Pagar</v>
      </c>
      <c r="H100">
        <f>IF(OR(G100="Sin pagar",G100="Pagar"),NETWORKDAYS($J$90,F100,'Festivos Colombia'!$A$3:$A$22),0)</f>
        <v>20</v>
      </c>
      <c r="I100">
        <f>NETWORKDAYS($J$90,F100,'Festivos Colombia'!$A$3:$A$22)</f>
        <v>20</v>
      </c>
      <c r="J100">
        <f>H100</f>
        <v>20</v>
      </c>
    </row>
    <row r="101">
      <c r="A101" t="str">
        <f>G101</f>
        <v>Sin Pagar</v>
      </c>
      <c r="B101">
        <f>IF(I101&lt;=-1,1,IF(I101&lt;=5,2,IF(I101&lt;=15,3,IF(H101&lt;=60,4))))</f>
        <v>4</v>
      </c>
      <c r="D101" t="str">
        <v xml:space="preserve">AFC Edward Forero electronico </v>
      </c>
      <c r="E101">
        <v>2155460</v>
      </c>
      <c r="F101">
        <v>46142</v>
      </c>
      <c r="G101" t="str">
        <v>Sin Pagar</v>
      </c>
      <c r="H101">
        <f>IF(OR(G101="Sin pagar",G101="Pagar"),NETWORKDAYS($J$90,F101,'Festivos Colombia'!$A$3:$A$22),0)</f>
        <v>20</v>
      </c>
      <c r="I101">
        <f>NETWORKDAYS($J$90,F101,'Festivos Colombia'!$A$3:$A$22)</f>
        <v>20</v>
      </c>
      <c r="J101">
        <f>H101</f>
        <v>20</v>
      </c>
    </row>
    <row r="102">
      <c r="D102" t="str">
        <v xml:space="preserve">IMPUESTOS </v>
      </c>
      <c r="E102">
        <f>SUBTOTAL(9,E103:E103)</f>
        <v>239676790</v>
      </c>
      <c r="J102">
        <f>H102</f>
        <v>0</v>
      </c>
    </row>
    <row r="103">
      <c r="A103" t="str">
        <f>G103</f>
        <v>Sin Pagar</v>
      </c>
      <c r="B103">
        <f>IF(I103&lt;=-1,1,IF(I103&lt;=5,2,IF(I103&lt;=15,3,IF(H103&lt;=60,4))))</f>
        <v>3</v>
      </c>
      <c r="D103" t="str">
        <v xml:space="preserve">RETENCIÓN EN LA FUENTE </v>
      </c>
      <c r="E103">
        <v>239676790</v>
      </c>
      <c r="F103">
        <v>46132</v>
      </c>
      <c r="G103" t="str">
        <v>Sin Pagar</v>
      </c>
      <c r="H103">
        <f>IF(OR(G103="Sin pagar",G103="Pagar"),NETWORKDAYS($J$90,F103,'Festivos Colombia'!$A$3:$A$22),0)</f>
        <v>12</v>
      </c>
      <c r="I103">
        <f>NETWORKDAYS($J$90,F103,'Festivos Colombia'!$A$3:$A$22)</f>
        <v>12</v>
      </c>
      <c r="J103">
        <f>H103</f>
        <v>12</v>
      </c>
    </row>
    <row r="104">
      <c r="D104" t="str">
        <v>ARRIENDO, INTERNET, TELEFONIA Y GASTOS DE OFICINA</v>
      </c>
      <c r="E104">
        <f>SUBTOTAL(9,E105:E115)</f>
        <v>5605155.36</v>
      </c>
      <c r="J104">
        <f>H104</f>
        <v>0</v>
      </c>
    </row>
    <row r="105">
      <c r="A105" t="str">
        <f>G105</f>
        <v>Sin Pagar</v>
      </c>
      <c r="B105">
        <f>IF(I105&lt;=-1,1,IF(I105&lt;=5,2,IF(I105&lt;=15,3,IF(H105&lt;=60,4))))</f>
        <v>3</v>
      </c>
      <c r="C105" t="str">
        <v>FE-56934</v>
      </c>
      <c r="D105" t="str">
        <v xml:space="preserve">BUK colombia SAS-Sucricpión Febrero 2026 Bukplay E-learning - Enero 2026 | 53 empleados </v>
      </c>
      <c r="E105">
        <f>1244113.7</f>
        <v>1244113.7</v>
      </c>
      <c r="F105">
        <v>46122</v>
      </c>
      <c r="G105" t="str">
        <v>Sin Pagar</v>
      </c>
      <c r="H105">
        <f>IF(OR(G105="Sin pagar",G105="Pagar"),NETWORKDAYS($J$90,F105,'Festivos Colombia'!$A$3:$A$22),0)</f>
        <v>6</v>
      </c>
      <c r="I105">
        <f>NETWORKDAYS($J$90,F105,'Festivos Colombia'!$A$3:$A$22)</f>
        <v>6</v>
      </c>
      <c r="J105">
        <f>H105</f>
        <v>6</v>
      </c>
      <c r="K105" t="str">
        <v>Sin radicar</v>
      </c>
    </row>
    <row r="106">
      <c r="A106" t="str">
        <f>G106</f>
        <v>Sin Pagar</v>
      </c>
      <c r="B106">
        <f>IF(I106&lt;=-1,1,IF(I106&lt;=5,2,IF(I106&lt;=15,3,IF(H106&lt;=60,4))))</f>
        <v>3</v>
      </c>
      <c r="C106" t="str">
        <v>FEWP-6810</v>
      </c>
      <c r="D106" t="str">
        <v>WORKPLACE SOLUTIONS GROUP SAS (SPACIO)</v>
      </c>
      <c r="E106">
        <f>358066.76</f>
        <v>358066.76</v>
      </c>
      <c r="F106">
        <v>46122</v>
      </c>
      <c r="G106" t="str">
        <v>Sin Pagar</v>
      </c>
      <c r="H106">
        <f>IF(OR(G106="Sin pagar",G106="Pagar"),NETWORKDAYS($J$90,F106,'Festivos Colombia'!$A$3:$A$22),0)</f>
        <v>6</v>
      </c>
      <c r="I106">
        <f>NETWORKDAYS($J$90,F106,'Festivos Colombia'!$A$3:$A$22)</f>
        <v>6</v>
      </c>
      <c r="J106">
        <f>H106</f>
        <v>6</v>
      </c>
    </row>
    <row r="107">
      <c r="A107" t="str">
        <f>G107</f>
        <v>Sin Pagar</v>
      </c>
      <c r="B107">
        <f>IF(I107&lt;=-1,1,IF(I107&lt;=5,2,IF(I107&lt;=15,3,IF(H107&lt;=60,4))))</f>
        <v>3</v>
      </c>
      <c r="C107">
        <v>28184</v>
      </c>
      <c r="D107" t="str">
        <v>Parking remofirst</v>
      </c>
      <c r="E107">
        <f>634400</f>
        <v>634400</v>
      </c>
      <c r="F107">
        <v>46122</v>
      </c>
      <c r="G107" t="str">
        <v>Sin Pagar</v>
      </c>
      <c r="H107">
        <f>IF(OR(G107="Sin pagar",G107="Pagar"),NETWORKDAYS($J$90,F107,'Festivos Colombia'!$A$3:$A$22),0)</f>
        <v>6</v>
      </c>
      <c r="I107">
        <f>NETWORKDAYS($J$90,F107,'Festivos Colombia'!$A$3:$A$22)</f>
        <v>6</v>
      </c>
      <c r="J107">
        <f>H107</f>
        <v>6</v>
      </c>
    </row>
    <row r="108">
      <c r="A108" t="str">
        <f>G108</f>
        <v>Sin Pagar</v>
      </c>
      <c r="B108">
        <f>IF(I108&lt;=-1,1,IF(I108&lt;=5,2,IF(I108&lt;=15,3,IF(H108&lt;=60,4))))</f>
        <v>3</v>
      </c>
      <c r="C108" t="str">
        <v>580831444002</v>
      </c>
      <c r="D108" t="str">
        <v>Movistar Office 365</v>
      </c>
      <c r="E108">
        <f>362715</f>
        <v>362715</v>
      </c>
      <c r="F108">
        <v>46123</v>
      </c>
      <c r="G108" t="str">
        <v>Sin Pagar</v>
      </c>
      <c r="H108">
        <f>IF(OR(G108="Sin pagar",G108="Pagar"),NETWORKDAYS($J$90,F108,'Festivos Colombia'!$A$3:$A$22),0)</f>
        <v>6</v>
      </c>
      <c r="I108">
        <f>NETWORKDAYS($J$90,F108,'Festivos Colombia'!$A$3:$A$22)</f>
        <v>6</v>
      </c>
      <c r="J108">
        <f>H108</f>
        <v>6</v>
      </c>
    </row>
    <row r="109">
      <c r="A109" t="str">
        <f>G109</f>
        <v>Sin Pagar</v>
      </c>
      <c r="B109">
        <f>IF(I109&lt;=-1,1,IF(I109&lt;=5,2,IF(I109&lt;=15,3,IF(H109&lt;=60,4))))</f>
        <v>3</v>
      </c>
      <c r="C109" t="str">
        <v>BEV24903802</v>
      </c>
      <c r="D109" t="str">
        <v>Movistar Office 365- Linea nueva de SG</v>
      </c>
      <c r="E109">
        <f>110900</f>
        <v>110900</v>
      </c>
      <c r="F109">
        <v>46129</v>
      </c>
      <c r="G109" t="str">
        <v>Sin Pagar</v>
      </c>
      <c r="H109">
        <f>IF(OR(G109="Sin pagar",G109="Pagar"),NETWORKDAYS($J$90,F109,'Festivos Colombia'!$A$3:$A$22),0)</f>
        <v>11</v>
      </c>
      <c r="I109">
        <f>NETWORKDAYS($J$90,F109,'Festivos Colombia'!$A$3:$A$22)</f>
        <v>11</v>
      </c>
      <c r="J109">
        <f>H109</f>
        <v>11</v>
      </c>
    </row>
    <row r="110">
      <c r="A110" t="str">
        <f>G110</f>
        <v>Sin Pagar</v>
      </c>
      <c r="B110">
        <f>IF(I110&lt;=-1,1,IF(I110&lt;=5,2,IF(I110&lt;=15,3,IF(H110&lt;=60,4))))</f>
        <v>3</v>
      </c>
      <c r="C110">
        <v>64</v>
      </c>
      <c r="D110" t="str">
        <v>Rafael Mier (arriendo Bodega para S&amp;P)</v>
      </c>
      <c r="E110">
        <v>180000</v>
      </c>
      <c r="F110">
        <v>46129</v>
      </c>
      <c r="G110" t="str">
        <v>Sin Pagar</v>
      </c>
      <c r="H110">
        <f>IF(OR(G110="Sin pagar",G110="Pagar"),NETWORKDAYS($J$90,F110,'Festivos Colombia'!$A$3:$A$22),0)</f>
        <v>11</v>
      </c>
      <c r="I110">
        <f>NETWORKDAYS($J$90,F110,'Festivos Colombia'!$A$3:$A$22)</f>
        <v>11</v>
      </c>
      <c r="J110">
        <f>H110</f>
        <v>11</v>
      </c>
      <c r="K110" t="str">
        <v>Sin radicar</v>
      </c>
    </row>
    <row r="111">
      <c r="A111" t="str">
        <f>G111</f>
        <v>Sin Pagar</v>
      </c>
      <c r="B111">
        <f>IF(I111&lt;=-1,1,IF(I111&lt;=5,2,IF(I111&lt;=15,3,IF(H111&lt;=60,4))))</f>
        <v>3</v>
      </c>
      <c r="C111" t="str">
        <v>003 -292523658</v>
      </c>
      <c r="D111" t="str">
        <v>Claro Office 365</v>
      </c>
      <c r="E111">
        <v>1504416</v>
      </c>
      <c r="F111">
        <v>46129</v>
      </c>
      <c r="G111" t="str">
        <v>Sin Pagar</v>
      </c>
      <c r="H111">
        <f>IF(OR(G111="Sin pagar",G111="Pagar"),NETWORKDAYS($J$90,F111,'Festivos Colombia'!$A$3:$A$22),0)</f>
        <v>11</v>
      </c>
      <c r="I111">
        <f>NETWORKDAYS($J$90,F111,'Festivos Colombia'!$A$3:$A$22)</f>
        <v>11</v>
      </c>
      <c r="J111">
        <f>H111</f>
        <v>11</v>
      </c>
      <c r="K111" t="str">
        <v>Sin radicar</v>
      </c>
    </row>
    <row r="112">
      <c r="A112" t="str">
        <f>G112</f>
        <v>Sin Pagar</v>
      </c>
      <c r="B112">
        <f>IF(I112&lt;=-1,1,IF(I112&lt;=5,2,IF(I112&lt;=15,3,IF(H112&lt;=60,4))))</f>
        <v>3</v>
      </c>
      <c r="C112">
        <v>6038761603</v>
      </c>
      <c r="D112" t="str">
        <v>Claro-Telefonia</v>
      </c>
      <c r="E112">
        <v>810543.9</v>
      </c>
      <c r="F112">
        <v>46129</v>
      </c>
      <c r="G112" t="str">
        <v>Sin Pagar</v>
      </c>
      <c r="H112">
        <f>IF(OR(G112="Sin pagar",G112="Pagar"),NETWORKDAYS($J$90,F112,'Festivos Colombia'!$A$3:$A$22),0)</f>
        <v>11</v>
      </c>
      <c r="I112">
        <f>NETWORKDAYS($J$90,F112,'Festivos Colombia'!$A$3:$A$22)</f>
        <v>11</v>
      </c>
      <c r="J112">
        <f>H112</f>
        <v>11</v>
      </c>
      <c r="K112" t="str">
        <v>Sin radicar</v>
      </c>
    </row>
    <row r="113">
      <c r="A113" t="str">
        <f>G113</f>
        <v>Sin Pagar</v>
      </c>
      <c r="B113">
        <f>IF(I113&lt;=-1,1,IF(I113&lt;=5,2,IF(I113&lt;=15,3,IF(H113&lt;=60,4))))</f>
        <v>4</v>
      </c>
      <c r="C113">
        <v>2</v>
      </c>
      <c r="D113" t="str">
        <v>David Alejandro Aguilar Suarez - Custodia de computadores</v>
      </c>
      <c r="E113">
        <v>300000</v>
      </c>
      <c r="F113">
        <v>46142</v>
      </c>
      <c r="G113" t="str">
        <v>Sin Pagar</v>
      </c>
      <c r="H113">
        <f>IF(OR(G113="Sin pagar",G113="Pagar"),NETWORKDAYS($J$90,F113,'Festivos Colombia'!$A$3:$A$22),0)</f>
        <v>20</v>
      </c>
      <c r="I113">
        <f>NETWORKDAYS($J$90,F113,'Festivos Colombia'!$A$3:$A$22)</f>
        <v>20</v>
      </c>
      <c r="J113">
        <f>H113</f>
        <v>20</v>
      </c>
      <c r="K113" t="str">
        <v>Sin radicar</v>
      </c>
    </row>
    <row r="114">
      <c r="A114" t="str">
        <f>G114</f>
        <v>Sin Pagar</v>
      </c>
      <c r="B114">
        <f>IF(I114&lt;=-1,1,IF(I114&lt;=5,2,IF(I114&lt;=15,3,IF(H114&lt;=60,4))))</f>
        <v>4</v>
      </c>
      <c r="C114" t="str">
        <v>193</v>
      </c>
      <c r="D114" t="str">
        <v>Caja menor</v>
      </c>
      <c r="E114">
        <v>100000</v>
      </c>
      <c r="F114">
        <v>46142</v>
      </c>
      <c r="G114" t="str">
        <v>Sin Pagar</v>
      </c>
      <c r="H114">
        <f>IF(OR(G114="Sin pagar",G114="Pagar"),NETWORKDAYS($J$90,F114,'Festivos Colombia'!$A$3:$A$22),0)</f>
        <v>20</v>
      </c>
      <c r="I114">
        <f>NETWORKDAYS($J$90,F114,'Festivos Colombia'!$A$3:$A$22)</f>
        <v>20</v>
      </c>
      <c r="J114">
        <f>H114</f>
        <v>20</v>
      </c>
      <c r="K114" t="str">
        <v>Sin radicar</v>
      </c>
    </row>
    <row r="115">
      <c r="A115" t="str">
        <f>G115</f>
        <v>Cancelado</v>
      </c>
      <c r="B115">
        <f>IF(I115&lt;=-1,1,IF(I115&lt;=5,2,IF(I115&lt;=15,3,IF(H115&lt;=60,4))))</f>
        <v>2</v>
      </c>
      <c r="C115" t="str">
        <v>014F18743905</v>
      </c>
      <c r="D115" t="str">
        <v>Seguros mundial -Póliza cumplimiento  100016141 Anexo 3. Certificado 130090786</v>
      </c>
      <c r="E115">
        <f>252011.48*0</f>
        <v>0</v>
      </c>
      <c r="F115">
        <v>46118</v>
      </c>
      <c r="G115" t="str">
        <v>Cancelado</v>
      </c>
      <c r="H115">
        <f>IF(OR(G115="Sin pagar",G115="Pagar"),NETWORKDAYS($J$90,F115,'Festivos Colombia'!$A$3:$A$22),0)</f>
        <v>0</v>
      </c>
      <c r="I115">
        <f>NETWORKDAYS($J$90,F115,'Festivos Colombia'!$A$3:$A$22)</f>
        <v>2</v>
      </c>
      <c r="J115">
        <f>H115</f>
        <v>0</v>
      </c>
    </row>
    <row r="116">
      <c r="D116" t="str">
        <v>PLANES COMPLEMENTARIOS Y PREPAGADAS</v>
      </c>
      <c r="E116">
        <f>SUBTOTAL(9,E117:E118)</f>
        <v>1868879</v>
      </c>
    </row>
    <row r="117">
      <c r="A117" t="str">
        <f>G117</f>
        <v>Sin Pagar</v>
      </c>
      <c r="B117">
        <f>IF(I117&lt;=-1,1,IF(I117&lt;=5,2,IF(I117&lt;=15,3,IF(H117&lt;=60,4))))</f>
        <v>4</v>
      </c>
      <c r="C117" t="str">
        <v>SD01 17795173</v>
      </c>
      <c r="D117" t="str">
        <v>Plan medicina prepagada Eduard Forero</v>
      </c>
      <c r="E117">
        <v>1064823</v>
      </c>
      <c r="F117">
        <v>46139</v>
      </c>
      <c r="G117" t="str">
        <v>Sin Pagar</v>
      </c>
      <c r="H117">
        <f>IF(OR(G117="Sin pagar",G117="Pagar"),NETWORKDAYS($J$90,F117,'Festivos Colombia'!$A$3:$A$22),0)</f>
        <v>17</v>
      </c>
      <c r="I117">
        <f>NETWORKDAYS($J$90,F117,'Festivos Colombia'!$A$3:$A$22)</f>
        <v>17</v>
      </c>
      <c r="J117">
        <f>H117</f>
        <v>17</v>
      </c>
      <c r="K117" t="str">
        <v>Sin radicar</v>
      </c>
    </row>
    <row r="118">
      <c r="A118" t="str">
        <f>G118</f>
        <v>Sin Pagar</v>
      </c>
      <c r="B118">
        <f>IF(I118&lt;=-1,1,IF(I118&lt;=5,2,IF(I118&lt;=15,3,IF(H118&lt;=60,4))))</f>
        <v>4</v>
      </c>
      <c r="C118" t="str">
        <v>219912177994</v>
      </c>
      <c r="D118" t="str">
        <v>Plan complementario Ricardo Arambulo</v>
      </c>
      <c r="E118">
        <f>804056</f>
        <v>804056</v>
      </c>
      <c r="F118">
        <v>46139</v>
      </c>
      <c r="G118" t="str">
        <v>Sin Pagar</v>
      </c>
      <c r="H118">
        <f>IF(OR(G118="Sin pagar",G118="Pagar"),NETWORKDAYS($J$90,F118,'Festivos Colombia'!$A$3:$A$22),0)</f>
        <v>17</v>
      </c>
      <c r="I118">
        <f>NETWORKDAYS($J$90,F118,'Festivos Colombia'!$A$3:$A$22)</f>
        <v>17</v>
      </c>
      <c r="J118">
        <f>H118</f>
        <v>17</v>
      </c>
      <c r="K118" t="str">
        <v>Sin radicar</v>
      </c>
    </row>
    <row r="119">
      <c r="D119" t="str">
        <v>PÓLIZAS Y SEGUROS</v>
      </c>
      <c r="E119">
        <f>SUBTOTAL(9,E120:E122)</f>
        <v>11348818</v>
      </c>
    </row>
    <row r="120">
      <c r="A120" t="str">
        <f>G120</f>
        <v>Sin Pagar</v>
      </c>
      <c r="B120">
        <f>IF(I120&lt;=-1,1,IF(I120&lt;=5,2,IF(I120&lt;=15,3,IF(H120&lt;=60,4))))</f>
        <v>3</v>
      </c>
      <c r="C120" t="str">
        <v>20833458887</v>
      </c>
      <c r="D120" t="str">
        <v>Poliza Suramericana Póliza #  083004098664</v>
      </c>
      <c r="E120">
        <v>726513</v>
      </c>
      <c r="F120">
        <v>46122</v>
      </c>
      <c r="G120" t="str">
        <v>Sin Pagar</v>
      </c>
      <c r="H120">
        <f>IF(OR(G120="Sin pagar",G120="Pagar"),NETWORKDAYS($J$90,F120,'Festivos Colombia'!$A$3:$A$22),0)</f>
        <v>6</v>
      </c>
      <c r="I120">
        <f>NETWORKDAYS($J$90,F120,'Festivos Colombia'!$A$3:$A$22)</f>
        <v>6</v>
      </c>
      <c r="J120">
        <f>H120</f>
        <v>6</v>
      </c>
    </row>
    <row r="121">
      <c r="A121" t="str">
        <f>G121</f>
        <v>Sin Pagar</v>
      </c>
      <c r="B121">
        <f>IF(I121&lt;=-1,1,IF(I121&lt;=5,2,IF(I121&lt;=15,3,IF(H121&lt;=60,4))))</f>
        <v>4</v>
      </c>
      <c r="C121" t="str">
        <v>21341642</v>
      </c>
      <c r="D121" t="str">
        <v>Poliza Suramericana Póliza #  083004098664</v>
      </c>
      <c r="E121">
        <v>726513</v>
      </c>
      <c r="F121">
        <v>46142</v>
      </c>
      <c r="G121" t="str">
        <v>Sin Pagar</v>
      </c>
      <c r="H121">
        <f>IF(OR(G121="Sin pagar",G121="Pagar"),NETWORKDAYS($J$90,F121,'Festivos Colombia'!$A$3:$A$22),0)</f>
        <v>20</v>
      </c>
      <c r="I121">
        <f>NETWORKDAYS($J$90,F121,'Festivos Colombia'!$A$3:$A$22)</f>
        <v>20</v>
      </c>
      <c r="J121">
        <f>H121</f>
        <v>20</v>
      </c>
    </row>
    <row r="122">
      <c r="A122" t="str">
        <f>G122</f>
        <v>Sin Pagar</v>
      </c>
      <c r="B122">
        <f>IF(I122&lt;=-1,1,IF(I122&lt;=5,2,IF(I122&lt;=15,3,IF(H122&lt;=60,4))))</f>
        <v>4</v>
      </c>
      <c r="C122">
        <v>14126873</v>
      </c>
      <c r="D122" t="str">
        <v>Poliza Suramericana Póliza #  091000808492</v>
      </c>
      <c r="E122">
        <f>9895792</f>
        <v>9895792</v>
      </c>
      <c r="F122">
        <v>46142</v>
      </c>
      <c r="G122" t="str">
        <v>Sin Pagar</v>
      </c>
      <c r="H122">
        <f>IF(OR(G122="Sin pagar",G122="Pagar"),NETWORKDAYS($J$90,F122,'Festivos Colombia'!$A$3:$A$22),0)</f>
        <v>20</v>
      </c>
      <c r="I122">
        <f>NETWORKDAYS($J$90,F122,'Festivos Colombia'!$A$3:$A$22)</f>
        <v>20</v>
      </c>
      <c r="J122">
        <f>H122</f>
        <v>20</v>
      </c>
    </row>
    <row r="123">
      <c r="D123" t="str">
        <v>SERVICIOS DE MENSAJERÍA</v>
      </c>
      <c r="E123">
        <f>SUBTOTAL(9,E124:E129)</f>
        <v>670000</v>
      </c>
    </row>
    <row r="124">
      <c r="A124" t="str">
        <f>G124</f>
        <v>Sin Pagar</v>
      </c>
      <c r="B124">
        <f>IF(I124&lt;=-1,1,IF(I124&lt;=5,2,IF(I124&lt;=15,3,IF(H124&lt;=60,4))))</f>
        <v>3</v>
      </c>
      <c r="C124">
        <v>23</v>
      </c>
      <c r="D124" t="str">
        <v>Mundo express</v>
      </c>
      <c r="E124">
        <v>89000</v>
      </c>
      <c r="F124">
        <v>46122</v>
      </c>
      <c r="G124" t="str">
        <v>Sin Pagar</v>
      </c>
      <c r="H124">
        <f>IF(OR(G124="Sin pagar",G124="Pagar"),NETWORKDAYS($J$90,F124,'Festivos Colombia'!$A$3:$A$22),0)</f>
        <v>6</v>
      </c>
      <c r="I124">
        <f>NETWORKDAYS($J$90,F124,'Festivos Colombia'!$A$3:$A$22)</f>
        <v>6</v>
      </c>
      <c r="J124">
        <f>H124</f>
        <v>6</v>
      </c>
    </row>
    <row r="125">
      <c r="A125" t="str">
        <f>G125</f>
        <v>Sin Pagar</v>
      </c>
      <c r="B125">
        <f>IF(I125&lt;=-1,1,IF(I125&lt;=5,2,IF(I125&lt;=15,3,IF(H125&lt;=60,4))))</f>
        <v>3</v>
      </c>
      <c r="C125">
        <v>66</v>
      </c>
      <c r="D125" t="str">
        <v>Yecid Martin</v>
      </c>
      <c r="E125">
        <v>39000</v>
      </c>
      <c r="F125">
        <v>46122</v>
      </c>
      <c r="G125" t="str">
        <v>Sin Pagar</v>
      </c>
      <c r="H125">
        <f>IF(OR(G125="Sin pagar",G125="Pagar"),NETWORKDAYS($J$90,F125,'Festivos Colombia'!$A$3:$A$22),0)</f>
        <v>6</v>
      </c>
      <c r="I125">
        <f>NETWORKDAYS($J$90,F125,'Festivos Colombia'!$A$3:$A$22)</f>
        <v>6</v>
      </c>
      <c r="J125">
        <f>H125</f>
        <v>6</v>
      </c>
      <c r="K125" t="str">
        <v>Sin radicar</v>
      </c>
    </row>
    <row r="126">
      <c r="A126" t="str">
        <f>G126</f>
        <v>Sin Pagar</v>
      </c>
      <c r="B126">
        <f>IF(I126&lt;=-1,1,IF(I126&lt;=5,2,IF(I126&lt;=15,3,IF(H126&lt;=60,4))))</f>
        <v>3</v>
      </c>
      <c r="C126">
        <v>67</v>
      </c>
      <c r="D126" t="str">
        <v>Yecid Martin</v>
      </c>
      <c r="E126">
        <v>91000</v>
      </c>
      <c r="F126">
        <v>46129</v>
      </c>
      <c r="G126" t="str">
        <v>Sin Pagar</v>
      </c>
      <c r="H126">
        <f>IF(OR(G126="Sin pagar",G126="Pagar"),NETWORKDAYS($J$90,F126,'Festivos Colombia'!$A$3:$A$22),0)</f>
        <v>11</v>
      </c>
      <c r="I126">
        <f>NETWORKDAYS($J$90,F126,'Festivos Colombia'!$A$3:$A$22)</f>
        <v>11</v>
      </c>
      <c r="J126">
        <f>H126</f>
        <v>11</v>
      </c>
      <c r="K126" t="str">
        <v>Sin radicar</v>
      </c>
    </row>
    <row r="127">
      <c r="A127" t="str">
        <f>G127</f>
        <v>Sin Pagar</v>
      </c>
      <c r="B127">
        <f>IF(I127&lt;=-1,1,IF(I127&lt;=5,2,IF(I127&lt;=15,3,IF(H127&lt;=60,4))))</f>
        <v>3</v>
      </c>
      <c r="C127">
        <v>24</v>
      </c>
      <c r="D127" t="str">
        <v>Mundo express</v>
      </c>
      <c r="E127">
        <v>81000</v>
      </c>
      <c r="F127">
        <v>46129</v>
      </c>
      <c r="G127" t="str">
        <v>Sin Pagar</v>
      </c>
      <c r="H127">
        <f>IF(OR(G127="Sin pagar",G127="Pagar"),NETWORKDAYS($J$90,F127,'Festivos Colombia'!$A$3:$A$22),0)</f>
        <v>11</v>
      </c>
      <c r="I127">
        <f>NETWORKDAYS($J$90,F127,'Festivos Colombia'!$A$3:$A$22)</f>
        <v>11</v>
      </c>
      <c r="J127">
        <f>H127</f>
        <v>11</v>
      </c>
      <c r="K127" t="str">
        <v>Sin radicar</v>
      </c>
    </row>
    <row r="128">
      <c r="A128" t="str">
        <f>G128</f>
        <v>Sin Pagar</v>
      </c>
      <c r="B128">
        <f>IF(I128&lt;=-1,1,IF(I128&lt;=5,2,IF(I128&lt;=15,3,IF(H128&lt;=60,4))))</f>
        <v>4</v>
      </c>
      <c r="C128">
        <v>68</v>
      </c>
      <c r="D128" t="str">
        <v>Yecid Martin</v>
      </c>
      <c r="E128">
        <v>69000</v>
      </c>
      <c r="F128">
        <v>46136</v>
      </c>
      <c r="G128" t="str">
        <v>Sin Pagar</v>
      </c>
      <c r="H128">
        <f>IF(OR(G128="Sin pagar",G128="Pagar"),NETWORKDAYS($J$90,F128,'Festivos Colombia'!$A$3:$A$22),0)</f>
        <v>16</v>
      </c>
      <c r="I128">
        <f>NETWORKDAYS($J$90,F128,'Festivos Colombia'!$A$3:$A$22)</f>
        <v>16</v>
      </c>
      <c r="J128">
        <f>H128</f>
        <v>16</v>
      </c>
      <c r="K128" t="str">
        <v>Sin radicar</v>
      </c>
    </row>
    <row r="129">
      <c r="A129" t="str">
        <f>G129</f>
        <v>Sin Pagar</v>
      </c>
      <c r="B129">
        <f>IF(I129&lt;=-1,1,IF(I129&lt;=5,2,IF(I129&lt;=15,3,IF(H129&lt;=60,4))))</f>
        <v>4</v>
      </c>
      <c r="C129">
        <v>69</v>
      </c>
      <c r="D129" t="str">
        <v>Yecid Martin</v>
      </c>
      <c r="E129">
        <v>301000</v>
      </c>
      <c r="F129">
        <v>46142</v>
      </c>
      <c r="G129" t="str">
        <v>Sin Pagar</v>
      </c>
      <c r="H129">
        <f>IF(OR(G129="Sin pagar",G129="Pagar"),NETWORKDAYS($J$90,F129,'Festivos Colombia'!$A$3:$A$22),0)</f>
        <v>20</v>
      </c>
      <c r="I129">
        <f>NETWORKDAYS($J$90,F129,'Festivos Colombia'!$A$3:$A$22)</f>
        <v>20</v>
      </c>
      <c r="J129">
        <f>H129</f>
        <v>20</v>
      </c>
      <c r="K129" t="str">
        <v>Sin radicar</v>
      </c>
    </row>
    <row r="130">
      <c r="D130" t="str">
        <v>REEMBOLSO SAIPEM</v>
      </c>
      <c r="E130">
        <f>SUBTOTAL(9,E131:E131)</f>
        <v>2500000</v>
      </c>
    </row>
    <row r="131">
      <c r="D131" t="str">
        <v xml:space="preserve">Reembolso previsto </v>
      </c>
      <c r="E131">
        <v>2500000</v>
      </c>
      <c r="F131">
        <v>46142</v>
      </c>
      <c r="G131" t="str">
        <v>Sin Pagar</v>
      </c>
      <c r="H131">
        <f>IF(OR(G131="Sin pagar",G131="Pagar"),NETWORKDAYS($J$90,F131,'Festivos Colombia'!$A$3:$A$22),0)</f>
        <v>20</v>
      </c>
      <c r="I131">
        <f>NETWORKDAYS($J$90,F131,'Festivos Colombia'!$A$3:$A$22)</f>
        <v>20</v>
      </c>
      <c r="J131">
        <f>H131</f>
        <v>20</v>
      </c>
      <c r="K131" t="str">
        <v>Sin radicar</v>
      </c>
    </row>
    <row r="132">
      <c r="D132" t="str">
        <v>EXAMENES MÉDICOS SAIPEM y OTROS</v>
      </c>
      <c r="E132">
        <f>SUBTOTAL(9,E133:E133)</f>
        <v>3800000</v>
      </c>
    </row>
    <row r="133">
      <c r="D133" t="str">
        <v>Examenes Previsto - SAIPEM</v>
      </c>
      <c r="E133">
        <v>3800000</v>
      </c>
      <c r="F133">
        <v>46142</v>
      </c>
      <c r="G133" t="str">
        <v>Sin Pagar</v>
      </c>
      <c r="H133">
        <f>IF(OR(G133="Sin pagar",G133="Pagar"),NETWORKDAYS($J$90,F133,'Festivos Colombia'!$A$3:$A$22),0)</f>
        <v>20</v>
      </c>
      <c r="I133">
        <f>NETWORKDAYS($J$90,F133,'Festivos Colombia'!$A$3:$A$22)</f>
        <v>20</v>
      </c>
      <c r="J133">
        <f>H133</f>
        <v>20</v>
      </c>
      <c r="K133" t="str">
        <v>Sin radicar</v>
      </c>
    </row>
    <row r="134">
      <c r="D134" t="str">
        <v>TIQUETES AÉREOS , HOTELES SAIPEM-AECID - ROOT CAPITAL</v>
      </c>
      <c r="E134">
        <f>SUBTOTAL(9,E135:E136)</f>
        <v>7000000</v>
      </c>
    </row>
    <row r="135">
      <c r="D135" t="str">
        <v>Tiquete Root capital -Previsto</v>
      </c>
      <c r="E135">
        <v>3500000</v>
      </c>
      <c r="F135">
        <v>46142</v>
      </c>
      <c r="G135" t="str">
        <v>Sin Pagar</v>
      </c>
      <c r="H135">
        <f>IF(OR(G135="Sin pagar",G135="Pagar"),NETWORKDAYS($J$90,F135,'Festivos Colombia'!$A$3:$A$22),0)</f>
        <v>20</v>
      </c>
      <c r="I135">
        <f>NETWORKDAYS($J$90,F135,'Festivos Colombia'!$A$3:$A$22)</f>
        <v>20</v>
      </c>
      <c r="J135">
        <f>H135</f>
        <v>20</v>
      </c>
      <c r="K135" t="str">
        <v>Sin radicar</v>
      </c>
    </row>
    <row r="136">
      <c r="D136" t="str">
        <v>Tiquete Saipem -Previsto</v>
      </c>
      <c r="E136">
        <v>3500000</v>
      </c>
      <c r="F136">
        <v>46142</v>
      </c>
      <c r="G136" t="str">
        <v>Sin Pagar</v>
      </c>
      <c r="H136">
        <f>IF(OR(G136="Sin pagar",G136="Pagar"),NETWORKDAYS($J$90,F136,'Festivos Colombia'!$A$3:$A$22),0)</f>
        <v>20</v>
      </c>
      <c r="I136">
        <f>NETWORKDAYS($J$90,F136,'Festivos Colombia'!$A$3:$A$22)</f>
        <v>20</v>
      </c>
      <c r="J136">
        <f>H136</f>
        <v>20</v>
      </c>
      <c r="K136" t="str">
        <v>Sin radicar</v>
      </c>
    </row>
    <row r="137">
      <c r="D137" t="str">
        <v>REEMBOLSOS REMOFIRST-YON YOU-AECID</v>
      </c>
      <c r="E137">
        <f>SUBTOTAL(9,E138:E141)</f>
        <v>43120000</v>
      </c>
    </row>
    <row r="138">
      <c r="A138" t="str">
        <f>G138</f>
        <v>Sin Pagar</v>
      </c>
      <c r="B138">
        <f>IF(I138&lt;=-1,1,IF(I138&lt;=5,2,IF(I138&lt;=15,3,IF(H138&lt;=60,4))))</f>
        <v>3</v>
      </c>
      <c r="D138" t="str">
        <v>Reembolso Mercedes Alvarez Comisión 19 al 21 de febrero 2026-Toribio Cauca - AECID</v>
      </c>
      <c r="E138">
        <f>430000</f>
        <v>430000</v>
      </c>
      <c r="F138">
        <v>46122</v>
      </c>
      <c r="G138" t="str">
        <v>Sin Pagar</v>
      </c>
      <c r="H138">
        <f>IF(OR(G138="Sin pagar",G138="Pagar"),NETWORKDAYS($J$90,F138,'Festivos Colombia'!$A$3:$A$22),0)</f>
        <v>6</v>
      </c>
      <c r="I138">
        <f>NETWORKDAYS($J$90,F138,'Festivos Colombia'!$A$3:$A$22)</f>
        <v>6</v>
      </c>
      <c r="J138">
        <f>H138</f>
        <v>6</v>
      </c>
    </row>
    <row r="139">
      <c r="A139" t="str">
        <f>G139</f>
        <v>Sin Pagar</v>
      </c>
      <c r="B139">
        <f>IF(I139&lt;=-1,1,IF(I139&lt;=5,2,IF(I139&lt;=15,3,IF(H139&lt;=60,4))))</f>
        <v>3</v>
      </c>
      <c r="D139" t="str">
        <v>Reembolso Mercedes Alvarez Comisión 16 al 19 de marzo 2026 - AECID</v>
      </c>
      <c r="E139">
        <f>2690000</f>
        <v>2690000</v>
      </c>
      <c r="F139">
        <v>46122</v>
      </c>
      <c r="G139" t="str">
        <v>Sin Pagar</v>
      </c>
      <c r="H139">
        <f>IF(OR(G139="Sin pagar",G139="Pagar"),NETWORKDAYS($J$90,F139,'Festivos Colombia'!$A$3:$A$22),0)</f>
        <v>6</v>
      </c>
      <c r="I139">
        <f>NETWORKDAYS($J$90,F139,'Festivos Colombia'!$A$3:$A$22)</f>
        <v>6</v>
      </c>
      <c r="J139">
        <f>H139</f>
        <v>6</v>
      </c>
    </row>
    <row r="140">
      <c r="A140" t="str">
        <f>G140</f>
        <v>Sin Pagar</v>
      </c>
      <c r="B140">
        <f>IF(I140&lt;=-1,1,IF(I140&lt;=5,2,IF(I140&lt;=15,3,IF(H140&lt;=60,4))))</f>
        <v>4</v>
      </c>
      <c r="D140" t="str">
        <v>Reembolso previsto remofirst</v>
      </c>
      <c r="E140">
        <v>30000000</v>
      </c>
      <c r="F140">
        <v>46142</v>
      </c>
      <c r="G140" t="str">
        <v>Sin Pagar</v>
      </c>
      <c r="H140">
        <f>IF(OR(G140="Sin pagar",G140="Pagar"),NETWORKDAYS($J$90,F140,'Festivos Colombia'!$A$3:$A$22),0)</f>
        <v>20</v>
      </c>
      <c r="I140">
        <f>NETWORKDAYS($J$90,F140,'Festivos Colombia'!$A$3:$A$22)</f>
        <v>20</v>
      </c>
      <c r="J140">
        <f>H140</f>
        <v>20</v>
      </c>
    </row>
    <row r="141">
      <c r="A141" t="str">
        <f>G141</f>
        <v>Sin Pagar</v>
      </c>
      <c r="B141">
        <f>IF(I141&lt;=-1,1,IF(I141&lt;=5,2,IF(I141&lt;=15,3,IF(H141&lt;=60,4))))</f>
        <v>4</v>
      </c>
      <c r="D141" t="str">
        <v>Reembolso previsto Yon You</v>
      </c>
      <c r="E141">
        <v>10000000</v>
      </c>
      <c r="F141">
        <v>46142</v>
      </c>
      <c r="G141" t="str">
        <v>Sin Pagar</v>
      </c>
      <c r="H141">
        <f>IF(OR(G141="Sin pagar",G141="Pagar"),NETWORKDAYS($J$90,F141,'Festivos Colombia'!$A$3:$A$22),0)</f>
        <v>20</v>
      </c>
      <c r="I141">
        <f>NETWORKDAYS($J$90,F141,'Festivos Colombia'!$A$3:$A$22)</f>
        <v>20</v>
      </c>
      <c r="J141">
        <f>H141</f>
        <v>20</v>
      </c>
    </row>
    <row r="142">
      <c r="D142" t="str">
        <v>REEMBOLSOS INSIDER</v>
      </c>
      <c r="E142">
        <f>SUBTOTAL(9,E143:E143)</f>
        <v>10000000</v>
      </c>
    </row>
    <row r="143">
      <c r="A143" t="str">
        <f>G143</f>
        <v>Sin Pagar</v>
      </c>
      <c r="B143">
        <f>IF(I143&lt;=-1,1,IF(I143&lt;=5,2,IF(I143&lt;=15,3,IF(H143&lt;=60,4))))</f>
        <v>4</v>
      </c>
      <c r="D143" t="str">
        <v>Reembolso previsto Insider</v>
      </c>
      <c r="E143">
        <v>10000000</v>
      </c>
      <c r="F143">
        <v>46142</v>
      </c>
      <c r="G143" t="str">
        <v>Sin Pagar</v>
      </c>
      <c r="H143">
        <f>IF(OR(G143="Sin pagar",G143="Pagar"),NETWORKDAYS($J$90,F143,'Festivos Colombia'!$A$3:$A$22),0)</f>
        <v>20</v>
      </c>
      <c r="I143">
        <f>NETWORKDAYS($J$90,F143,'Festivos Colombia'!$A$3:$A$22)</f>
        <v>20</v>
      </c>
      <c r="J143">
        <f>H143</f>
        <v>20</v>
      </c>
    </row>
    <row r="144">
      <c r="D144" t="str">
        <v>ASESORÍAS</v>
      </c>
      <c r="E144">
        <f>SUBTOTAL(9,E145:E160)</f>
        <v>25758683.429999996</v>
      </c>
    </row>
    <row r="145">
      <c r="A145" t="str">
        <f>G145</f>
        <v>Sin Pagar</v>
      </c>
      <c r="B145">
        <f>IF(I145&lt;=-1,1,IF(I145&lt;=5,2,IF(I145&lt;=15,3,IF(H145&lt;=60,4))))</f>
        <v>3</v>
      </c>
      <c r="C145" t="str">
        <v>EACB199</v>
      </c>
      <c r="D145" t="str">
        <v>CBP Consultoria - Servicio de mercadeo pautal digital Marzo 2026</v>
      </c>
      <c r="E145">
        <v>1607010</v>
      </c>
      <c r="F145">
        <v>46129</v>
      </c>
      <c r="G145" t="str">
        <v>Sin Pagar</v>
      </c>
      <c r="H145">
        <f>IF(OR(G145="Sin pagar",G145="Pagar"),NETWORKDAYS($J$90,F145,'Festivos Colombia'!$A$3:$A$22),0)</f>
        <v>11</v>
      </c>
      <c r="I145">
        <f>NETWORKDAYS($J$90,F145,'Festivos Colombia'!$A$3:$A$22)</f>
        <v>11</v>
      </c>
      <c r="J145">
        <f>H145</f>
        <v>11</v>
      </c>
      <c r="K145" t="str">
        <v>Sin radicar</v>
      </c>
    </row>
    <row r="146">
      <c r="A146" t="str">
        <f>G146</f>
        <v>Sin Pagar</v>
      </c>
      <c r="B146">
        <f>IF(I146&lt;=-1,1,IF(I146&lt;=5,2,IF(I146&lt;=15,3,IF(H146&lt;=60,4))))</f>
        <v>3</v>
      </c>
      <c r="C146" t="str">
        <v>FE -77</v>
      </c>
      <c r="D146" t="str">
        <v xml:space="preserve">Ibrand Marketing SAS-Servicios agencia mes de abril </v>
      </c>
      <c r="E146">
        <f>3800000</f>
        <v>3800000</v>
      </c>
      <c r="F146">
        <v>46129</v>
      </c>
      <c r="G146" t="str">
        <v>Sin Pagar</v>
      </c>
      <c r="H146">
        <f>IF(OR(G146="Sin pagar",G146="Pagar"),NETWORKDAYS($J$90,F146,'Festivos Colombia'!$A$3:$A$22),0)</f>
        <v>11</v>
      </c>
      <c r="I146">
        <f>NETWORKDAYS($J$90,F146,'Festivos Colombia'!$A$3:$A$22)</f>
        <v>11</v>
      </c>
      <c r="J146">
        <f>H146</f>
        <v>11</v>
      </c>
    </row>
    <row r="147">
      <c r="A147" t="str">
        <f>G147</f>
        <v>Sin Pagar</v>
      </c>
      <c r="B147">
        <f>IF(I147&lt;=-1,1,IF(I147&lt;=5,2,IF(I147&lt;=15,3,IF(H147&lt;=60,4))))</f>
        <v>4</v>
      </c>
      <c r="C147" t="str">
        <v>FEV-1-98</v>
      </c>
      <c r="D147" t="str">
        <v>Yoana Forero Servicios profesionales -Costa Rica</v>
      </c>
      <c r="E147">
        <f>774025.2</f>
        <v>774025.2</v>
      </c>
      <c r="F147">
        <v>46136</v>
      </c>
      <c r="G147" t="str">
        <v>Sin Pagar</v>
      </c>
      <c r="H147">
        <f>IF(OR(G147="Sin pagar",G147="Pagar"),NETWORKDAYS($J$90,F147,'Festivos Colombia'!$A$3:$A$22),0)</f>
        <v>16</v>
      </c>
      <c r="I147">
        <f>NETWORKDAYS($J$90,F147,'Festivos Colombia'!$A$3:$A$22)</f>
        <v>16</v>
      </c>
      <c r="J147">
        <f>H147</f>
        <v>16</v>
      </c>
      <c r="K147" t="str">
        <v>Sin radicar</v>
      </c>
    </row>
    <row r="148">
      <c r="A148" t="str">
        <f>G148</f>
        <v>Sin Pagar</v>
      </c>
      <c r="B148">
        <f>IF(I148&lt;=-1,1,IF(I148&lt;=5,2,IF(I148&lt;=15,3,IF(H148&lt;=60,4))))</f>
        <v>4</v>
      </c>
      <c r="C148">
        <v>27</v>
      </c>
      <c r="D148" t="str">
        <v xml:space="preserve">Edward Felipe Forero Osorio </v>
      </c>
      <c r="E148">
        <v>1489471.36</v>
      </c>
      <c r="F148">
        <v>46136</v>
      </c>
      <c r="G148" t="str">
        <v>Sin Pagar</v>
      </c>
      <c r="H148">
        <f>IF(OR(G148="Sin pagar",G148="Pagar"),NETWORKDAYS($J$90,F148,'Festivos Colombia'!$A$3:$A$22),0)</f>
        <v>16</v>
      </c>
      <c r="I148">
        <f>NETWORKDAYS($J$90,F148,'Festivos Colombia'!$A$3:$A$22)</f>
        <v>16</v>
      </c>
      <c r="J148">
        <f>H148</f>
        <v>16</v>
      </c>
      <c r="K148" t="str">
        <v>Sin radicar</v>
      </c>
    </row>
    <row r="149">
      <c r="A149" t="str">
        <f>G149</f>
        <v>Sin Pagar</v>
      </c>
      <c r="B149">
        <f>IF(I149&lt;=-1,1,IF(I149&lt;=5,2,IF(I149&lt;=15,3,IF(H149&lt;=60,4))))</f>
        <v>4</v>
      </c>
      <c r="C149">
        <v>18</v>
      </c>
      <c r="D149" t="str">
        <v xml:space="preserve">Sara Forero Osorio </v>
      </c>
      <c r="E149">
        <v>1489471.36</v>
      </c>
      <c r="F149">
        <v>46136</v>
      </c>
      <c r="G149" t="str">
        <v>Sin Pagar</v>
      </c>
      <c r="H149">
        <f>IF(OR(G149="Sin pagar",G149="Pagar"),NETWORKDAYS($J$90,F149,'Festivos Colombia'!$A$3:$A$22),0)</f>
        <v>16</v>
      </c>
      <c r="I149">
        <f>NETWORKDAYS($J$90,F149,'Festivos Colombia'!$A$3:$A$22)</f>
        <v>16</v>
      </c>
      <c r="J149">
        <f>H149</f>
        <v>16</v>
      </c>
      <c r="K149" t="str">
        <v>Sin radicar</v>
      </c>
    </row>
    <row r="150">
      <c r="A150" t="str">
        <f>G150</f>
        <v>Sin Pagar</v>
      </c>
      <c r="B150">
        <f>IF(I150&lt;=-1,1,IF(I150&lt;=5,2,IF(I150&lt;=15,3,IF(H150&lt;=60,4))))</f>
        <v>4</v>
      </c>
      <c r="C150" t="str">
        <v>CLOA105256994</v>
      </c>
      <c r="D150" t="str">
        <v>Carvajal</v>
      </c>
      <c r="E150">
        <f>77395</f>
        <v>77395</v>
      </c>
      <c r="F150">
        <v>46136</v>
      </c>
      <c r="G150" t="str">
        <v>Sin Pagar</v>
      </c>
      <c r="H150">
        <f>IF(OR(G150="Sin pagar",G150="Pagar"),NETWORKDAYS($J$90,F150,'Festivos Colombia'!$A$3:$A$22),0)</f>
        <v>16</v>
      </c>
      <c r="I150">
        <f>NETWORKDAYS($J$90,F150,'Festivos Colombia'!$A$3:$A$22)</f>
        <v>16</v>
      </c>
      <c r="J150">
        <f>H150</f>
        <v>16</v>
      </c>
    </row>
    <row r="151">
      <c r="A151" t="str">
        <f>G151</f>
        <v>Sin Pagar</v>
      </c>
      <c r="B151">
        <f>IF(I151&lt;=-1,1,IF(I151&lt;=5,2,IF(I151&lt;=15,3,IF(H151&lt;=60,4))))</f>
        <v>4</v>
      </c>
      <c r="C151">
        <v>260401</v>
      </c>
      <c r="D151" t="str">
        <v xml:space="preserve">Analia Lorena Di Nicola </v>
      </c>
      <c r="E151">
        <v>475363.2</v>
      </c>
      <c r="F151">
        <v>46136</v>
      </c>
      <c r="G151" t="str">
        <v>Sin Pagar</v>
      </c>
      <c r="H151">
        <f>IF(OR(G151="Sin pagar",G151="Pagar"),NETWORKDAYS($J$90,F151,'Festivos Colombia'!$A$3:$A$22),0)</f>
        <v>16</v>
      </c>
      <c r="I151">
        <f>NETWORKDAYS($J$90,F151,'Festivos Colombia'!$A$3:$A$22)</f>
        <v>16</v>
      </c>
      <c r="J151">
        <f>H151</f>
        <v>16</v>
      </c>
      <c r="K151" t="str">
        <v>Sin radicar</v>
      </c>
    </row>
    <row r="152">
      <c r="A152" t="str">
        <f>G152</f>
        <v>Sin Pagar</v>
      </c>
      <c r="B152">
        <f>IF(I152&lt;=-1,1,IF(I152&lt;=5,2,IF(I152&lt;=15,3,IF(H152&lt;=60,4))))</f>
        <v>4</v>
      </c>
      <c r="C152">
        <v>10</v>
      </c>
      <c r="D152" t="str">
        <v>Sebastían Romero Espitia</v>
      </c>
      <c r="E152">
        <v>340000</v>
      </c>
      <c r="F152">
        <v>46136</v>
      </c>
      <c r="G152" t="str">
        <v>Sin Pagar</v>
      </c>
      <c r="H152">
        <f>IF(OR(G152="Sin pagar",G152="Pagar"),NETWORKDAYS($J$90,F152,'Festivos Colombia'!$A$3:$A$22),0)</f>
        <v>16</v>
      </c>
      <c r="I152">
        <f>NETWORKDAYS($J$90,F152,'Festivos Colombia'!$A$3:$A$22)</f>
        <v>16</v>
      </c>
      <c r="J152">
        <f>H152</f>
        <v>16</v>
      </c>
      <c r="K152" t="str">
        <v>Sin radicar</v>
      </c>
    </row>
    <row r="153">
      <c r="A153" t="str">
        <f>G153</f>
        <v>Sin Pagar</v>
      </c>
      <c r="B153">
        <f>IF(I153&lt;=-1,1,IF(I153&lt;=5,2,IF(I153&lt;=15,3,IF(H153&lt;=60,4))))</f>
        <v>4</v>
      </c>
      <c r="C153" t="str">
        <v>2026-004</v>
      </c>
      <c r="D153" t="str">
        <v xml:space="preserve">Pedro Pablo oviedo Cutiva- Cuenta Ricardo Arambulo </v>
      </c>
      <c r="E153">
        <v>1438893</v>
      </c>
      <c r="F153">
        <v>46142</v>
      </c>
      <c r="G153" t="str">
        <v>Sin Pagar</v>
      </c>
      <c r="H153">
        <f>IF(OR(G153="Sin pagar",G153="Pagar"),NETWORKDAYS($J$90,F153,'Festivos Colombia'!$A$3:$A$22),0)</f>
        <v>20</v>
      </c>
      <c r="I153">
        <f>NETWORKDAYS($J$90,F153,'Festivos Colombia'!$A$3:$A$22)</f>
        <v>20</v>
      </c>
      <c r="J153">
        <f>H153</f>
        <v>20</v>
      </c>
      <c r="K153" t="str">
        <v>Sin radicar</v>
      </c>
    </row>
    <row r="154">
      <c r="A154" t="str">
        <f>G154</f>
        <v>Sin Pagar</v>
      </c>
      <c r="B154">
        <f>IF(I154&lt;=-1,1,IF(I154&lt;=5,2,IF(I154&lt;=15,3,IF(H154&lt;=60,4))))</f>
        <v>4</v>
      </c>
      <c r="C154" t="str">
        <v>FE 42</v>
      </c>
      <c r="D154" t="str">
        <v>Gomez Rodriguez &amp; Associados Revisoria fiscal- Abril</v>
      </c>
      <c r="E154">
        <v>1877565</v>
      </c>
      <c r="F154">
        <v>46142</v>
      </c>
      <c r="G154" t="str">
        <v>Sin Pagar</v>
      </c>
      <c r="H154">
        <f>IF(OR(G154="Sin pagar",G154="Pagar"),NETWORKDAYS($J$90,F154,'Festivos Colombia'!$A$3:$A$22),0)</f>
        <v>20</v>
      </c>
      <c r="I154">
        <f>NETWORKDAYS($J$90,F154,'Festivos Colombia'!$A$3:$A$22)</f>
        <v>20</v>
      </c>
      <c r="J154">
        <f>H154</f>
        <v>20</v>
      </c>
      <c r="K154" t="str">
        <v>Sin radicar</v>
      </c>
    </row>
    <row r="155">
      <c r="A155" t="str">
        <f>G155</f>
        <v>Sin Pagar</v>
      </c>
      <c r="B155">
        <f>IF(I155&lt;=-1,1,IF(I155&lt;=5,2,IF(I155&lt;=15,3,IF(H155&lt;=60,4))))</f>
        <v>4</v>
      </c>
      <c r="C155" t="str">
        <v>FE 417</v>
      </c>
      <c r="D155" t="str">
        <v>ACT&amp;J Consultores S&amp;P Abril 2026</v>
      </c>
      <c r="E155">
        <f>4065250</f>
        <v>4065250</v>
      </c>
      <c r="F155">
        <v>46142</v>
      </c>
      <c r="G155" t="str">
        <v>Sin Pagar</v>
      </c>
      <c r="H155">
        <f>IF(OR(G155="Sin pagar",G155="Pagar"),NETWORKDAYS($J$90,F155,'Festivos Colombia'!$A$3:$A$22),0)</f>
        <v>20</v>
      </c>
      <c r="I155">
        <f>NETWORKDAYS($J$90,F155,'Festivos Colombia'!$A$3:$A$22)</f>
        <v>20</v>
      </c>
      <c r="J155">
        <f>H155</f>
        <v>20</v>
      </c>
      <c r="K155" t="str">
        <v>Sin radicar</v>
      </c>
    </row>
    <row r="156">
      <c r="A156" t="str">
        <f>G156</f>
        <v>Sin Pagar</v>
      </c>
      <c r="B156">
        <f>IF(I156&lt;=-1,1,IF(I156&lt;=5,2,IF(I156&lt;=15,3,IF(H156&lt;=60,4))))</f>
        <v>4</v>
      </c>
      <c r="C156" t="str">
        <v>FE 418</v>
      </c>
      <c r="D156" t="str">
        <v>ACT&amp;J Consultores Global CS Colombia Abril 2026</v>
      </c>
      <c r="E156">
        <f>3665694</f>
        <v>3665694</v>
      </c>
      <c r="F156">
        <v>46142</v>
      </c>
      <c r="G156" t="str">
        <v>Sin Pagar</v>
      </c>
      <c r="H156">
        <f>IF(OR(G156="Sin pagar",G156="Pagar"),NETWORKDAYS($J$90,F156,'Festivos Colombia'!$A$3:$A$22),0)</f>
        <v>20</v>
      </c>
      <c r="I156">
        <f>NETWORKDAYS($J$90,F156,'Festivos Colombia'!$A$3:$A$22)</f>
        <v>20</v>
      </c>
      <c r="J156">
        <f>H156</f>
        <v>20</v>
      </c>
      <c r="K156" t="str">
        <v>Sin radicar</v>
      </c>
    </row>
    <row r="157">
      <c r="A157" t="str">
        <f>G157</f>
        <v>Sin Pagar</v>
      </c>
      <c r="B157">
        <f>IF(I157&lt;=-1,1,IF(I157&lt;=5,2,IF(I157&lt;=15,3,IF(H157&lt;=60,4))))</f>
        <v>4</v>
      </c>
      <c r="C157" t="str">
        <v>BPA 6893</v>
      </c>
      <c r="D157" t="str">
        <v>Barrera Palacios</v>
      </c>
      <c r="E157">
        <f>1723309.31</f>
        <v>1723309.31</v>
      </c>
      <c r="F157">
        <v>46142</v>
      </c>
      <c r="G157" t="str">
        <v>Sin Pagar</v>
      </c>
      <c r="H157">
        <f>IF(OR(G157="Sin pagar",G157="Pagar"),NETWORKDAYS($J$90,F157,'Festivos Colombia'!$A$3:$A$22),0)</f>
        <v>20</v>
      </c>
      <c r="I157">
        <f>NETWORKDAYS($J$90,F157,'Festivos Colombia'!$A$3:$A$22)</f>
        <v>20</v>
      </c>
      <c r="J157">
        <f>H157</f>
        <v>20</v>
      </c>
      <c r="K157" t="str">
        <v>Sin radicar</v>
      </c>
    </row>
    <row r="158">
      <c r="A158" t="str">
        <f>G158</f>
        <v>Sin Pagar</v>
      </c>
      <c r="B158">
        <f>IF(I158&lt;=-1,1,IF(I158&lt;=5,2,IF(I158&lt;=15,3,IF(H158&lt;=60,4))))</f>
        <v>4</v>
      </c>
      <c r="C158">
        <v>19</v>
      </c>
      <c r="D158" t="str">
        <v>Edgardo Rafael Obredor Borja</v>
      </c>
      <c r="E158">
        <v>1634061</v>
      </c>
      <c r="F158">
        <v>46142</v>
      </c>
      <c r="G158" t="str">
        <v>Sin Pagar</v>
      </c>
      <c r="H158">
        <f>IF(OR(G158="Sin pagar",G158="Pagar"),NETWORKDAYS($J$90,F158,'Festivos Colombia'!$A$3:$A$22),0)</f>
        <v>20</v>
      </c>
      <c r="I158">
        <f>NETWORKDAYS($J$90,F158,'Festivos Colombia'!$A$3:$A$22)</f>
        <v>20</v>
      </c>
      <c r="J158">
        <f>H158</f>
        <v>20</v>
      </c>
      <c r="K158" t="str">
        <v>Sin radicar</v>
      </c>
    </row>
    <row r="159">
      <c r="A159" t="str">
        <f>G159</f>
        <v>Sin Pagar</v>
      </c>
      <c r="B159">
        <f>IF(I159&lt;=-1,1,IF(I159&lt;=5,2,IF(I159&lt;=15,3,IF(H159&lt;=60,4))))</f>
        <v>4</v>
      </c>
      <c r="C159">
        <v>12051</v>
      </c>
      <c r="D159" t="str">
        <v>Nixcom Servicio técnico mensual</v>
      </c>
      <c r="E159">
        <f>1301175</f>
        <v>1301175</v>
      </c>
      <c r="F159">
        <v>46142</v>
      </c>
      <c r="G159" t="str">
        <v>Sin Pagar</v>
      </c>
      <c r="H159">
        <f>IF(OR(G159="Sin pagar",G159="Pagar"),NETWORKDAYS($J$90,F159,'Festivos Colombia'!$A$3:$A$22),0)</f>
        <v>20</v>
      </c>
      <c r="I159">
        <f>NETWORKDAYS($J$90,F159,'Festivos Colombia'!$A$3:$A$22)</f>
        <v>20</v>
      </c>
      <c r="J159">
        <f>H159</f>
        <v>20</v>
      </c>
    </row>
    <row r="160">
      <c r="A160" t="str">
        <f>G160</f>
        <v>Sin Pagar</v>
      </c>
      <c r="B160">
        <f>IF(I160&lt;=-1,1,IF(I160&lt;=5,2,IF(I160&lt;=15,3,IF(H160&lt;=60,4))))</f>
        <v>4</v>
      </c>
      <c r="C160">
        <v>2114</v>
      </c>
      <c r="D160" t="str">
        <v>Plurum 20% escuela de liderazgo-Pruebas PDA</v>
      </c>
      <c r="E160">
        <f>10595552.6*0</f>
        <v>0</v>
      </c>
      <c r="F160">
        <v>46149</v>
      </c>
      <c r="G160" t="str">
        <v>Sin Pagar</v>
      </c>
      <c r="H160">
        <f>IF(OR(G160="Sin pagar",G160="Pagar"),NETWORKDAYS($J$90,F160,'Festivos Colombia'!$A$3:$A$22),0)</f>
        <v>24</v>
      </c>
      <c r="I160">
        <f>NETWORKDAYS($J$90,F160,'Festivos Colombia'!$A$3:$A$22)</f>
        <v>24</v>
      </c>
      <c r="J160">
        <f>H160</f>
        <v>24</v>
      </c>
    </row>
    <row r="161">
      <c r="D161" t="str">
        <v xml:space="preserve">COSTOS FINANCIEROS </v>
      </c>
      <c r="E161">
        <f>SUBTOTAL(9,E162:E162)</f>
        <v>14446896.25</v>
      </c>
    </row>
    <row r="162">
      <c r="A162" t="str">
        <f>G162</f>
        <v>Sin Pagar</v>
      </c>
      <c r="B162">
        <f>IF(I162&lt;=-1,1,IF(I162&lt;=5,2,IF(I162&lt;=15,3,IF(H162&lt;=60,4))))</f>
        <v>4</v>
      </c>
      <c r="D162" t="str">
        <v>Costos financieros (Cuentas S&amp;P)</v>
      </c>
      <c r="E162">
        <f>11715337.25+2731559</f>
        <v>14446896.25</v>
      </c>
      <c r="F162">
        <v>46142</v>
      </c>
      <c r="G162" t="str">
        <v>Sin Pagar</v>
      </c>
      <c r="H162">
        <f>IF(OR(G162="Sin pagar",G162="Pagar"),NETWORKDAYS($J$90,F162,'Festivos Colombia'!$A$3:$A$22),0)</f>
        <v>20</v>
      </c>
      <c r="I162">
        <f>NETWORKDAYS($J$90,F162,'Festivos Colombia'!$A$3:$A$22)</f>
        <v>20</v>
      </c>
      <c r="J162">
        <f>H162</f>
        <v>20</v>
      </c>
    </row>
    <row r="163">
      <c r="D163" t="str">
        <v>CRÉDITOS-LIBRANZAS</v>
      </c>
      <c r="E163">
        <f>SUBTOTAL(9,E164:E165)</f>
        <v>6200000</v>
      </c>
    </row>
    <row r="164">
      <c r="A164" t="str">
        <f>G164</f>
        <v>Sin Pagar</v>
      </c>
      <c r="B164">
        <f>IF(I164&lt;=-1,1,IF(I164&lt;=5,2,IF(I164&lt;=15,3,IF(H164&lt;=60,4))))</f>
        <v>4</v>
      </c>
      <c r="D164" t="str">
        <v>Libranza Compensar</v>
      </c>
      <c r="E164">
        <v>5661177</v>
      </c>
      <c r="F164">
        <v>46142</v>
      </c>
      <c r="G164" t="str">
        <v>Sin Pagar</v>
      </c>
      <c r="H164">
        <f>IF(OR(G164="Sin pagar",G164="Pagar"),NETWORKDAYS($J$90,F164,'Festivos Colombia'!$A$3:$A$22),0)</f>
        <v>20</v>
      </c>
      <c r="I164">
        <f>NETWORKDAYS($J$90,F164,'Festivos Colombia'!$A$3:$A$22)</f>
        <v>20</v>
      </c>
      <c r="J164">
        <f>H164</f>
        <v>20</v>
      </c>
    </row>
    <row r="165">
      <c r="A165" t="str">
        <f>G165</f>
        <v>Sin Pagar</v>
      </c>
      <c r="B165">
        <f>IF(I165&lt;=-1,1,IF(I165&lt;=5,2,IF(I165&lt;=15,3,IF(H165&lt;=60,4))))</f>
        <v>4</v>
      </c>
      <c r="D165" t="str">
        <v>Libranza Comfenalco Lisset Franco REMOFIRST</v>
      </c>
      <c r="E165">
        <v>538823</v>
      </c>
      <c r="F165">
        <v>46142</v>
      </c>
      <c r="G165" t="str">
        <v>Sin Pagar</v>
      </c>
      <c r="H165">
        <f>IF(OR(G165="Sin pagar",G165="Pagar"),NETWORKDAYS($J$90,F165,'Festivos Colombia'!$A$3:$A$22),0)</f>
        <v>20</v>
      </c>
      <c r="I165">
        <f>NETWORKDAYS($J$90,F165,'Festivos Colombia'!$A$3:$A$22)</f>
        <v>20</v>
      </c>
      <c r="J165">
        <f>H165</f>
        <v>20</v>
      </c>
    </row>
    <row r="166">
      <c r="D166" t="str">
        <v>TARJETAS DE CRÉDITO</v>
      </c>
      <c r="E166">
        <f>SUBTOTAL(9,E167:E169)</f>
        <v>21127878</v>
      </c>
    </row>
    <row r="167">
      <c r="A167" t="str">
        <f>G167</f>
        <v>Cancelado</v>
      </c>
      <c r="B167" t="e">
        <f>IF(I167&lt;=-1,1,IF(I167&lt;=5,2,IF(I167&lt;=15,3,IF(H167&lt;=60,4))))</f>
        <v>#REF!</v>
      </c>
      <c r="D167" t="str">
        <v>TC Bancolombia Dolares TC 4853</v>
      </c>
      <c r="E167">
        <f>(582*3675.81)*0</f>
        <v>0</v>
      </c>
      <c r="F167">
        <v>46118</v>
      </c>
      <c r="G167" t="str">
        <v>Cancelado</v>
      </c>
      <c r="H167">
        <f>IF(OR(G167="Sin pagar",G167="Pagar"),NETWORKDAYS(#REF!,F167,'Festivos Colombia'!$A$3:$A$22),0)</f>
        <v>0</v>
      </c>
      <c r="I167" t="e">
        <f>NETWORKDAYS(#REF!,F167,'Festivos Colombia'!$A$3:$A$22)</f>
        <v>#REF!</v>
      </c>
      <c r="J167">
        <f>H167</f>
        <v>0</v>
      </c>
    </row>
    <row r="168">
      <c r="A168" t="str">
        <f>G168</f>
        <v>Cancelado</v>
      </c>
      <c r="B168" t="e">
        <f>IF(I168&lt;=-1,1,IF(I168&lt;=5,2,IF(I168&lt;=15,3,IF(H168&lt;=60,4))))</f>
        <v>#REF!</v>
      </c>
      <c r="D168" t="str">
        <v>TC Bancolombia Pesos TC 4853</v>
      </c>
      <c r="E168">
        <f>2435311*0</f>
        <v>0</v>
      </c>
      <c r="F168">
        <v>46118</v>
      </c>
      <c r="G168" t="str">
        <v>Cancelado</v>
      </c>
      <c r="H168">
        <f>IF(OR(G168="Sin pagar",G168="Pagar"),NETWORKDAYS(#REF!,F168,'Festivos Colombia'!$A$3:$A$22),0)</f>
        <v>0</v>
      </c>
      <c r="I168" t="e">
        <f>NETWORKDAYS(#REF!,F168,'Festivos Colombia'!$A$3:$A$22)</f>
        <v>#REF!</v>
      </c>
      <c r="J168">
        <f>H168</f>
        <v>0</v>
      </c>
    </row>
    <row r="169">
      <c r="A169" t="str">
        <f>G169</f>
        <v>Sin Pagar</v>
      </c>
      <c r="B169">
        <f>IF(I169&lt;=-1,1,IF(I169&lt;=5,2,IF(I169&lt;=15,3,IF(H169&lt;=60,4))))</f>
        <v>3</v>
      </c>
      <c r="D169" t="str">
        <v>TC Bancolombia-Ramon Esteban Cardona Salazar TC 5996</v>
      </c>
      <c r="E169">
        <f>21127878</f>
        <v>21127878</v>
      </c>
      <c r="F169">
        <v>46128</v>
      </c>
      <c r="G169" t="str">
        <v>Sin Pagar</v>
      </c>
      <c r="H169">
        <f>IF(OR(G169="Sin pagar",G169="Pagar"),NETWORKDAYS($J$90,F169,'Festivos Colombia'!$A$3:$A$22),0)</f>
        <v>10</v>
      </c>
      <c r="I169">
        <f>NETWORKDAYS($J$90,F169,'Festivos Colombia'!$A$3:$A$22)</f>
        <v>10</v>
      </c>
      <c r="J169">
        <f>H169</f>
        <v>10</v>
      </c>
    </row>
    <row r="170">
      <c r="D170" t="str">
        <v>ESTUDIOS DE SEGURIDAD Y EXAMENES OCUPACIONALES</v>
      </c>
      <c r="E170">
        <f>SUBTOTAL(9,E171:E177)</f>
        <v>2740686.06</v>
      </c>
    </row>
    <row r="171">
      <c r="A171" t="str">
        <f>G171</f>
        <v>Sin Pagar</v>
      </c>
      <c r="B171">
        <f>IF(I171&lt;=-1,1,IF(I171&lt;=5,2,IF(I171&lt;=15,3,IF(H171&lt;=60,4))))</f>
        <v>3</v>
      </c>
      <c r="C171">
        <v>6955</v>
      </c>
      <c r="D171" t="str">
        <v xml:space="preserve">EMASOC </v>
      </c>
      <c r="E171">
        <f>671000</f>
        <v>671000</v>
      </c>
      <c r="F171">
        <v>46122</v>
      </c>
      <c r="G171" t="str">
        <v>Sin Pagar</v>
      </c>
      <c r="H171">
        <f>IF(OR(G171="Sin pagar",G171="Pagar"),NETWORKDAYS($J$90,F171,'Festivos Colombia'!$A$3:$A$22),0)</f>
        <v>6</v>
      </c>
      <c r="I171">
        <f>NETWORKDAYS($J$90,F171,'Festivos Colombia'!$A$3:$A$22)</f>
        <v>6</v>
      </c>
      <c r="J171">
        <f>H171</f>
        <v>6</v>
      </c>
    </row>
    <row r="172">
      <c r="A172" t="str">
        <f>G172</f>
        <v>Sin Pagar</v>
      </c>
      <c r="B172">
        <f>IF(I172&lt;=-1,1,IF(I172&lt;=5,2,IF(I172&lt;=15,3,IF(H172&lt;=60,4))))</f>
        <v>3</v>
      </c>
      <c r="C172">
        <v>6967</v>
      </c>
      <c r="D172" t="str">
        <v xml:space="preserve">EMASOC </v>
      </c>
      <c r="E172">
        <f>684500</f>
        <v>684500</v>
      </c>
      <c r="F172">
        <v>46122</v>
      </c>
      <c r="G172" t="str">
        <v>Sin Pagar</v>
      </c>
      <c r="H172">
        <f>IF(OR(G172="Sin pagar",G172="Pagar"),NETWORKDAYS($J$90,F172,'Festivos Colombia'!$A$3:$A$22),0)</f>
        <v>6</v>
      </c>
      <c r="I172">
        <f>NETWORKDAYS($J$90,F172,'Festivos Colombia'!$A$3:$A$22)</f>
        <v>6</v>
      </c>
      <c r="J172">
        <f>H172</f>
        <v>6</v>
      </c>
    </row>
    <row r="173">
      <c r="A173" t="str">
        <f>G173</f>
        <v>Sin Pagar</v>
      </c>
      <c r="B173">
        <f>IF(I173&lt;=-1,1,IF(I173&lt;=5,2,IF(I173&lt;=15,3,IF(H173&lt;=60,4))))</f>
        <v>3</v>
      </c>
      <c r="C173">
        <v>6988</v>
      </c>
      <c r="D173" t="str">
        <v xml:space="preserve">EMASOC </v>
      </c>
      <c r="E173">
        <f>340500</f>
        <v>340500</v>
      </c>
      <c r="F173">
        <v>46129</v>
      </c>
      <c r="G173" t="str">
        <v>Sin Pagar</v>
      </c>
      <c r="H173">
        <f>IF(OR(G173="Sin pagar",G173="Pagar"),NETWORKDAYS($J$90,F173,'Festivos Colombia'!$A$3:$A$22),0)</f>
        <v>11</v>
      </c>
      <c r="I173">
        <f>NETWORKDAYS($J$90,F173,'Festivos Colombia'!$A$3:$A$22)</f>
        <v>11</v>
      </c>
      <c r="J173">
        <f>H173</f>
        <v>11</v>
      </c>
    </row>
    <row r="174">
      <c r="A174" t="str">
        <f>G174</f>
        <v>Sin Pagar</v>
      </c>
      <c r="B174">
        <f>IF(I174&lt;=-1,1,IF(I174&lt;=5,2,IF(I174&lt;=15,3,IF(H174&lt;=60,4))))</f>
        <v>4</v>
      </c>
      <c r="C174">
        <v>6994</v>
      </c>
      <c r="D174" t="str">
        <v xml:space="preserve">EMASOC </v>
      </c>
      <c r="E174">
        <f>235000</f>
        <v>235000</v>
      </c>
      <c r="F174">
        <v>46136</v>
      </c>
      <c r="G174" t="str">
        <v>Sin Pagar</v>
      </c>
      <c r="H174">
        <f>IF(OR(G174="Sin pagar",G174="Pagar"),NETWORKDAYS($J$90,F174,'Festivos Colombia'!$A$3:$A$22),0)</f>
        <v>16</v>
      </c>
      <c r="I174">
        <f>NETWORKDAYS($J$90,F174,'Festivos Colombia'!$A$3:$A$22)</f>
        <v>16</v>
      </c>
      <c r="J174">
        <f>H174</f>
        <v>16</v>
      </c>
    </row>
    <row r="175">
      <c r="A175" t="str">
        <f>G175</f>
        <v>Sin Pagar</v>
      </c>
      <c r="B175">
        <f>IF(I175&lt;=-1,1,IF(I175&lt;=5,2,IF(I175&lt;=15,3,IF(H175&lt;=60,4))))</f>
        <v>4</v>
      </c>
      <c r="C175">
        <v>7004</v>
      </c>
      <c r="D175" t="str">
        <v xml:space="preserve">EMASOC </v>
      </c>
      <c r="E175">
        <f>235000</f>
        <v>235000</v>
      </c>
      <c r="F175">
        <v>46136</v>
      </c>
      <c r="G175" t="str">
        <v>Sin Pagar</v>
      </c>
      <c r="H175">
        <f>IF(OR(G175="Sin pagar",G175="Pagar"),NETWORKDAYS($J$90,F175,'Festivos Colombia'!$A$3:$A$22),0)</f>
        <v>16</v>
      </c>
      <c r="I175">
        <f>NETWORKDAYS($J$90,F175,'Festivos Colombia'!$A$3:$A$22)</f>
        <v>16</v>
      </c>
      <c r="J175">
        <f>H175</f>
        <v>16</v>
      </c>
    </row>
    <row r="176">
      <c r="A176" t="str">
        <f>G176</f>
        <v>Sin Pagar</v>
      </c>
      <c r="B176">
        <f>IF(I176&lt;=-1,1,IF(I176&lt;=5,2,IF(I176&lt;=15,3,IF(H176&lt;=60,4))))</f>
        <v>4</v>
      </c>
      <c r="C176">
        <v>3195</v>
      </c>
      <c r="D176" t="str">
        <v>Prosinte</v>
      </c>
      <c r="E176">
        <f>384004.68</f>
        <v>384004.68</v>
      </c>
      <c r="F176">
        <v>46142</v>
      </c>
      <c r="G176" t="str">
        <v>Sin Pagar</v>
      </c>
      <c r="H176">
        <f>IF(OR(G176="Sin pagar",G176="Pagar"),NETWORKDAYS($J$90,F176,'Festivos Colombia'!$A$3:$A$22),0)</f>
        <v>20</v>
      </c>
      <c r="I176">
        <f>NETWORKDAYS($J$90,F176,'Festivos Colombia'!$A$3:$A$22)</f>
        <v>20</v>
      </c>
      <c r="J176">
        <f>H176</f>
        <v>20</v>
      </c>
      <c r="K176" t="str">
        <v>Sin radicar</v>
      </c>
    </row>
    <row r="177">
      <c r="A177" t="str">
        <f>G177</f>
        <v>Sin Pagar</v>
      </c>
      <c r="B177">
        <f>IF(I177&lt;=-1,1,IF(I177&lt;=5,2,IF(I177&lt;=15,3,IF(H177&lt;=60,4))))</f>
        <v>4</v>
      </c>
      <c r="C177">
        <v>3196</v>
      </c>
      <c r="D177" t="str">
        <v>Prosinte</v>
      </c>
      <c r="E177">
        <f>190681.38</f>
        <v>190681.38</v>
      </c>
      <c r="F177">
        <v>46142</v>
      </c>
      <c r="G177" t="str">
        <v>Sin Pagar</v>
      </c>
      <c r="H177">
        <f>IF(OR(G177="Sin pagar",G177="Pagar"),NETWORKDAYS($J$90,F177,'Festivos Colombia'!$A$3:$A$22),0)</f>
        <v>20</v>
      </c>
      <c r="I177">
        <f>NETWORKDAYS($J$90,F177,'Festivos Colombia'!$A$3:$A$22)</f>
        <v>20</v>
      </c>
      <c r="J177">
        <f>H177</f>
        <v>20</v>
      </c>
      <c r="K177" t="str">
        <v>Sin radicar</v>
      </c>
    </row>
    <row r="178">
      <c r="D178" t="str">
        <v>SOFTWARE NÓMINA</v>
      </c>
      <c r="E178">
        <f>SUBTOTAL(9,E179:E181)</f>
        <v>7267101</v>
      </c>
    </row>
    <row r="179">
      <c r="A179" t="str">
        <f>G179</f>
        <v>Sin Pagar</v>
      </c>
      <c r="B179">
        <f>IF(I179&lt;=-1,1,IF(I179&lt;=5,2,IF(I179&lt;=15,3,IF(H179&lt;=60,4))))</f>
        <v>3</v>
      </c>
      <c r="C179" t="str">
        <v>PX45392</v>
      </c>
      <c r="D179" t="str">
        <v>Transmision nomina electronica</v>
      </c>
      <c r="E179">
        <f>197076</f>
        <v>197076</v>
      </c>
      <c r="F179">
        <v>46126</v>
      </c>
      <c r="G179" t="str">
        <v>Sin Pagar</v>
      </c>
      <c r="H179">
        <f>IF(OR(G179="Sin pagar",G179="Pagar"),NETWORKDAYS($J$90,F179,'Festivos Colombia'!$A$3:$A$22),0)</f>
        <v>8</v>
      </c>
      <c r="I179">
        <f>NETWORKDAYS($J$90,F179,'Festivos Colombia'!$A$3:$A$22)</f>
        <v>8</v>
      </c>
      <c r="J179">
        <f>H179</f>
        <v>8</v>
      </c>
    </row>
    <row r="180">
      <c r="A180" t="str">
        <f>G180</f>
        <v>Sin Pagar</v>
      </c>
      <c r="B180">
        <f>IF(I180&lt;=-1,1,IF(I180&lt;=5,2,IF(I180&lt;=15,3,IF(H180&lt;=60,4))))</f>
        <v>3</v>
      </c>
      <c r="C180" t="str">
        <v>PX45217</v>
      </c>
      <c r="D180" t="str">
        <v>Servidores ( hosting) y/ o computación en la nuble cloud Febrero</v>
      </c>
      <c r="E180">
        <f>1563888</f>
        <v>1563888</v>
      </c>
      <c r="F180">
        <v>46126</v>
      </c>
      <c r="G180" t="str">
        <v>Sin Pagar</v>
      </c>
      <c r="H180">
        <f>IF(OR(G180="Sin pagar",G180="Pagar"),NETWORKDAYS($J$90,F180,'Festivos Colombia'!$A$3:$A$22),0)</f>
        <v>8</v>
      </c>
      <c r="I180">
        <f>NETWORKDAYS($J$90,F180,'Festivos Colombia'!$A$3:$A$22)</f>
        <v>8</v>
      </c>
      <c r="J180">
        <f>H180</f>
        <v>8</v>
      </c>
    </row>
    <row r="181">
      <c r="A181" t="str">
        <f>G181</f>
        <v>Sin Pagar</v>
      </c>
      <c r="B181">
        <f>IF(I181&lt;=-1,1,IF(I181&lt;=5,2,IF(I181&lt;=15,3,IF(H181&lt;=60,4))))</f>
        <v>4</v>
      </c>
      <c r="C181" t="str">
        <v>GFE60050</v>
      </c>
      <c r="D181" t="str">
        <v>Novasoft-Servicio hosting Web-19 Usuarios-29 Bases de datos Enero</v>
      </c>
      <c r="E181">
        <f>5506137</f>
        <v>5506137</v>
      </c>
      <c r="F181">
        <v>46142</v>
      </c>
      <c r="G181" t="str">
        <v>Sin Pagar</v>
      </c>
      <c r="H181">
        <f>IF(OR(G181="Sin pagar",G181="Pagar"),NETWORKDAYS($J$90,F181,'Festivos Colombia'!$A$3:$A$22),0)</f>
        <v>20</v>
      </c>
      <c r="I181">
        <f>NETWORKDAYS($J$90,F181,'Festivos Colombia'!$A$3:$A$22)</f>
        <v>20</v>
      </c>
      <c r="J181">
        <f>H181</f>
        <v>20</v>
      </c>
      <c r="K181" t="str">
        <v>Sin radicar</v>
      </c>
    </row>
    <row r="182">
      <c r="D182" t="str">
        <v>NÓMINAS Y ABONO A TARJETAS PEOPLE PASS</v>
      </c>
      <c r="E182">
        <f>SUBTOTAL(9,E183:E189)</f>
        <v>1961113867.2</v>
      </c>
    </row>
    <row r="183">
      <c r="A183" t="str">
        <f>G183</f>
        <v>Sin Pagar</v>
      </c>
      <c r="B183">
        <f>IF(I183&lt;=-1,1,IF(I183&lt;=5,2,IF(I183&lt;=15,3,IF(H183&lt;=60,4))))</f>
        <v>4</v>
      </c>
      <c r="C183" t="str">
        <v>58 registros</v>
      </c>
      <c r="D183" t="str">
        <v>Nómina S&amp;P</v>
      </c>
      <c r="E183">
        <v>200315000</v>
      </c>
      <c r="F183">
        <v>46140</v>
      </c>
      <c r="G183" t="str">
        <v>Sin Pagar</v>
      </c>
      <c r="H183">
        <f>IF(OR(G183="Sin pagar",G183="Pagar"),NETWORKDAYS($J$90,F183,'Festivos Colombia'!$A$3:$A$22),0)</f>
        <v>18</v>
      </c>
      <c r="I183">
        <f>NETWORKDAYS($J$90,F183,'Festivos Colombia'!$A$3:$A$22)</f>
        <v>18</v>
      </c>
      <c r="J183">
        <f>H183</f>
        <v>18</v>
      </c>
    </row>
    <row r="184">
      <c r="D184" t="str">
        <v>Nómina EOR</v>
      </c>
      <c r="E184">
        <v>1439387078</v>
      </c>
      <c r="F184">
        <v>46140</v>
      </c>
      <c r="G184" t="str">
        <v>Sin Pagar</v>
      </c>
      <c r="H184">
        <f>IF(OR(G184="Sin pagar",G184="Pagar"),NETWORKDAYS($J$90,F184,'Festivos Colombia'!$A$3:$A$22),0)</f>
        <v>18</v>
      </c>
      <c r="I184">
        <f>NETWORKDAYS($J$90,F184,'Festivos Colombia'!$A$3:$A$22)</f>
        <v>18</v>
      </c>
      <c r="J184">
        <f>H184</f>
        <v>18</v>
      </c>
    </row>
    <row r="185">
      <c r="D185" t="str">
        <v>Nómina Insider</v>
      </c>
      <c r="E185">
        <f>292487078</f>
        <v>292487078</v>
      </c>
      <c r="F185">
        <v>46140</v>
      </c>
      <c r="G185" t="str">
        <v>Sin Pagar</v>
      </c>
      <c r="H185">
        <f>IF(OR(G185="Sin pagar",G185="Pagar"),NETWORKDAYS($J$90,F185,'Festivos Colombia'!$A$3:$A$22),0)</f>
        <v>18</v>
      </c>
      <c r="I185">
        <f>NETWORKDAYS($J$90,F185,'Festivos Colombia'!$A$3:$A$22)</f>
        <v>18</v>
      </c>
      <c r="J185">
        <f>H185</f>
        <v>18</v>
      </c>
    </row>
    <row r="186">
      <c r="A186" t="str">
        <f>G186</f>
        <v>Sin Pagar</v>
      </c>
      <c r="B186">
        <f>IF(I186&lt;=-1,1,IF(I186&lt;=5,2,IF(I186&lt;=15,3,IF(H186&lt;=60,4))))</f>
        <v>4</v>
      </c>
      <c r="C186" t="str">
        <v>1 registro</v>
      </c>
      <c r="D186" t="str">
        <v xml:space="preserve">Embargo Fabian Morales- Banco Agrario </v>
      </c>
      <c r="E186">
        <v>1112000</v>
      </c>
      <c r="F186">
        <v>46142</v>
      </c>
      <c r="G186" t="str">
        <v>Sin Pagar</v>
      </c>
      <c r="H186">
        <f>IF(OR(G186="Sin pagar",G186="Pagar"),NETWORKDAYS($J$90,F186,'Festivos Colombia'!$A$3:$A$22),0)</f>
        <v>20</v>
      </c>
      <c r="I186">
        <f>NETWORKDAYS($J$90,F186,'Festivos Colombia'!$A$3:$A$22)</f>
        <v>20</v>
      </c>
      <c r="J186">
        <f>H186</f>
        <v>20</v>
      </c>
    </row>
    <row r="187">
      <c r="A187" t="str">
        <f>G187</f>
        <v>Sin Pagar</v>
      </c>
      <c r="B187">
        <f>IF(I187&lt;=-1,1,IF(I187&lt;=5,2,IF(I187&lt;=15,3,IF(H187&lt;=60,4))))</f>
        <v>4</v>
      </c>
      <c r="C187" t="str">
        <v>FPP464606</v>
      </c>
      <c r="D187" t="str">
        <v xml:space="preserve">People Pass </v>
      </c>
      <c r="E187">
        <f>13700000*1.19</f>
        <v>16303000</v>
      </c>
      <c r="F187">
        <v>46142</v>
      </c>
      <c r="G187" t="str">
        <v>Sin Pagar</v>
      </c>
      <c r="H187">
        <f>IF(OR(G187="Sin pagar",G187="Pagar"),NETWORKDAYS($J$90,F187,'Festivos Colombia'!$A$3:$A$22),0)</f>
        <v>20</v>
      </c>
      <c r="I187">
        <f>NETWORKDAYS($J$90,F187,'Festivos Colombia'!$A$3:$A$22)</f>
        <v>20</v>
      </c>
      <c r="J187">
        <f>H187</f>
        <v>20</v>
      </c>
    </row>
    <row r="188">
      <c r="A188" t="str">
        <f>G188</f>
        <v>Sin Pagar</v>
      </c>
      <c r="B188">
        <f>IF(I188&lt;=-1,1,IF(I188&lt;=5,2,IF(I188&lt;=15,3,IF(H188&lt;=60,4))))</f>
        <v>4</v>
      </c>
      <c r="D188" t="str">
        <v>People Pass Dotación S&amp;P</v>
      </c>
      <c r="E188">
        <f>6810480*1.19</f>
        <v>8104471.199999999</v>
      </c>
      <c r="F188">
        <v>46142</v>
      </c>
      <c r="G188" t="str">
        <v>Sin Pagar</v>
      </c>
      <c r="H188">
        <f>IF(OR(G188="Sin pagar",G188="Pagar"),NETWORKDAYS($J$90,F188,'Festivos Colombia'!$A$3:$A$22),0)</f>
        <v>20</v>
      </c>
      <c r="I188">
        <f>NETWORKDAYS($J$90,F188,'Festivos Colombia'!$A$3:$A$22)</f>
        <v>20</v>
      </c>
      <c r="J188">
        <f>H188</f>
        <v>20</v>
      </c>
    </row>
    <row r="189">
      <c r="A189" t="str">
        <f>G189</f>
        <v>Sin Pagar</v>
      </c>
      <c r="B189">
        <f>IF(I189&lt;=-1,1,IF(I189&lt;=5,2,IF(I189&lt;=15,3,IF(H189&lt;=60,4))))</f>
        <v>4</v>
      </c>
      <c r="D189" t="str">
        <v>People Pass Dotación EOR</v>
      </c>
      <c r="E189">
        <v>3405240</v>
      </c>
      <c r="F189">
        <v>46142</v>
      </c>
      <c r="G189" t="str">
        <v>Sin Pagar</v>
      </c>
      <c r="H189">
        <f>IF(OR(G189="Sin pagar",G189="Pagar"),NETWORKDAYS($J$90,F189,'Festivos Colombia'!$A$3:$A$22),0)</f>
        <v>20</v>
      </c>
      <c r="I189">
        <f>NETWORKDAYS($J$90,F189,'Festivos Colombia'!$A$3:$A$22)</f>
        <v>20</v>
      </c>
      <c r="J189">
        <f>H189</f>
        <v>20</v>
      </c>
    </row>
    <row r="190">
      <c r="D190" t="str">
        <v xml:space="preserve">LIQUIDACIONES </v>
      </c>
      <c r="E190">
        <f>SUBTOTAL(9,E191:E193)</f>
        <v>55000000</v>
      </c>
    </row>
    <row r="191">
      <c r="A191" t="e">
        <f>#REF!</f>
        <v>#REF!</v>
      </c>
      <c r="B191">
        <f>IF(I191&lt;=-1,1,IF(I191&lt;=5,2,IF(I191&lt;=15,3,IF(H191&lt;=60,4))))</f>
        <v>2</v>
      </c>
      <c r="D191" t="str">
        <v>Liquidación Edgar Felipe Chaves Rodriguez</v>
      </c>
      <c r="E191">
        <f>138978592*0</f>
        <v>0</v>
      </c>
      <c r="F191">
        <v>46118</v>
      </c>
      <c r="G191" t="str">
        <v>Cancelado</v>
      </c>
      <c r="H191">
        <f>IF(OR(G191="Sin pagar",G191="Pagar"),NETWORKDAYS($J$90,F191,'Festivos Colombia'!$A$3:$A$22),0)</f>
        <v>0</v>
      </c>
      <c r="I191">
        <f>NETWORKDAYS($J$90,F191,'Festivos Colombia'!$A$3:$A$22)</f>
        <v>2</v>
      </c>
      <c r="J191">
        <f>H191</f>
        <v>0</v>
      </c>
    </row>
    <row r="192">
      <c r="A192" t="e">
        <f>#REF!</f>
        <v>#REF!</v>
      </c>
      <c r="B192">
        <f>IF(I192&lt;=-1,1,IF(I192&lt;=5,2,IF(I192&lt;=15,3,IF(H192&lt;=60,4))))</f>
        <v>3</v>
      </c>
      <c r="D192" t="str">
        <v>Liquidaciones prevista</v>
      </c>
      <c r="E192">
        <v>30000000</v>
      </c>
      <c r="F192">
        <v>46129</v>
      </c>
      <c r="G192" t="str">
        <v>Sin Pagar</v>
      </c>
      <c r="H192">
        <f>IF(OR(G192="Sin pagar",G192="Pagar"),NETWORKDAYS($J$90,F192,'Festivos Colombia'!$A$3:$A$22),0)</f>
        <v>11</v>
      </c>
      <c r="I192">
        <f>NETWORKDAYS($J$90,F192,'Festivos Colombia'!$A$3:$A$22)</f>
        <v>11</v>
      </c>
      <c r="J192">
        <f>H192</f>
        <v>11</v>
      </c>
    </row>
    <row r="193">
      <c r="A193" t="e">
        <f>#REF!</f>
        <v>#REF!</v>
      </c>
      <c r="B193">
        <f>IF(I193&lt;=-1,1,IF(I193&lt;=5,2,IF(I193&lt;=15,3,IF(H193&lt;=60,4))))</f>
        <v>4</v>
      </c>
      <c r="D193" t="str">
        <v>Liquidaciones prevista</v>
      </c>
      <c r="E193">
        <v>25000000</v>
      </c>
      <c r="F193">
        <v>46142</v>
      </c>
      <c r="G193" t="str">
        <v>Sin Pagar</v>
      </c>
      <c r="H193">
        <f>IF(OR(G193="Sin pagar",G193="Pagar"),NETWORKDAYS($J$90,F193,'Festivos Colombia'!$A$3:$A$22),0)</f>
        <v>20</v>
      </c>
      <c r="I193">
        <f>NETWORKDAYS($J$90,F193,'Festivos Colombia'!$A$3:$A$22)</f>
        <v>20</v>
      </c>
      <c r="J193">
        <f>H193</f>
        <v>20</v>
      </c>
    </row>
    <row r="194">
      <c r="D194" t="str">
        <v>IMPREVISTO</v>
      </c>
      <c r="E194">
        <f>SUBTOTAL(9,E195:E202)</f>
        <v>153201126.15</v>
      </c>
    </row>
    <row r="195">
      <c r="A195" t="str">
        <f>G195</f>
        <v>Cancelado</v>
      </c>
      <c r="B195">
        <f>IF(I195&lt;=-1,1,IF(I195&lt;=5,2,IF(I195&lt;=15,3,IF(H195&lt;=60,4))))</f>
        <v>2</v>
      </c>
      <c r="D195" t="str">
        <v>Anticipo de dinero Yecid Martin</v>
      </c>
      <c r="E195">
        <f>300000*0</f>
        <v>0</v>
      </c>
      <c r="F195">
        <v>46119</v>
      </c>
      <c r="G195" t="str">
        <v>Cancelado</v>
      </c>
      <c r="H195">
        <f>IF(OR(G195="Sin pagar",G195="Pagar"),NETWORKDAYS($J$90,F195,'Festivos Colombia'!$A$3:$A$22),0)</f>
        <v>0</v>
      </c>
      <c r="I195">
        <f>NETWORKDAYS($J$90,F195,'Festivos Colombia'!$A$3:$A$22)</f>
        <v>3</v>
      </c>
      <c r="J195">
        <f>H195</f>
        <v>0</v>
      </c>
    </row>
    <row r="196">
      <c r="A196" t="str">
        <f>G196</f>
        <v>Cancelado</v>
      </c>
      <c r="B196">
        <f>IF(I196&lt;=-1,1,IF(I196&lt;=5,2,IF(I196&lt;=15,3,IF(H196&lt;=60,4))))</f>
        <v>2</v>
      </c>
      <c r="C196" t="str">
        <v>S/N</v>
      </c>
      <c r="D196" t="str">
        <v>Desayuno Networking AmCham Colombia-Dayana Mejia 15 abril</v>
      </c>
      <c r="E196">
        <v>166600</v>
      </c>
      <c r="F196">
        <v>46120</v>
      </c>
      <c r="G196" t="str">
        <v>Cancelado</v>
      </c>
      <c r="H196">
        <f>IF(OR(G196="Sin pagar",G196="Pagar"),NETWORKDAYS($J$90,F196,'Festivos Colombia'!$A$3:$A$22),0)</f>
        <v>0</v>
      </c>
      <c r="I196">
        <f>NETWORKDAYS($J$90,F196,'Festivos Colombia'!$A$3:$A$22)</f>
        <v>4</v>
      </c>
      <c r="J196">
        <f>H196</f>
        <v>0</v>
      </c>
    </row>
    <row r="197">
      <c r="A197" t="str">
        <f>G197</f>
        <v>Sin Pagar</v>
      </c>
      <c r="B197">
        <f>IF(I197&lt;=-1,1,IF(I197&lt;=5,2,IF(I197&lt;=15,3,IF(H197&lt;=60,4))))</f>
        <v>3</v>
      </c>
      <c r="C197">
        <v>10025785</v>
      </c>
      <c r="D197" t="str">
        <v>Certificado camara de comercio S&amp;P</v>
      </c>
      <c r="E197">
        <v>12100</v>
      </c>
      <c r="F197">
        <v>46122</v>
      </c>
      <c r="G197" t="str">
        <v>Sin Pagar</v>
      </c>
      <c r="H197">
        <f>IF(OR(G197="Sin pagar",G197="Pagar"),NETWORKDAYS($J$90,F197,'Festivos Colombia'!$A$3:$A$22),0)</f>
        <v>6</v>
      </c>
      <c r="I197">
        <f>NETWORKDAYS($J$90,F197,'Festivos Colombia'!$A$3:$A$22)</f>
        <v>6</v>
      </c>
      <c r="J197">
        <f>H197</f>
        <v>6</v>
      </c>
    </row>
    <row r="198">
      <c r="A198" t="str">
        <f>G198</f>
        <v>Sin Pagar</v>
      </c>
      <c r="B198">
        <f>IF(I198&lt;=-1,1,IF(I198&lt;=5,2,IF(I198&lt;=15,3,IF(H198&lt;=60,4))))</f>
        <v>3</v>
      </c>
      <c r="C198" t="str">
        <v>S/N</v>
      </c>
      <c r="D198" t="str">
        <v xml:space="preserve">Compra de computadores </v>
      </c>
      <c r="E198">
        <f>4700000*10</f>
        <v>47000000</v>
      </c>
      <c r="F198">
        <v>46129</v>
      </c>
      <c r="G198" t="str">
        <v>Sin Pagar</v>
      </c>
      <c r="H198">
        <f>IF(OR(G198="Sin pagar",G198="Pagar"),NETWORKDAYS($J$90,F198,'Festivos Colombia'!$A$3:$A$22),0)</f>
        <v>11</v>
      </c>
      <c r="I198">
        <f>NETWORKDAYS($J$90,F198,'Festivos Colombia'!$A$3:$A$22)</f>
        <v>11</v>
      </c>
      <c r="J198">
        <f>H198</f>
        <v>11</v>
      </c>
    </row>
    <row r="199">
      <c r="A199" t="str">
        <f>G199</f>
        <v>Sin Pagar</v>
      </c>
      <c r="B199">
        <f>IF(I199&lt;=-1,1,IF(I199&lt;=5,2,IF(I199&lt;=15,3,IF(H199&lt;=60,4))))</f>
        <v>4</v>
      </c>
      <c r="C199" t="str">
        <v>S/N</v>
      </c>
      <c r="D199" t="str">
        <v xml:space="preserve">Compra de computadores </v>
      </c>
      <c r="E199">
        <f>4700000*5</f>
        <v>23500000</v>
      </c>
      <c r="F199">
        <v>46136</v>
      </c>
      <c r="G199" t="str">
        <v>Sin Pagar</v>
      </c>
      <c r="H199">
        <f>IF(OR(G199="Sin pagar",G199="Pagar"),NETWORKDAYS($J$90,F199,'Festivos Colombia'!$A$3:$A$22),0)</f>
        <v>16</v>
      </c>
      <c r="I199">
        <f>NETWORKDAYS($J$90,F199,'Festivos Colombia'!$A$3:$A$22)</f>
        <v>16</v>
      </c>
      <c r="J199">
        <f>H199</f>
        <v>16</v>
      </c>
    </row>
    <row r="200">
      <c r="A200" t="str">
        <f>G200</f>
        <v>Sin Pagar</v>
      </c>
      <c r="B200">
        <f>IF(I200&lt;=-1,1,IF(I200&lt;=5,2,IF(I200&lt;=15,3,IF(H200&lt;=60,4))))</f>
        <v>4</v>
      </c>
      <c r="C200" t="str">
        <v>702386580</v>
      </c>
      <c r="D200" t="str">
        <v>Otros imprevistos</v>
      </c>
      <c r="E200">
        <v>15000000</v>
      </c>
      <c r="F200">
        <v>46136</v>
      </c>
      <c r="G200" t="str">
        <v>Sin Pagar</v>
      </c>
      <c r="H200">
        <f>IF(OR(G200="Sin pagar",G200="Pagar"),NETWORKDAYS($J$90,F200,'Festivos Colombia'!$A$3:$A$22),0)</f>
        <v>16</v>
      </c>
      <c r="I200">
        <f>NETWORKDAYS($J$90,F200,'Festivos Colombia'!$A$3:$A$22)</f>
        <v>16</v>
      </c>
      <c r="J200">
        <f>H200</f>
        <v>16</v>
      </c>
    </row>
    <row r="201">
      <c r="A201" t="str">
        <f>G201</f>
        <v>Sin Pagar</v>
      </c>
      <c r="B201">
        <f>IF(I201&lt;=-1,1,IF(I201&lt;=5,2,IF(I201&lt;=15,3,IF(H201&lt;=60,4))))</f>
        <v>4</v>
      </c>
      <c r="D201" t="str">
        <v xml:space="preserve">Devolucion de  anticipo edrington </v>
      </c>
      <c r="E201">
        <f>(89512000/2)</f>
        <v>44756000</v>
      </c>
      <c r="F201">
        <v>46142</v>
      </c>
      <c r="G201" t="str">
        <v>Sin Pagar</v>
      </c>
      <c r="H201">
        <f>IF(OR(G201="Sin pagar",G201="Pagar"),NETWORKDAYS($J$90,F201,'Festivos Colombia'!$A$3:$A$22),0)</f>
        <v>20</v>
      </c>
      <c r="I201">
        <f>NETWORKDAYS($J$90,F201,'Festivos Colombia'!$A$3:$A$22)</f>
        <v>20</v>
      </c>
      <c r="J201">
        <f>H201</f>
        <v>20</v>
      </c>
    </row>
    <row r="202">
      <c r="A202" t="str">
        <f>G202</f>
        <v>Sin Pagar</v>
      </c>
      <c r="B202">
        <f>IF(I202&lt;=-1,1,IF(I202&lt;=5,2,IF(I202&lt;=15,3,IF(H202&lt;=60,4))))</f>
        <v>4</v>
      </c>
      <c r="D202" t="str">
        <v>Devolucion de dinero a Panamá</v>
      </c>
      <c r="E202">
        <v>22766426.15</v>
      </c>
      <c r="F202">
        <v>46142</v>
      </c>
      <c r="G202" t="str">
        <v>Sin Pagar</v>
      </c>
      <c r="H202">
        <f>IF(OR(G202="Sin pagar",G202="Pagar"),NETWORKDAYS($J$90,F202,'Festivos Colombia'!$A$3:$A$22),0)</f>
        <v>20</v>
      </c>
      <c r="I202">
        <f>NETWORKDAYS($J$90,F202,'Festivos Colombia'!$A$3:$A$22)</f>
        <v>20</v>
      </c>
      <c r="J202">
        <f>H202</f>
        <v>20</v>
      </c>
    </row>
    <row r="203">
      <c r="D203" t="str">
        <v>TOTAL EGRESOS</v>
      </c>
      <c r="E203">
        <f>SUBTOTAL(9,E92:E202)</f>
        <v>3134841788.45</v>
      </c>
    </row>
    <row r="205">
      <c r="D205" t="str">
        <v>SALDO</v>
      </c>
      <c r="E205">
        <f>E87-E203</f>
        <v>743588068.5985928</v>
      </c>
    </row>
    <row r="206">
      <c r="D206" t="str">
        <v xml:space="preserve">% </v>
      </c>
      <c r="E206">
        <f>IF($E$87=0,0,E205/$E$87)</f>
        <v>0.1917239955357729</v>
      </c>
      <c r="K206">
        <v>780000000</v>
      </c>
      <c r="L206">
        <f>+K206-E205</f>
        <v>36411931.40140724</v>
      </c>
    </row>
    <row r="208">
      <c r="D208" t="str">
        <v>Nombre</v>
      </c>
      <c r="L208">
        <f>L206*2</f>
        <v>72823862.80281448</v>
      </c>
    </row>
    <row r="209">
      <c r="D209" t="str">
        <v>Jerson Porras -Tarjeta 7</v>
      </c>
      <c r="E209" t="str">
        <v>Carestream</v>
      </c>
    </row>
    <row r="210">
      <c r="D210" t="str">
        <v>Monica Fabiana Hernandez Pinto - Tarjeta 8</v>
      </c>
      <c r="E210" t="str">
        <v>Root capital</v>
      </c>
    </row>
    <row r="214">
      <c r="D214" t="str">
        <v>Pagos del 01 al 26 abril</v>
      </c>
      <c r="E214">
        <f>SUM(DISTRIBUCIÓN!F5:F12)</f>
        <v>943694936.48</v>
      </c>
    </row>
    <row r="215">
      <c r="D215" t="str">
        <v xml:space="preserve">4 x mil </v>
      </c>
      <c r="E215">
        <f>(E214*4)/1000</f>
        <v>3774779.74592</v>
      </c>
    </row>
    <row r="216">
      <c r="D216" t="str">
        <v>Gran total</v>
      </c>
      <c r="E216">
        <f>E214+E215</f>
        <v>947469716.22592</v>
      </c>
    </row>
    <row r="219">
      <c r="D219" t="str">
        <v>BBVA 08/04/2026</v>
      </c>
      <c r="E219">
        <v>8804728.63</v>
      </c>
    </row>
    <row r="220">
      <c r="D220" t="str">
        <v>Bancolombia  08/04/2026</v>
      </c>
      <c r="E220">
        <v>764845393.39</v>
      </c>
    </row>
    <row r="221">
      <c r="D221" t="str">
        <v xml:space="preserve">Total Caja </v>
      </c>
      <c r="E221">
        <f>SUM(E219:E220)</f>
        <v>773650122.02</v>
      </c>
    </row>
    <row r="223">
      <c r="D223" t="str">
        <v>Superavit o Deficit</v>
      </c>
      <c r="E223">
        <f>E221-E216</f>
        <v>-173819594.20591998</v>
      </c>
    </row>
    <row r="227">
      <c r="D227" t="str">
        <v>Banco Panamá S&amp;P USD 08/04/2026</v>
      </c>
      <c r="E227">
        <v>42967.01</v>
      </c>
      <c r="F227">
        <v>43246.46</v>
      </c>
      <c r="G227">
        <f>E227-F227</f>
        <v>-279.4499999999971</v>
      </c>
      <c r="K227">
        <v>2616.55</v>
      </c>
    </row>
    <row r="228">
      <c r="D228" t="str">
        <v>BAC Costa Rica  ₡ 08/04/2026</v>
      </c>
      <c r="E228">
        <v>36606225.82567004</v>
      </c>
      <c r="F228">
        <f>E228/480</f>
        <v>76262.97047014591</v>
      </c>
      <c r="G228">
        <f>F228+E229</f>
        <v>105138.20047014591</v>
      </c>
    </row>
    <row r="229">
      <c r="D229" t="str">
        <v>BAC Costa Rica  USD 08/04/2026</v>
      </c>
      <c r="E229">
        <v>28875.23</v>
      </c>
    </row>
    <row r="230">
      <c r="D230" t="str">
        <v>Banco Bibankg Guatemala QTZ 08/04/2026</v>
      </c>
      <c r="E230">
        <v>523366.30346177786</v>
      </c>
      <c r="F230">
        <f>E230/7.46</f>
        <v>70156.34094661902</v>
      </c>
      <c r="G230">
        <f>F230+E231</f>
        <v>76652.83094661901</v>
      </c>
    </row>
    <row r="231">
      <c r="D231" t="str">
        <v>Banco Bibankg Guatemala USD 08/04/2026</v>
      </c>
      <c r="E231">
        <v>6496.489999999991</v>
      </c>
    </row>
    <row r="232">
      <c r="D232" t="str">
        <v>BCP Perú Soles 08/04/2026</v>
      </c>
      <c r="E232">
        <v>382280.32127186365</v>
      </c>
      <c r="F232">
        <f>E232/3.52</f>
        <v>108602.36399768853</v>
      </c>
      <c r="G232">
        <f>F232+E233+F234+E235</f>
        <v>124251.85399004209</v>
      </c>
    </row>
    <row r="233">
      <c r="D233" t="str">
        <v>BCP Perú USD 08/04/2026</v>
      </c>
      <c r="E233">
        <v>15140.983713283786</v>
      </c>
    </row>
    <row r="234">
      <c r="D234" t="str">
        <v>BBVA Perú Soles 08/04/2026</v>
      </c>
      <c r="E234">
        <v>1714.38</v>
      </c>
      <c r="F234">
        <f>E234/3.44</f>
        <v>498.3662790697675</v>
      </c>
    </row>
    <row r="235">
      <c r="D235" t="str">
        <v>BBVA Perú USD 08/04/2026</v>
      </c>
      <c r="E235">
        <v>10.14</v>
      </c>
    </row>
    <row r="236">
      <c r="D236" t="str">
        <v>Bancolombia ACT&amp;J COPS 08/04/2026</v>
      </c>
      <c r="E236">
        <v>292927.05</v>
      </c>
    </row>
    <row r="238">
      <c r="D238" t="str">
        <v>Banco Aliado Panamá USD 30/03/2026</v>
      </c>
      <c r="E238">
        <f>51472.96*0</f>
        <v>0</v>
      </c>
      <c r="F238" t="str">
        <v>Dato Informativo no es CTA de S&amp;P</v>
      </c>
    </row>
    <row r="241">
      <c r="D241" t="str">
        <v>Bancos</v>
      </c>
      <c r="E241">
        <v>13</v>
      </c>
    </row>
    <row r="242">
      <c r="D242" t="str">
        <v>Cuentas</v>
      </c>
      <c r="E242">
        <v>17</v>
      </c>
    </row>
  </sheetData>
  <autoFilter ref="C91:K202"/>
  <mergeCells count="1">
    <mergeCell ref="D212:E212"/>
  </mergeCells>
  <pageMargins left="0.7" right="0.7" top="0.75" bottom="0.75" header="0.3" footer="0.3"/>
  <ignoredErrors>
    <ignoredError numberStoredAsText="1" sqref="A1:X249"/>
  </ignoredErrors>
  <legacyDrawing r:id="rId1"/>
</worksheet>
</file>

<file path=xl/worksheets/sheet7.xml><?xml version="1.0" encoding="utf-8"?>
<worksheet xmlns="http://schemas.openxmlformats.org/spreadsheetml/2006/main" xmlns:r="http://schemas.openxmlformats.org/officeDocument/2006/relationships">
  <dimension ref="B1:L136"/>
  <sheetViews>
    <sheetView workbookViewId="0" rightToLeft="0"/>
  </sheetViews>
  <sheetData>
    <row r="1">
      <c r="H1" t="str">
        <v>Sin Pagar</v>
      </c>
      <c r="I1" t="str">
        <v>Cancelado</v>
      </c>
    </row>
    <row r="2">
      <c r="B2" t="str">
        <v>Distribución de dinero</v>
      </c>
    </row>
    <row r="4">
      <c r="B4" t="str">
        <v>Semana</v>
      </c>
      <c r="C4" t="str">
        <v>Fecha Inicial</v>
      </c>
      <c r="D4" t="str">
        <v>Fecha Final</v>
      </c>
      <c r="E4" t="str">
        <v xml:space="preserve">Descripción </v>
      </c>
      <c r="F4" t="str">
        <v>Valor</v>
      </c>
      <c r="H4" t="str">
        <v>Sin pagar</v>
      </c>
      <c r="I4" t="str">
        <v>Cancelado</v>
      </c>
      <c r="J4" t="str">
        <v>Total</v>
      </c>
    </row>
    <row r="5">
      <c r="B5">
        <v>1</v>
      </c>
      <c r="C5">
        <v>46113</v>
      </c>
      <c r="D5">
        <v>46124</v>
      </c>
      <c r="E5" t="str">
        <v>Pagos a Realizar</v>
      </c>
      <c r="F5">
        <f>SUMIFS(ABRIL!$E$92:$E$1917,ABRIL!$F$92:$F$1917,"&gt;="&amp;C5,ABRIL!$F$92:$F$1917,"&lt;="&amp;D5,ABRIL!$G$92:$G$1917,$H$1)</f>
        <v>7941408.46</v>
      </c>
      <c r="G5" t="str">
        <v xml:space="preserve">Proveedores </v>
      </c>
    </row>
    <row r="6">
      <c r="B6">
        <v>2</v>
      </c>
      <c r="C6">
        <v>46125</v>
      </c>
      <c r="D6">
        <v>46125</v>
      </c>
      <c r="E6" t="str">
        <v>Pagos a Realizar</v>
      </c>
      <c r="F6">
        <f>SUMIFS(ABRIL!$E$92:$E$1917,ABRIL!$F$92:$F$1917,"&gt;="&amp;C6,ABRIL!$F$92:$F$1917,"&lt;="&amp;D6,ABRIL!$G$92:$G$1917,$H$1)</f>
        <v>0</v>
      </c>
      <c r="G6" t="str">
        <v>-</v>
      </c>
      <c r="H6">
        <f>SUMIFS(ABRIL!$E$92:$E$1926,ABRIL!$F$92:$F$1926,"&gt;="&amp;C5,ABRIL!$F$92:$F$1926,"&lt;="&amp;D13,ABRIL!$G$92:$G$1926,$H$1)</f>
        <v>3134675188.45</v>
      </c>
      <c r="I6">
        <f>SUMIFS(ABRIL!$E$92:$E$1926,ABRIL!$F$92:$F$1926,"&gt;="&amp;C5,ABRIL!$F$92:$F$1926,"&lt;="&amp;D13,ABRIL!$G$92:$G$1926,$I$1)</f>
        <v>166600</v>
      </c>
      <c r="J6">
        <f>SUM(H6:I6)</f>
        <v>3134841788.45</v>
      </c>
      <c r="L6" t="e">
        <f>J6-#REF!</f>
        <v>#REF!</v>
      </c>
    </row>
    <row r="7">
      <c r="B7">
        <v>3</v>
      </c>
      <c r="C7">
        <v>46126</v>
      </c>
      <c r="D7">
        <v>46126</v>
      </c>
      <c r="E7" t="str">
        <v>Pagos a Realizar</v>
      </c>
      <c r="F7">
        <f>SUMIFS(ABRIL!$E$92:$E$1917,ABRIL!$F$92:$F$1917,"&gt;="&amp;C7,ABRIL!$F$92:$F$1917,"&lt;="&amp;D7,ABRIL!$G$92:$G$1917,$H$1)</f>
        <v>15620964</v>
      </c>
      <c r="G7" t="str">
        <v>Anticipo nómina Nazdar y Action</v>
      </c>
    </row>
    <row r="8">
      <c r="B8">
        <v>4</v>
      </c>
      <c r="C8">
        <v>46127</v>
      </c>
      <c r="D8">
        <v>46127</v>
      </c>
      <c r="E8" t="str">
        <v>Pagos a Realizar</v>
      </c>
      <c r="F8">
        <f>SUMIFS(ABRIL!$E$92:$E$1917,ABRIL!$F$92:$F$1917,"&gt;="&amp;C8,ABRIL!$F$92:$F$1917,"&lt;="&amp;D8,ABRIL!$G$92:$G$1917,$H$1)</f>
        <v>530117800</v>
      </c>
      <c r="G8" t="str">
        <v>Seguridad social</v>
      </c>
      <c r="I8" t="str">
        <v>Comprobación</v>
      </c>
      <c r="J8">
        <f>ABRIL!E203</f>
        <v>3134841788.45</v>
      </c>
    </row>
    <row r="9">
      <c r="B9">
        <v>5</v>
      </c>
      <c r="C9">
        <v>46128</v>
      </c>
      <c r="D9">
        <v>46128</v>
      </c>
      <c r="E9" t="str">
        <v>Pagos a Realizar</v>
      </c>
      <c r="F9">
        <f>SUMIFS(ABRIL!$E$92:$E$1917,ABRIL!$F$92:$F$1917,"&gt;="&amp;C9,ABRIL!$F$92:$F$1917,"&lt;="&amp;D9,ABRIL!$G$92:$G$1917,$H$1)</f>
        <v>21127878</v>
      </c>
      <c r="G9" t="str">
        <v>TC Endrington</v>
      </c>
    </row>
    <row r="10">
      <c r="B10">
        <v>6</v>
      </c>
      <c r="C10">
        <v>46129</v>
      </c>
      <c r="D10">
        <v>46131</v>
      </c>
      <c r="E10" t="str">
        <v>Pagos a Realizar</v>
      </c>
      <c r="F10">
        <f>SUMIFS(ABRIL!$E$92:$E$1917,ABRIL!$F$92:$F$1917,"&gt;="&amp;C10,ABRIL!$F$92:$F$1917,"&lt;="&amp;D10,ABRIL!$G$92:$G$1917,$H$1)</f>
        <v>85525369.9</v>
      </c>
      <c r="G10" t="str">
        <v>Proveedores</v>
      </c>
      <c r="J10">
        <f>J6-J8</f>
        <v>0</v>
      </c>
    </row>
    <row r="11">
      <c r="B11">
        <v>7</v>
      </c>
      <c r="C11">
        <v>46132</v>
      </c>
      <c r="D11">
        <v>46132</v>
      </c>
      <c r="E11" t="str">
        <v>Pagos a Realizar</v>
      </c>
      <c r="F11">
        <f>SUMIFS(ABRIL!$E$92:$E$1917,ABRIL!$F$92:$F$1917,"&gt;="&amp;C11,ABRIL!$F$92:$F$1917,"&lt;="&amp;D11,ABRIL!$G$92:$G$1917,$H$1)</f>
        <v>239676790</v>
      </c>
      <c r="G11" t="str">
        <v>Rte FTE</v>
      </c>
    </row>
    <row r="12">
      <c r="B12">
        <v>8</v>
      </c>
      <c r="C12">
        <v>46133</v>
      </c>
      <c r="D12">
        <v>46138</v>
      </c>
      <c r="E12" t="str">
        <v>Pagos a Realizar</v>
      </c>
      <c r="F12">
        <f>SUMIFS(ABRIL!$E$92:$E$1917,ABRIL!$F$92:$F$1917,"&gt;="&amp;C12,ABRIL!$F$92:$F$1917,"&lt;="&amp;D12,ABRIL!$G$92:$G$1917,$H$1)</f>
        <v>43684726.120000005</v>
      </c>
      <c r="G12" t="str">
        <v>Proveedores</v>
      </c>
    </row>
    <row r="13">
      <c r="B13">
        <v>9</v>
      </c>
      <c r="C13">
        <v>46139</v>
      </c>
      <c r="D13">
        <v>46142</v>
      </c>
      <c r="E13" t="str">
        <v>Pagos a Realizar</v>
      </c>
      <c r="F13">
        <f>SUMIFS(ABRIL!$E$92:$E$1917,ABRIL!$F$92:$F$1917,"&gt;="&amp;C13,ABRIL!$F$92:$F$1917,"&lt;="&amp;D13,ABRIL!$G$92:$G$1917,$H$1)</f>
        <v>2190980251.97</v>
      </c>
      <c r="G13" t="str">
        <v>Nómina-Pagos a tercero-Proveedores</v>
      </c>
    </row>
    <row r="14">
      <c r="B14" t="str">
        <v>TOTAL</v>
      </c>
      <c r="F14">
        <f>SUM(F5:F13)</f>
        <v>3134675188.45</v>
      </c>
    </row>
    <row r="16">
      <c r="E16" t="str">
        <v>Escenario 1</v>
      </c>
    </row>
    <row r="17">
      <c r="E17" t="str">
        <v>Gastos y costos Periodo 01 al 26 abril</v>
      </c>
      <c r="F17">
        <f>SUM($F$5:$F$12)</f>
        <v>943694936.48</v>
      </c>
    </row>
    <row r="18">
      <c r="E18" t="str">
        <v>4 X mil</v>
      </c>
      <c r="F18">
        <f>($F$17*4)/1000</f>
        <v>3774779.74592</v>
      </c>
    </row>
    <row r="19">
      <c r="E19" t="str">
        <v>Total</v>
      </c>
      <c r="F19">
        <f>SUM(F17:F18)</f>
        <v>947469716.22592</v>
      </c>
    </row>
    <row r="21">
      <c r="E21" t="str">
        <v xml:space="preserve">Bancos </v>
      </c>
      <c r="F21">
        <f>ABRIL!$E$221</f>
        <v>773650122.02</v>
      </c>
    </row>
    <row r="22">
      <c r="E22" t="str">
        <v>Bubble Do Brasil</v>
      </c>
      <c r="F22">
        <f>'MONETIZACIONES PEND'!$Q$18+'MONETIZACIONES PEND'!$Q$19</f>
        <v>4743457.152</v>
      </c>
    </row>
    <row r="23">
      <c r="E23" t="str">
        <v>Action  AD</v>
      </c>
      <c r="F23">
        <v>12600000</v>
      </c>
    </row>
    <row r="24">
      <c r="E24" t="str">
        <v>AECID</v>
      </c>
      <c r="F24">
        <f>ABRIL!$E$8+ABRIL!$E$9</f>
        <v>36466712.65</v>
      </c>
    </row>
    <row r="25">
      <c r="E25" t="str">
        <v>Global Colombia</v>
      </c>
      <c r="F25">
        <f>ABRIL!E23</f>
        <v>20244754</v>
      </c>
    </row>
    <row r="26">
      <c r="E26" t="str">
        <v>Proveedores Nacionales</v>
      </c>
      <c r="F26">
        <f>ABRIL!$E$7+ABRIL!$E$10+ABRIL!$E$29+ABRIL!$E$33+ABRIL!$E$34</f>
        <v>26977098.490000002</v>
      </c>
      <c r="G26">
        <v>0</v>
      </c>
    </row>
    <row r="27">
      <c r="E27" t="str">
        <v>Facturas por monetizar Deel</v>
      </c>
      <c r="F27">
        <f>ABRIL!$E$15+ABRIL!$E$16+ABRIL!$E$17</f>
        <v>67587561</v>
      </c>
    </row>
    <row r="28">
      <c r="E28" t="str">
        <v>Facturas por monetizar Safeguard</v>
      </c>
      <c r="F28">
        <f>ABRIL!$E$35+ABRIL!$E$36</f>
        <v>68991679.5</v>
      </c>
    </row>
    <row r="29">
      <c r="E29" t="str">
        <v xml:space="preserve">Sobregiro </v>
      </c>
      <c r="F29">
        <v>0</v>
      </c>
    </row>
    <row r="30">
      <c r="E30" t="str">
        <v>Total</v>
      </c>
      <c r="F30">
        <f>SUM(F21:F29)</f>
        <v>1011261384.8119999</v>
      </c>
    </row>
    <row r="31">
      <c r="E31" t="str">
        <v>Saldo</v>
      </c>
      <c r="F31">
        <f>F30-$F$19</f>
        <v>63791668.586079955</v>
      </c>
    </row>
    <row r="39">
      <c r="E39" t="str">
        <v>FORECAST MAYO 2026</v>
      </c>
      <c r="H39" t="str">
        <v>FORECAST JUNIO 2026</v>
      </c>
    </row>
    <row r="41">
      <c r="E41" t="str">
        <v>INGRESO</v>
      </c>
      <c r="F41">
        <f>SUBTOTAL(9,F42:F50)</f>
        <v>1016438199.0951928</v>
      </c>
      <c r="H41" t="str">
        <v>INGRESO</v>
      </c>
      <c r="I41">
        <f>SUBTOTAL(9,I42:I50)</f>
        <v>1314082033.4477446</v>
      </c>
    </row>
    <row r="42">
      <c r="E42" t="str">
        <v>Bancos Valor previsto</v>
      </c>
      <c r="F42">
        <f>ABRIL!$E$205</f>
        <v>743588068.5985928</v>
      </c>
      <c r="H42" t="str">
        <v>Bancos Valor previsto</v>
      </c>
      <c r="I42">
        <f>F111</f>
        <v>1142810599.4477446</v>
      </c>
    </row>
    <row r="43">
      <c r="E43" t="str">
        <v>Safeguard Back office 360</v>
      </c>
      <c r="F43">
        <v>63005792</v>
      </c>
      <c r="G43">
        <v>1</v>
      </c>
      <c r="H43" t="str">
        <v>Safeguard Back office 360</v>
      </c>
      <c r="I43">
        <v>35000000</v>
      </c>
      <c r="J43">
        <v>1</v>
      </c>
    </row>
    <row r="44">
      <c r="E44" t="str">
        <v>Action XXXX</v>
      </c>
      <c r="F44">
        <v>13000000</v>
      </c>
      <c r="H44" t="str">
        <v>Deel</v>
      </c>
      <c r="I44">
        <f>15303.2*3650</f>
        <v>55856680</v>
      </c>
    </row>
    <row r="45">
      <c r="E45" t="str">
        <v>Clientes nacionales Previsto -Global Project</v>
      </c>
      <c r="F45">
        <v>52000000</v>
      </c>
      <c r="H45" t="str">
        <v>Action XXXX</v>
      </c>
      <c r="I45">
        <v>12500000</v>
      </c>
    </row>
    <row r="46">
      <c r="E46" t="str">
        <v xml:space="preserve">Global CS Colombia </v>
      </c>
      <c r="F46">
        <v>18500000</v>
      </c>
      <c r="H46" t="str">
        <v>Clientes nacionales Previsto -Global Project</v>
      </c>
      <c r="I46">
        <v>45000000</v>
      </c>
    </row>
    <row r="47" xml:space="preserve">
      <c r="E47" t="str">
        <v xml:space="preserve">Deel </v>
      </c>
      <c r="F47" xml:space="preserve">
        <f xml:space="preserve">18542.14*
3703.69</f>
        <v>68674338.4966</v>
      </c>
      <c r="H47" t="str">
        <v>Grupo HL</v>
      </c>
      <c r="I47">
        <v>0</v>
      </c>
    </row>
    <row r="48">
      <c r="E48" t="str">
        <v>Grupo HL</v>
      </c>
      <c r="F48">
        <v>55000000</v>
      </c>
      <c r="H48" t="str">
        <v xml:space="preserve">Global CS Colombia </v>
      </c>
      <c r="I48">
        <v>20244754</v>
      </c>
    </row>
    <row r="49">
      <c r="E49" t="str">
        <v>Intereses PM</v>
      </c>
      <c r="F49">
        <f>2670000</f>
        <v>2670000</v>
      </c>
      <c r="H49" t="str">
        <v>Intereses PM</v>
      </c>
      <c r="I49">
        <f>2670000</f>
        <v>2670000</v>
      </c>
    </row>
    <row r="50">
      <c r="E50" t="str">
        <v>Sobregiro</v>
      </c>
      <c r="F50">
        <v>0</v>
      </c>
      <c r="H50" t="str">
        <v>Sobregiro</v>
      </c>
      <c r="I50">
        <v>0</v>
      </c>
    </row>
    <row r="51">
      <c r="E51" t="str">
        <v>PAGOS DEL 1 AL 24 MAYO</v>
      </c>
      <c r="F51">
        <f>SUM(F52:F82)</f>
        <v>1011200749.105448</v>
      </c>
      <c r="H51" t="str">
        <v>PAGOS DEL 1 AL 25 Junio</v>
      </c>
      <c r="I51">
        <f>SUM(I52:I79)</f>
        <v>961603392.8766481</v>
      </c>
    </row>
    <row r="52">
      <c r="E52" t="str">
        <v xml:space="preserve">Anticipo nómina Action-primer anticipo </v>
      </c>
      <c r="F52">
        <v>4360000</v>
      </c>
      <c r="H52" t="str">
        <v xml:space="preserve">Anticipo nómina Action-primer anticipo </v>
      </c>
      <c r="I52">
        <v>4360000</v>
      </c>
    </row>
    <row r="53">
      <c r="E53" t="str">
        <v>Anticipo nómina Nazdar</v>
      </c>
      <c r="F53">
        <f>9500000</f>
        <v>9500000</v>
      </c>
      <c r="H53" t="str">
        <v>Anticipo nómina Nazdar</v>
      </c>
      <c r="I53">
        <f>9500000</f>
        <v>9500000</v>
      </c>
    </row>
    <row r="54">
      <c r="E54" t="str">
        <v>Plan complementario compensar</v>
      </c>
      <c r="F54">
        <v>627000</v>
      </c>
      <c r="H54" t="str">
        <v>Plan complementario compensar</v>
      </c>
      <c r="I54">
        <v>627000</v>
      </c>
    </row>
    <row r="55">
      <c r="E55" t="str">
        <v xml:space="preserve">Seguridad social </v>
      </c>
      <c r="F55">
        <f>530117800*1.05</f>
        <v>556623690</v>
      </c>
      <c r="H55" t="str">
        <v xml:space="preserve">Seguridad social </v>
      </c>
      <c r="I55">
        <f>556623690*1.03</f>
        <v>573322400.7</v>
      </c>
    </row>
    <row r="56">
      <c r="E56" t="str">
        <v>Iva 2do bimestre</v>
      </c>
      <c r="F56">
        <v>68379580.5</v>
      </c>
      <c r="H56" t="str">
        <v xml:space="preserve">RETENCIÓN EN LA FUENTE </v>
      </c>
      <c r="I56">
        <f>302875920*1.03</f>
        <v>311962197.6</v>
      </c>
    </row>
    <row r="57">
      <c r="E57" t="str">
        <v xml:space="preserve">RETENCIÓN EN LA FUENTE </v>
      </c>
      <c r="F57">
        <f>252396600*1.2</f>
        <v>302875920</v>
      </c>
      <c r="H57" t="str">
        <v>Retención de IVA</v>
      </c>
      <c r="I57">
        <f>225000*1.03</f>
        <v>231750</v>
      </c>
    </row>
    <row r="58">
      <c r="E58" t="str">
        <v>Retención de IVA</v>
      </c>
      <c r="F58">
        <f>225000*1.2</f>
        <v>270000</v>
      </c>
      <c r="H58" t="str">
        <v>Movistar 365</v>
      </c>
      <c r="I58">
        <v>993174</v>
      </c>
    </row>
    <row r="59">
      <c r="E59" t="str">
        <v>RTE ICA bimestral</v>
      </c>
      <c r="F59">
        <f>1137500*1.2</f>
        <v>1365000</v>
      </c>
      <c r="H59" t="str">
        <v>Poliza Suramericana Póliza #  091000808492</v>
      </c>
      <c r="I59">
        <v>7293422</v>
      </c>
    </row>
    <row r="60">
      <c r="E60" t="str">
        <v>Renta  anual</v>
      </c>
      <c r="F60">
        <v>0</v>
      </c>
      <c r="H60" t="str">
        <v>Poliza Suramericana Póliza #  083004098664</v>
      </c>
      <c r="I60">
        <v>437488</v>
      </c>
    </row>
    <row r="61">
      <c r="E61" t="str">
        <v>Movistar 365</v>
      </c>
      <c r="F61">
        <v>993174</v>
      </c>
      <c r="H61" t="str">
        <v>Servicio de mensajería</v>
      </c>
      <c r="I61">
        <v>500000</v>
      </c>
    </row>
    <row r="62">
      <c r="E62" t="str">
        <v>Poliza Suramericana Póliza #  091000808492</v>
      </c>
      <c r="F62">
        <v>7293422</v>
      </c>
      <c r="H62" t="str">
        <v>WORKPLACE SOLUTIONS GROUP SAS (SPACIO)</v>
      </c>
      <c r="I62">
        <f>313593.5*1.052</f>
        <v>329900.362</v>
      </c>
    </row>
    <row r="63">
      <c r="E63" t="str">
        <v>Poliza Suramericana Póliza #  083004098664</v>
      </c>
      <c r="F63">
        <v>437488</v>
      </c>
      <c r="H63" t="str">
        <v>TC Bancolombia S&amp;P</v>
      </c>
      <c r="I63">
        <v>4500000</v>
      </c>
    </row>
    <row r="64">
      <c r="E64" t="str">
        <v>Servicio de mensajería</v>
      </c>
      <c r="F64">
        <v>500000</v>
      </c>
      <c r="H64" t="str">
        <v>TC Bancolombia-Ramon Esteban Cardona Salazar</v>
      </c>
      <c r="I64">
        <v>18000000</v>
      </c>
    </row>
    <row r="65">
      <c r="E65" t="str">
        <v>WORKPLACE SOLUTIONS GROUP SAS (SPACIO)</v>
      </c>
      <c r="F65">
        <f>313593.5*1.052</f>
        <v>329900.362</v>
      </c>
      <c r="H65" t="str">
        <v xml:space="preserve">Anticipo nómina Action-Segundo anticipo </v>
      </c>
      <c r="I65">
        <v>4853442</v>
      </c>
    </row>
    <row r="66">
      <c r="E66" t="str">
        <v>TC Bancolombia S&amp;P</v>
      </c>
      <c r="F66">
        <v>4500000</v>
      </c>
      <c r="H66" t="str">
        <v>Rafael Mier</v>
      </c>
      <c r="I66">
        <v>180000</v>
      </c>
    </row>
    <row r="67">
      <c r="E67" t="str">
        <v>TC Bancolombia-Ramon Esteban Cardona Salazar</v>
      </c>
      <c r="F67">
        <v>18000000</v>
      </c>
      <c r="H67" t="str">
        <v xml:space="preserve">Plan complementario Suramericana </v>
      </c>
      <c r="I67">
        <v>752141</v>
      </c>
    </row>
    <row r="68">
      <c r="E68" t="str">
        <v xml:space="preserve">Anticipo nómina Action-Segundo anticipo </v>
      </c>
      <c r="F68">
        <v>4853442</v>
      </c>
      <c r="H68" t="str">
        <v xml:space="preserve">Reembolsos Saipem </v>
      </c>
      <c r="I68">
        <v>3000000</v>
      </c>
    </row>
    <row r="69">
      <c r="E69" t="str">
        <v>Rafael Mier</v>
      </c>
      <c r="F69">
        <v>180000</v>
      </c>
      <c r="H69" t="str">
        <v>Exámenes médicos Saipem</v>
      </c>
      <c r="I69">
        <v>3800000</v>
      </c>
    </row>
    <row r="70">
      <c r="E70" t="str">
        <v xml:space="preserve">Plan complementario Suramericana </v>
      </c>
      <c r="F70">
        <v>804056</v>
      </c>
      <c r="H70" t="str">
        <v>Tiquetes y hoteles Saipem</v>
      </c>
      <c r="I70">
        <v>3500000</v>
      </c>
    </row>
    <row r="71">
      <c r="E71" t="str">
        <v xml:space="preserve">Reembolsos Saipem </v>
      </c>
      <c r="F71">
        <v>3000000</v>
      </c>
      <c r="H71" t="str">
        <v xml:space="preserve">Yoana Forero Servicios Costa Rica </v>
      </c>
      <c r="I71">
        <v>774025</v>
      </c>
    </row>
    <row r="72">
      <c r="E72" t="str">
        <v>Exámenes médicos Saipem</v>
      </c>
      <c r="F72">
        <v>3800000</v>
      </c>
      <c r="H72" t="str">
        <v>Cuentas de cobro Eduard Forero</v>
      </c>
      <c r="I72">
        <v>2980000</v>
      </c>
    </row>
    <row r="73">
      <c r="E73" t="str">
        <v>Tiquetes y hoteles Saipem</v>
      </c>
      <c r="F73">
        <v>3500000</v>
      </c>
      <c r="H73" t="str">
        <v>Cuentas de cobro William Romero</v>
      </c>
      <c r="I73">
        <v>450000</v>
      </c>
    </row>
    <row r="74">
      <c r="E74" t="str">
        <v xml:space="preserve">Yoana Forero Servicios Costa Rica </v>
      </c>
      <c r="F74">
        <v>774025</v>
      </c>
      <c r="H74" t="str">
        <v xml:space="preserve">Analia Lorena Di Nicola </v>
      </c>
      <c r="I74">
        <v>475363</v>
      </c>
    </row>
    <row r="75">
      <c r="E75" t="str">
        <v>Cuentas de cobro Eduard Forero</v>
      </c>
      <c r="F75">
        <v>2980000</v>
      </c>
      <c r="H75" t="str">
        <v>Emasoc</v>
      </c>
      <c r="I75">
        <v>1500000</v>
      </c>
    </row>
    <row r="76">
      <c r="E76" t="str">
        <v>Cuentas de cobro William Romero</v>
      </c>
      <c r="F76">
        <v>800000</v>
      </c>
      <c r="H76" t="str">
        <v>Praxedes nómina electrónica</v>
      </c>
      <c r="I76">
        <v>450000</v>
      </c>
    </row>
    <row r="77">
      <c r="E77" t="str">
        <v xml:space="preserve">Analia Lorena Di Nicola </v>
      </c>
      <c r="F77">
        <v>475363</v>
      </c>
      <c r="H77" t="str">
        <v>Praxedes</v>
      </c>
      <c r="I77">
        <v>3000000</v>
      </c>
    </row>
    <row r="78">
      <c r="E78" t="str">
        <v>Emasoc</v>
      </c>
      <c r="F78">
        <v>1500000</v>
      </c>
      <c r="H78" t="str">
        <v>Imprevisto</v>
      </c>
      <c r="I78">
        <v>0</v>
      </c>
    </row>
    <row r="79">
      <c r="E79" t="str">
        <v>Praxedes nómina electrónica</v>
      </c>
      <c r="F79">
        <v>450000</v>
      </c>
      <c r="H79" t="str">
        <v>4 X mil transacciones</v>
      </c>
      <c r="I79">
        <f>J79</f>
        <v>3831089.2146480004</v>
      </c>
      <c r="J79">
        <f>(SUM(I52:I78)*4/1000)</f>
        <v>3831089.2146480004</v>
      </c>
    </row>
    <row r="80">
      <c r="E80" t="str">
        <v>Praxedes</v>
      </c>
      <c r="F80">
        <v>3000000</v>
      </c>
      <c r="H80" t="str">
        <v>Diferencia</v>
      </c>
      <c r="I80">
        <f>I41-I51</f>
        <v>352478640.57109654</v>
      </c>
    </row>
    <row r="81">
      <c r="E81" t="str">
        <v>Imprevisto</v>
      </c>
      <c r="F81">
        <v>5000000</v>
      </c>
    </row>
    <row r="82">
      <c r="E82" t="str">
        <v>4 X mil transacciones</v>
      </c>
      <c r="F82">
        <f>G82</f>
        <v>4028688.243448</v>
      </c>
      <c r="G82">
        <f>(SUM(F52:F81)*4/1000)</f>
        <v>4028688.243448</v>
      </c>
      <c r="H82" t="str">
        <v>Ingreso previsto por EOR</v>
      </c>
      <c r="I82">
        <v>3320000000</v>
      </c>
    </row>
    <row r="83">
      <c r="E83" t="str">
        <v>Diferencia</v>
      </c>
      <c r="F83">
        <f>F41-F51</f>
        <v>5237449.989744782</v>
      </c>
      <c r="H83" t="str">
        <v>Total</v>
      </c>
      <c r="I83">
        <f>SUM(I80:I82)</f>
        <v>3672478640.5710964</v>
      </c>
    </row>
    <row r="85">
      <c r="E85" t="str">
        <v>Ingreso previsto por EOR</v>
      </c>
      <c r="F85">
        <v>3200000000</v>
      </c>
      <c r="H85" t="str">
        <v>PAGOS DEL 26 AL 30 JUNIO</v>
      </c>
      <c r="I85">
        <f>SUM(I86:I106)</f>
        <v>2558160745.96192</v>
      </c>
    </row>
    <row r="86">
      <c r="E86" t="str">
        <v>Total</v>
      </c>
      <c r="F86">
        <f>SUM(F83:F85)</f>
        <v>3205237449.9897447</v>
      </c>
      <c r="H86" t="str">
        <v>AFC OE</v>
      </c>
      <c r="I86">
        <v>16800500</v>
      </c>
    </row>
    <row r="87">
      <c r="H87" t="str">
        <v xml:space="preserve">AFC Edward Forero </v>
      </c>
      <c r="I87">
        <v>2199500</v>
      </c>
    </row>
    <row r="88">
      <c r="E88" t="str">
        <v>PAGOS DEL 25 AL 31 MAYO</v>
      </c>
      <c r="F88">
        <f>SUM(F89:F110)</f>
        <v>2062426850.542</v>
      </c>
      <c r="H88" t="str">
        <v>Reembolso caja menor</v>
      </c>
      <c r="I88">
        <v>300000</v>
      </c>
    </row>
    <row r="89">
      <c r="D89">
        <v>1</v>
      </c>
      <c r="E89" t="str">
        <v>AFC OE</v>
      </c>
      <c r="F89">
        <v>16800500</v>
      </c>
      <c r="H89" t="str">
        <v>Nixcom</v>
      </c>
      <c r="I89">
        <f>1276775*1.06</f>
        <v>1353381.5</v>
      </c>
    </row>
    <row r="90">
      <c r="E90" t="str">
        <v xml:space="preserve">AFC Edward Forero </v>
      </c>
      <c r="F90">
        <v>2199500</v>
      </c>
      <c r="H90" t="str">
        <v>Carvajal</v>
      </c>
      <c r="I90">
        <v>75000</v>
      </c>
    </row>
    <row r="91">
      <c r="E91" t="str">
        <v>Reembolso caja menor</v>
      </c>
      <c r="F91">
        <v>300000</v>
      </c>
      <c r="H91" t="str">
        <v>Movistar Telefonía</v>
      </c>
      <c r="I91">
        <v>1002252</v>
      </c>
    </row>
    <row r="92">
      <c r="E92" t="str">
        <v>Nixcom</v>
      </c>
      <c r="F92">
        <f>1276775*1.06</f>
        <v>1353381.5</v>
      </c>
      <c r="H92" t="str">
        <v>ACT&amp;J Consultores  S&amp;P</v>
      </c>
      <c r="I92">
        <f>3178793*1.06</f>
        <v>3369520.58</v>
      </c>
    </row>
    <row r="93">
      <c r="E93" t="str">
        <v>Carvajal</v>
      </c>
      <c r="F93">
        <v>75000</v>
      </c>
      <c r="H93" t="str">
        <v>ACT&amp;J Consultores  Global</v>
      </c>
      <c r="I93">
        <f>3484500*1.06</f>
        <v>3693570</v>
      </c>
    </row>
    <row r="94">
      <c r="E94" t="str">
        <v>Movistar Telefonía</v>
      </c>
      <c r="F94">
        <v>1002252</v>
      </c>
      <c r="H94" t="str">
        <v>Libranza Compensar</v>
      </c>
      <c r="I94">
        <v>1241772</v>
      </c>
    </row>
    <row r="95">
      <c r="E95" t="str">
        <v>ACT&amp;J Consultores  S&amp;P</v>
      </c>
      <c r="F95">
        <v>4065250</v>
      </c>
      <c r="H95" t="str">
        <v xml:space="preserve">Nómina OE </v>
      </c>
      <c r="I95">
        <f>1731900000*1.29</f>
        <v>2234151000</v>
      </c>
    </row>
    <row r="96">
      <c r="E96" t="str">
        <v>ACT&amp;J Consultores  Global</v>
      </c>
      <c r="F96">
        <v>3665694</v>
      </c>
      <c r="H96" t="str">
        <v>Nomina S&amp;P</v>
      </c>
      <c r="I96">
        <f>172530460*1.29</f>
        <v>222564293.4</v>
      </c>
    </row>
    <row r="97">
      <c r="E97" t="str">
        <v>Libranza Compensar</v>
      </c>
      <c r="F97">
        <v>1241772</v>
      </c>
      <c r="H97" t="str">
        <v>People Pass bienestar, medios de transporte y alimentación</v>
      </c>
      <c r="I97">
        <v>12097393</v>
      </c>
    </row>
    <row r="98">
      <c r="E98" t="str">
        <v xml:space="preserve">Nómina OE </v>
      </c>
      <c r="F98">
        <v>1731900000</v>
      </c>
      <c r="H98" t="str">
        <v>Embargo Fabian Morales</v>
      </c>
      <c r="I98">
        <v>1009880</v>
      </c>
    </row>
    <row r="99">
      <c r="E99" t="str">
        <v>Nomina S&amp;P</v>
      </c>
      <c r="F99">
        <v>172530460</v>
      </c>
      <c r="H99" t="str">
        <v>Reembolsos Remotefisrt</v>
      </c>
      <c r="I99">
        <v>10000000</v>
      </c>
    </row>
    <row r="100">
      <c r="E100" t="str">
        <v>People Pass bienestar, medios de transporte y alimentación</v>
      </c>
      <c r="F100">
        <v>12097393</v>
      </c>
      <c r="H100" t="str">
        <v>Reembolsos Insider</v>
      </c>
      <c r="I100">
        <v>7000000</v>
      </c>
    </row>
    <row r="101">
      <c r="E101" t="str">
        <v>Embargo Fabian Morales</v>
      </c>
      <c r="F101">
        <v>1112000</v>
      </c>
      <c r="H101" t="str">
        <v>Pedro Pablo Oviedo</v>
      </c>
      <c r="I101">
        <v>1190808</v>
      </c>
    </row>
    <row r="102">
      <c r="E102" t="str">
        <v>Reembolsos Remotefisrt</v>
      </c>
      <c r="F102">
        <v>25000000</v>
      </c>
      <c r="H102" t="str">
        <v>Tiquetes Saipem</v>
      </c>
      <c r="I102">
        <v>1600000</v>
      </c>
    </row>
    <row r="103">
      <c r="E103" t="str">
        <v>Reembolsos Insider</v>
      </c>
      <c r="F103">
        <v>15000000</v>
      </c>
      <c r="H103" t="str">
        <v>Novasoft</v>
      </c>
      <c r="I103">
        <v>13000000</v>
      </c>
    </row>
    <row r="104">
      <c r="E104" t="str">
        <v>Pedro Pablo Oviedo</v>
      </c>
      <c r="F104">
        <v>1190808</v>
      </c>
      <c r="H104" t="str">
        <v>Mensajería</v>
      </c>
      <c r="I104">
        <v>320000</v>
      </c>
    </row>
    <row r="105">
      <c r="E105" t="str">
        <v>Tiquetes Saipem</v>
      </c>
      <c r="F105">
        <v>1600000</v>
      </c>
      <c r="H105" t="str">
        <v xml:space="preserve">Imprevistos </v>
      </c>
      <c r="I105">
        <v>15000000</v>
      </c>
    </row>
    <row r="106">
      <c r="E106" t="str">
        <v>Novasoft</v>
      </c>
      <c r="F106">
        <v>13000000</v>
      </c>
      <c r="H106" t="str">
        <v>Costos Financieros</v>
      </c>
      <c r="I106">
        <f>J106</f>
        <v>10191875.48192</v>
      </c>
      <c r="J106">
        <f>(SUM(I86:I105)*4/1000)</f>
        <v>10191875.48192</v>
      </c>
    </row>
    <row r="107">
      <c r="E107" t="str">
        <v>Mensajería</v>
      </c>
      <c r="F107">
        <v>320000</v>
      </c>
      <c r="H107" t="str">
        <v>DIFERENCIA</v>
      </c>
      <c r="I107">
        <f>I83-I85</f>
        <v>1114317894.6091766</v>
      </c>
    </row>
    <row r="108">
      <c r="E108" t="str">
        <v xml:space="preserve">Imprevistos </v>
      </c>
      <c r="F108">
        <v>5000000</v>
      </c>
    </row>
    <row r="109">
      <c r="E109" t="str">
        <v xml:space="preserve">Devolucion de  anticipo edrington </v>
      </c>
      <c r="F109">
        <v>44756000</v>
      </c>
    </row>
    <row r="110">
      <c r="E110" t="str">
        <v>Costos Financieros</v>
      </c>
      <c r="F110">
        <f>G110</f>
        <v>8216840.042</v>
      </c>
      <c r="G110">
        <f>(SUM(F89:F109)*4/1000)</f>
        <v>8216840.042</v>
      </c>
    </row>
    <row r="111">
      <c r="E111" t="str">
        <v>DIFERENCIA</v>
      </c>
      <c r="F111">
        <f>F86-F88</f>
        <v>1142810599.4477446</v>
      </c>
    </row>
  </sheetData>
  <mergeCells count="5">
    <mergeCell ref="H39:I39"/>
    <mergeCell ref="E39:F39"/>
    <mergeCell ref="B2:F2"/>
    <mergeCell ref="B14:E14"/>
    <mergeCell ref="E16:F16"/>
  </mergeCells>
  <pageMargins left="0.7" right="0.7" top="0.75" bottom="0.75" header="0.3" footer="0.3"/>
  <ignoredErrors>
    <ignoredError numberStoredAsText="1" sqref="B1:L136"/>
  </ignoredErrors>
  <legacyDrawing r:id="rId1"/>
</worksheet>
</file>

<file path=xl/worksheets/sheet8.xml><?xml version="1.0" encoding="utf-8"?>
<worksheet xmlns="http://schemas.openxmlformats.org/spreadsheetml/2006/main" xmlns:r="http://schemas.openxmlformats.org/officeDocument/2006/relationships">
  <dimension ref="B1:XFC562"/>
  <sheetViews>
    <sheetView workbookViewId="0" rightToLeft="0"/>
  </sheetViews>
  <sheetData>
    <row r="1">
      <c r="O1">
        <v>0</v>
      </c>
    </row>
    <row r="2" xml:space="preserve">
      <c r="B2" t="str">
        <v>ID</v>
      </c>
      <c r="C2" t="str">
        <v>Client</v>
      </c>
      <c r="D2" t="str">
        <v>Invoice</v>
      </c>
      <c r="E2" t="str">
        <v>Incoming resources</v>
      </c>
      <c r="F2" t="str">
        <v>Maximum Date for Monetization</v>
      </c>
      <c r="G2" t="str">
        <v>Día</v>
      </c>
      <c r="H2" t="str">
        <v>Mes</v>
      </c>
      <c r="I2" t="str">
        <v>Días</v>
      </c>
      <c r="J2" t="str">
        <v>Progress</v>
      </c>
      <c r="K2" t="str">
        <v>Invoiced</v>
      </c>
      <c r="L2" t="str">
        <v>Received</v>
      </c>
      <c r="M2" t="str">
        <v>Banking taxes</v>
      </c>
      <c r="N2" t="str" xml:space="preserve">
        <v xml:space="preserve">TRM Invoice_x000d_
Cops</v>
      </c>
      <c r="O2" t="str" xml:space="preserve">
        <v xml:space="preserve">TRM Bank (Average)_x000d_
Cops</v>
      </c>
      <c r="P2" t="str">
        <v>Difference in exchange rates</v>
      </c>
      <c r="Q2" t="str">
        <v>invoicing in COPS</v>
      </c>
      <c r="R2" t="str">
        <v xml:space="preserve"> negotiated COPS</v>
      </c>
      <c r="S2" t="str">
        <v>difference</v>
      </c>
      <c r="T2" t="str">
        <v>KPI</v>
      </c>
      <c r="U2" t="str">
        <v>Color KPI</v>
      </c>
    </row>
    <row r="3">
      <c r="B3">
        <v>1</v>
      </c>
      <c r="C3" t="str">
        <v>Safeguard World Inter Ltd</v>
      </c>
      <c r="D3" t="str">
        <v>FV-4-6246</v>
      </c>
      <c r="E3">
        <v>46085</v>
      </c>
      <c r="F3">
        <v>46145</v>
      </c>
      <c r="G3" t="str">
        <f>(TEXT(F3,"ddd"))</f>
        <v>dom</v>
      </c>
      <c r="H3" t="str">
        <f>(TEXT(F3,"mmm"))</f>
        <v>may</v>
      </c>
      <c r="I3">
        <f>F3-E3</f>
        <v>60</v>
      </c>
      <c r="J3">
        <f>IFERROR(IF(TODAY()&gt;=E3,(TODAY()-E3)/I3,0),0)</f>
        <v>0.6</v>
      </c>
      <c r="K3">
        <v>600</v>
      </c>
      <c r="L3">
        <v>599.1880539783733</v>
      </c>
      <c r="M3">
        <f>K3-L3</f>
        <v>0.8119460216266816</v>
      </c>
      <c r="N3">
        <v>4019.9</v>
      </c>
      <c r="Q3">
        <f>K3*N3</f>
        <v>2411940</v>
      </c>
      <c r="R3">
        <f>L3*O3</f>
        <v>0</v>
      </c>
      <c r="S3">
        <f>R3-Q3</f>
        <v>-2411940</v>
      </c>
      <c r="T3" t="str">
        <f>IF(R3&lt;= Q3,"No Monetizar","Monetizar")</f>
        <v>No Monetizar</v>
      </c>
    </row>
    <row r="4">
      <c r="B4">
        <v>2</v>
      </c>
      <c r="C4" t="str">
        <v>Safeguard World Inter Ltd</v>
      </c>
      <c r="D4" t="str">
        <v>FV-4-6248</v>
      </c>
      <c r="E4">
        <v>46085</v>
      </c>
      <c r="F4">
        <v>46145</v>
      </c>
      <c r="G4" t="str">
        <f>(TEXT(F4,"ddd"))</f>
        <v>dom</v>
      </c>
      <c r="H4" t="str">
        <f>(TEXT(F4,"mmm"))</f>
        <v>may</v>
      </c>
      <c r="I4">
        <f>F4-E4</f>
        <v>60</v>
      </c>
      <c r="J4">
        <f>IFERROR(IF(TODAY()&gt;=E4,(TODAY()-E4)/I4,0),0)</f>
        <v>0.6</v>
      </c>
      <c r="K4">
        <v>3380</v>
      </c>
      <c r="L4">
        <v>3375.4260374115033</v>
      </c>
      <c r="M4">
        <f>K4-L4</f>
        <v>4.57396258849667</v>
      </c>
      <c r="N4">
        <v>4019.09</v>
      </c>
      <c r="Q4">
        <f>K4*N4</f>
        <v>13584524.200000001</v>
      </c>
      <c r="R4">
        <f>L4*O4</f>
        <v>0</v>
      </c>
      <c r="S4">
        <f>R4-Q4</f>
        <v>-13584524.200000001</v>
      </c>
      <c r="T4" t="str">
        <f>IF(R4&lt;= Q4,"No Monetizar","Monetizar")</f>
        <v>No Monetizar</v>
      </c>
    </row>
    <row r="5">
      <c r="B5">
        <v>3</v>
      </c>
      <c r="C5" t="str">
        <v>Safeguard World Inter Ltd</v>
      </c>
      <c r="D5" t="str">
        <v>FV-4-6312</v>
      </c>
      <c r="E5">
        <v>46085</v>
      </c>
      <c r="F5">
        <v>46145</v>
      </c>
      <c r="G5" t="str">
        <f>(TEXT(F5,"ddd"))</f>
        <v>dom</v>
      </c>
      <c r="H5" t="str">
        <f>(TEXT(F5,"mmm"))</f>
        <v>may</v>
      </c>
      <c r="I5">
        <f>F5-E5</f>
        <v>60</v>
      </c>
      <c r="J5">
        <f>IFERROR(IF(TODAY()&gt;=E5,(TODAY()-E5)/I5,0),0)</f>
        <v>0.6</v>
      </c>
      <c r="K5">
        <v>780</v>
      </c>
      <c r="L5">
        <v>778.9444701718854</v>
      </c>
      <c r="M5">
        <f>K5-L5</f>
        <v>1.0555298281145724</v>
      </c>
      <c r="N5">
        <v>3844.47</v>
      </c>
      <c r="Q5">
        <f>K5*N5</f>
        <v>2998686.5999999996</v>
      </c>
      <c r="R5">
        <f>L5*O5</f>
        <v>0</v>
      </c>
      <c r="S5">
        <f>R5-Q5</f>
        <v>-2998686.5999999996</v>
      </c>
      <c r="T5" t="str">
        <f>IF(R5&lt;= Q5,"No Monetizar","Monetizar")</f>
        <v>No Monetizar</v>
      </c>
    </row>
    <row r="6">
      <c r="B6">
        <v>4</v>
      </c>
      <c r="C6" t="str">
        <v>Safeguard World Inter Ltd</v>
      </c>
      <c r="D6" t="str">
        <v>FV-4-6620</v>
      </c>
      <c r="E6">
        <v>46085</v>
      </c>
      <c r="F6">
        <v>46145</v>
      </c>
      <c r="G6" t="str">
        <f>(TEXT(F6,"ddd"))</f>
        <v>dom</v>
      </c>
      <c r="H6" t="str">
        <f>(TEXT(F6,"mmm"))</f>
        <v>may</v>
      </c>
      <c r="I6">
        <f>F6-E6</f>
        <v>60</v>
      </c>
      <c r="J6">
        <f>IFERROR(IF(TODAY()&gt;=E6,(TODAY()-E6)/I6,0),0)</f>
        <v>0.6</v>
      </c>
      <c r="K6">
        <v>2003.42</v>
      </c>
      <c r="L6">
        <v>2000.708885168921</v>
      </c>
      <c r="M6">
        <f>K6-L6</f>
        <v>2.7111148310791577</v>
      </c>
      <c r="N6">
        <v>3682.97</v>
      </c>
      <c r="Q6">
        <f>K6*N6</f>
        <v>7378535.7574</v>
      </c>
      <c r="R6">
        <f>L6*O6</f>
        <v>0</v>
      </c>
      <c r="S6">
        <f>R6-Q6</f>
        <v>-7378535.7574</v>
      </c>
      <c r="T6" t="str">
        <f>IF(R6&lt;= Q6,"No Monetizar","Monetizar")</f>
        <v>No Monetizar</v>
      </c>
    </row>
    <row r="7">
      <c r="B7">
        <v>5</v>
      </c>
      <c r="C7" t="str">
        <v>Safeguard World Inter Ltd</v>
      </c>
      <c r="D7" t="str">
        <v>FV-4-6622</v>
      </c>
      <c r="E7">
        <v>46085</v>
      </c>
      <c r="F7">
        <v>46145</v>
      </c>
      <c r="G7" t="str">
        <f>(TEXT(F7,"ddd"))</f>
        <v>dom</v>
      </c>
      <c r="H7" t="str">
        <f>(TEXT(F7,"mmm"))</f>
        <v>may</v>
      </c>
      <c r="I7">
        <f>F7-E7</f>
        <v>60</v>
      </c>
      <c r="J7">
        <f>IFERROR(IF(TODAY()&gt;=E7,(TODAY()-E7)/I7,0),0)</f>
        <v>0.6</v>
      </c>
      <c r="K7">
        <v>2280</v>
      </c>
      <c r="L7">
        <v>2276.9146051178186</v>
      </c>
      <c r="M7">
        <f>K7-L7</f>
        <v>3.08539488218139</v>
      </c>
      <c r="N7">
        <v>3682.97</v>
      </c>
      <c r="Q7">
        <f>K7*N7</f>
        <v>8397171.6</v>
      </c>
      <c r="R7">
        <f>L7*O7</f>
        <v>0</v>
      </c>
      <c r="S7">
        <f>R7-Q7</f>
        <v>-8397171.6</v>
      </c>
      <c r="T7" t="str">
        <f>IF(R7&lt;= Q7,"No Monetizar","Monetizar")</f>
        <v>No Monetizar</v>
      </c>
    </row>
    <row r="8">
      <c r="B8">
        <v>6</v>
      </c>
      <c r="C8" t="str">
        <v>Safeguard World Inter Ltd</v>
      </c>
      <c r="D8" t="str">
        <v>FV-4-6707</v>
      </c>
      <c r="E8">
        <v>46085</v>
      </c>
      <c r="F8">
        <v>46145</v>
      </c>
      <c r="G8" t="str">
        <f>(TEXT(F8,"ddd"))</f>
        <v>dom</v>
      </c>
      <c r="H8" t="str">
        <f>(TEXT(F8,"mmm"))</f>
        <v>may</v>
      </c>
      <c r="I8">
        <f>F8-E8</f>
        <v>60</v>
      </c>
      <c r="J8">
        <f>IFERROR(IF(TODAY()&gt;=E8,(TODAY()-E8)/I8,0),0)</f>
        <v>0.6</v>
      </c>
      <c r="K8">
        <v>2055.84</v>
      </c>
      <c r="L8">
        <v>2053.0579481514987</v>
      </c>
      <c r="M8">
        <f>K8-L8</f>
        <v>2.7820518485013963</v>
      </c>
      <c r="N8">
        <v>3691.34</v>
      </c>
      <c r="Q8">
        <f>K8*N8</f>
        <v>7588804.425600001</v>
      </c>
      <c r="R8">
        <f>L8*O8</f>
        <v>0</v>
      </c>
      <c r="S8">
        <f>R8-Q8</f>
        <v>-7588804.425600001</v>
      </c>
      <c r="T8" t="str">
        <f>IF(R8&lt;= Q8,"No Monetizar","Monetizar")</f>
        <v>No Monetizar</v>
      </c>
    </row>
    <row r="9">
      <c r="B9">
        <v>7</v>
      </c>
      <c r="C9" t="str">
        <v>Safeguard World Inter Ltd</v>
      </c>
      <c r="D9" t="str">
        <v>FV-4-6575</v>
      </c>
      <c r="E9">
        <v>46080</v>
      </c>
      <c r="F9">
        <v>46140</v>
      </c>
      <c r="G9" t="str">
        <f>(TEXT(F9,"ddd"))</f>
        <v>mar</v>
      </c>
      <c r="H9" t="str">
        <f>(TEXT(F9,"mmm"))</f>
        <v>abr</v>
      </c>
      <c r="I9">
        <f>F9-E9</f>
        <v>60</v>
      </c>
      <c r="J9">
        <f>IFERROR(IF(TODAY()&gt;=E9,(TODAY()-E9)/I9,0),0)</f>
        <v>0.6833333333333333</v>
      </c>
      <c r="K9">
        <v>1969.45</v>
      </c>
      <c r="L9">
        <v>1969.45</v>
      </c>
      <c r="M9">
        <f>K9-L9</f>
        <v>0</v>
      </c>
      <c r="N9">
        <v>3817.93</v>
      </c>
      <c r="O9">
        <v>3650</v>
      </c>
      <c r="Q9">
        <f>K9*N9</f>
        <v>7519222.2385</v>
      </c>
      <c r="R9">
        <f>L9*O9</f>
        <v>7188492.5</v>
      </c>
      <c r="S9">
        <f>R9-Q9</f>
        <v>-330729.7385</v>
      </c>
      <c r="T9" t="str">
        <f>IF(R9&lt;= Q9,"No Monetizar","Monetizar")</f>
        <v>No Monetizar</v>
      </c>
    </row>
    <row r="10">
      <c r="B10">
        <v>8</v>
      </c>
      <c r="C10" t="str">
        <v>Safeguard World Inter Ltd</v>
      </c>
      <c r="D10" t="str">
        <v>FV-4-6576</v>
      </c>
      <c r="E10">
        <v>46080</v>
      </c>
      <c r="F10">
        <v>46140</v>
      </c>
      <c r="G10" t="str">
        <f>(TEXT(F10,"ddd"))</f>
        <v>mar</v>
      </c>
      <c r="H10" t="str">
        <f>(TEXT(F10,"mmm"))</f>
        <v>abr</v>
      </c>
      <c r="I10">
        <f>F10-E10</f>
        <v>60</v>
      </c>
      <c r="J10">
        <f>IFERROR(IF(TODAY()&gt;=E10,(TODAY()-E10)/I10,0),0)</f>
        <v>0.6833333333333333</v>
      </c>
      <c r="K10">
        <v>1523.38</v>
      </c>
      <c r="L10">
        <v>1523.38</v>
      </c>
      <c r="M10">
        <f>K10-L10</f>
        <v>0</v>
      </c>
      <c r="N10">
        <v>3817.93</v>
      </c>
      <c r="O10">
        <v>3650</v>
      </c>
      <c r="Q10">
        <f>K10*N10</f>
        <v>5816158.2034</v>
      </c>
      <c r="R10">
        <f>L10*O10</f>
        <v>5560337</v>
      </c>
      <c r="S10">
        <f>R10-Q10</f>
        <v>-255821.2034</v>
      </c>
      <c r="T10" t="str">
        <f>IF(R10&lt;= Q10,"No Monetizar","Monetizar")</f>
        <v>No Monetizar</v>
      </c>
    </row>
    <row r="11">
      <c r="B11">
        <v>9</v>
      </c>
      <c r="C11" t="str">
        <v>Safeguard World Inter Ltd</v>
      </c>
      <c r="D11" t="str">
        <v>FV-4-6577</v>
      </c>
      <c r="E11">
        <v>46080</v>
      </c>
      <c r="F11">
        <v>46140</v>
      </c>
      <c r="G11" t="str">
        <f>(TEXT(F11,"ddd"))</f>
        <v>mar</v>
      </c>
      <c r="H11" t="str">
        <f>(TEXT(F11,"mmm"))</f>
        <v>abr</v>
      </c>
      <c r="I11">
        <f>F11-E11</f>
        <v>60</v>
      </c>
      <c r="J11">
        <f>IFERROR(IF(TODAY()&gt;=E11,(TODAY()-E11)/I11,0),0)</f>
        <v>0.6833333333333333</v>
      </c>
      <c r="K11">
        <v>2280</v>
      </c>
      <c r="L11">
        <v>2280</v>
      </c>
      <c r="M11">
        <f>K11-L11</f>
        <v>0</v>
      </c>
      <c r="N11">
        <v>3817.93</v>
      </c>
      <c r="O11">
        <v>3650</v>
      </c>
      <c r="Q11">
        <f>K11*N11</f>
        <v>8704880.4</v>
      </c>
      <c r="R11">
        <f>L11*O11</f>
        <v>8322000</v>
      </c>
      <c r="S11">
        <f>R11-Q11</f>
        <v>-382880.4000000004</v>
      </c>
      <c r="T11" t="str">
        <f>IF(R11&lt;= Q11,"No Monetizar","Monetizar")</f>
        <v>No Monetizar</v>
      </c>
    </row>
    <row r="12">
      <c r="B12">
        <v>10</v>
      </c>
      <c r="C12" t="str">
        <v>Global Upside LLC</v>
      </c>
      <c r="D12">
        <v>6750</v>
      </c>
      <c r="E12">
        <v>46100</v>
      </c>
      <c r="F12">
        <v>46160</v>
      </c>
      <c r="G12" t="str">
        <f>(TEXT(F12,"ddd"))</f>
        <v>lun</v>
      </c>
      <c r="H12" t="str">
        <f>(TEXT(F12,"mmm"))</f>
        <v>may</v>
      </c>
      <c r="I12">
        <f>F12-E12</f>
        <v>60</v>
      </c>
      <c r="J12">
        <f>IFERROR(IF(TODAY()&gt;=E12,(TODAY()-E12)/I12,0),0)</f>
        <v>0.35</v>
      </c>
      <c r="K12">
        <v>1870</v>
      </c>
      <c r="L12">
        <v>1870</v>
      </c>
      <c r="M12">
        <f>K12-L12</f>
        <v>0</v>
      </c>
      <c r="N12">
        <v>3767.94</v>
      </c>
      <c r="O12">
        <v>3650</v>
      </c>
      <c r="Q12">
        <f>K12*N12</f>
        <v>7046047.8</v>
      </c>
      <c r="R12">
        <f>L12*O12</f>
        <v>6825500</v>
      </c>
      <c r="S12">
        <f>R12-Q12</f>
        <v>-220547.7999999998</v>
      </c>
      <c r="T12" t="str">
        <f>IF(R12&lt;= Q12,"No Monetizar","Monetizar")</f>
        <v>No Monetizar</v>
      </c>
    </row>
    <row r="13">
      <c r="B13">
        <v>11</v>
      </c>
      <c r="C13" t="str">
        <v xml:space="preserve">Solutions &amp; Payroll SAS </v>
      </c>
      <c r="D13" t="str">
        <v>Giros Western Union</v>
      </c>
      <c r="E13">
        <v>46105</v>
      </c>
      <c r="F13">
        <v>46165</v>
      </c>
      <c r="G13" t="str">
        <f>(TEXT(F13,"ddd"))</f>
        <v>sáb</v>
      </c>
      <c r="H13" t="str">
        <f>(TEXT(F13,"mmm"))</f>
        <v>may</v>
      </c>
      <c r="I13">
        <f>F13-E13</f>
        <v>60</v>
      </c>
      <c r="J13">
        <f>IFERROR(IF(TODAY()&gt;=E13,(TODAY()-E13)/I13,0),0)</f>
        <v>0.26666666666666666</v>
      </c>
      <c r="K13">
        <v>13129</v>
      </c>
      <c r="L13">
        <v>13129</v>
      </c>
      <c r="M13">
        <f>K13-L13</f>
        <v>0</v>
      </c>
      <c r="N13">
        <v>3704.87</v>
      </c>
      <c r="O13">
        <v>3650</v>
      </c>
      <c r="Q13">
        <f>K13*N13</f>
        <v>48641238.23</v>
      </c>
      <c r="R13">
        <f>L13*O13</f>
        <v>47920850</v>
      </c>
      <c r="S13">
        <f>R13-Q13</f>
        <v>-720388.2299999967</v>
      </c>
      <c r="T13" t="str">
        <f>IF(R13&lt;= Q13,"No Monetizar","Monetizar")</f>
        <v>No Monetizar</v>
      </c>
    </row>
    <row r="14">
      <c r="B14">
        <v>12</v>
      </c>
      <c r="C14" t="str">
        <v xml:space="preserve">Deel </v>
      </c>
      <c r="D14" t="str">
        <v>6728-6729-6730-6731-6732-6733-6734-6735-6736</v>
      </c>
      <c r="E14">
        <v>46105</v>
      </c>
      <c r="F14">
        <v>46165</v>
      </c>
      <c r="G14" t="str">
        <f>(TEXT(F14,"ddd"))</f>
        <v>sáb</v>
      </c>
      <c r="H14" t="str">
        <f>(TEXT(F14,"mmm"))</f>
        <v>may</v>
      </c>
      <c r="I14">
        <f>F14-E14</f>
        <v>60</v>
      </c>
      <c r="J14">
        <f>IFERROR(IF(TODAY()&gt;=E14,(TODAY()-E14)/I14,0),0)</f>
        <v>0.26666666666666666</v>
      </c>
      <c r="K14">
        <v>11314.66</v>
      </c>
      <c r="L14">
        <v>11299.66</v>
      </c>
      <c r="M14">
        <f>K14-L14</f>
        <v>15</v>
      </c>
      <c r="N14">
        <v>3703.69</v>
      </c>
      <c r="O14">
        <v>3650</v>
      </c>
      <c r="Q14">
        <f>K14*N14</f>
        <v>41905993.0954</v>
      </c>
      <c r="R14">
        <f>L14*O14</f>
        <v>41243759</v>
      </c>
      <c r="S14">
        <f>R14-Q14</f>
        <v>-662234.0953999981</v>
      </c>
      <c r="T14" t="str">
        <f>IF(R14&lt;= Q14,"No Monetizar","Monetizar")</f>
        <v>No Monetizar</v>
      </c>
    </row>
    <row r="15">
      <c r="B15">
        <v>13</v>
      </c>
      <c r="C15" t="str">
        <v xml:space="preserve">Deel </v>
      </c>
      <c r="D15" t="str">
        <v>6737-6738-6739-6740-6741</v>
      </c>
      <c r="E15">
        <v>46105</v>
      </c>
      <c r="F15">
        <v>46165</v>
      </c>
      <c r="G15" t="str">
        <f>(TEXT(F15,"ddd"))</f>
        <v>sáb</v>
      </c>
      <c r="H15" t="str">
        <f>(TEXT(F15,"mmm"))</f>
        <v>may</v>
      </c>
      <c r="I15">
        <f>F15-E15</f>
        <v>60</v>
      </c>
      <c r="J15">
        <f>IFERROR(IF(TODAY()&gt;=E15,(TODAY()-E15)/I15,0),0)</f>
        <v>0.26666666666666666</v>
      </c>
      <c r="K15">
        <v>5765.38</v>
      </c>
      <c r="L15">
        <v>5765.38</v>
      </c>
      <c r="M15">
        <f>K15-L15</f>
        <v>0</v>
      </c>
      <c r="N15">
        <v>3703.69</v>
      </c>
      <c r="O15">
        <v>3650</v>
      </c>
      <c r="Q15">
        <f>K15*N15</f>
        <v>21353180.2522</v>
      </c>
      <c r="R15">
        <f>L15*O15</f>
        <v>21043637</v>
      </c>
      <c r="S15">
        <f>R15-Q15</f>
        <v>-309543.2522</v>
      </c>
      <c r="T15" t="str">
        <f>IF(R15&lt;= Q15,"No Monetizar","Monetizar")</f>
        <v>No Monetizar</v>
      </c>
    </row>
    <row r="16">
      <c r="B16">
        <v>14</v>
      </c>
      <c r="C16" t="str">
        <v xml:space="preserve">Deel </v>
      </c>
      <c r="D16" t="str">
        <v>FV-4-6325</v>
      </c>
      <c r="E16">
        <v>46105</v>
      </c>
      <c r="F16">
        <v>46165</v>
      </c>
      <c r="G16" t="str">
        <f>(TEXT(F16,"ddd"))</f>
        <v>sáb</v>
      </c>
      <c r="H16" t="str">
        <f>(TEXT(F16,"mmm"))</f>
        <v>may</v>
      </c>
      <c r="I16">
        <f>F16-E16</f>
        <v>60</v>
      </c>
      <c r="J16">
        <f>IFERROR(IF(TODAY()&gt;=E16,(TODAY()-E16)/I16,0),0)</f>
        <v>0.26666666666666666</v>
      </c>
      <c r="K16">
        <v>1462.1</v>
      </c>
      <c r="L16">
        <v>1452.1</v>
      </c>
      <c r="M16">
        <f>K16-L16</f>
        <v>10</v>
      </c>
      <c r="N16">
        <v>3901.29</v>
      </c>
      <c r="O16">
        <v>3650</v>
      </c>
      <c r="Q16">
        <f>K16*N16</f>
        <v>5704076.108999999</v>
      </c>
      <c r="R16">
        <f>L16*O16</f>
        <v>5300165</v>
      </c>
      <c r="S16">
        <f>R16-Q16</f>
        <v>-403911.10899999924</v>
      </c>
      <c r="T16" t="str">
        <f>IF(R16&lt;= Q16,"No Monetizar","Monetizar")</f>
        <v>No Monetizar</v>
      </c>
    </row>
    <row r="18">
      <c r="B18">
        <v>4</v>
      </c>
      <c r="C18" t="str">
        <v>Bubble do Brasil</v>
      </c>
      <c r="D18" t="str">
        <v>FV-4-6815</v>
      </c>
      <c r="E18">
        <v>46112</v>
      </c>
      <c r="F18">
        <v>46172</v>
      </c>
      <c r="G18" t="str">
        <f>(TEXT(F18,"ddd"))</f>
        <v>sáb</v>
      </c>
      <c r="H18" t="str">
        <f>(TEXT(F18,"mmm"))</f>
        <v>may</v>
      </c>
      <c r="I18">
        <f>F18-E18</f>
        <v>60</v>
      </c>
      <c r="J18">
        <f>IFERROR(IF(TODAY()&gt;=E18,(TODAY()-E18)/I18,0),0)</f>
        <v>0.15</v>
      </c>
      <c r="K18">
        <v>129.22</v>
      </c>
      <c r="L18">
        <v>128.22901108171325</v>
      </c>
      <c r="M18">
        <f>K18-L18</f>
        <v>0.990988918286746</v>
      </c>
      <c r="N18">
        <v>3637.76</v>
      </c>
      <c r="O18">
        <v>3750</v>
      </c>
      <c r="Q18">
        <f>K18*N18</f>
        <v>470071.3472</v>
      </c>
      <c r="R18">
        <f>L18*O18</f>
        <v>480858.7915564247</v>
      </c>
      <c r="S18">
        <f>R18-Q18</f>
        <v>10787.444356424676</v>
      </c>
      <c r="T18" t="str">
        <f>IF(R18&lt;= Q18,"No Monetizar","Monetizar")</f>
        <v>Monetizar</v>
      </c>
    </row>
    <row r="19">
      <c r="B19">
        <v>5</v>
      </c>
      <c r="C19" t="str">
        <v>Bubble do Brasil</v>
      </c>
      <c r="D19" t="str">
        <v>FV-5-273</v>
      </c>
      <c r="E19">
        <v>46112</v>
      </c>
      <c r="F19">
        <v>46172</v>
      </c>
      <c r="G19" t="str">
        <f>(TEXT(F19,"ddd"))</f>
        <v>sáb</v>
      </c>
      <c r="H19" t="str">
        <f>(TEXT(F19,"mmm"))</f>
        <v>may</v>
      </c>
      <c r="I19">
        <f>F19-E19</f>
        <v>60</v>
      </c>
      <c r="J19">
        <f>IFERROR(IF(TODAY()&gt;=E19,(TODAY()-E19)/I19,0),0)</f>
        <v>0.15</v>
      </c>
      <c r="K19">
        <v>1174.73</v>
      </c>
      <c r="L19">
        <v>1165.7209889182866</v>
      </c>
      <c r="M19">
        <f>K19-L19</f>
        <v>9.009011081713425</v>
      </c>
      <c r="N19">
        <v>3637.76</v>
      </c>
      <c r="O19">
        <v>3750</v>
      </c>
      <c r="Q19">
        <f>K19*N19</f>
        <v>4273385.8048</v>
      </c>
      <c r="R19">
        <f>L19*O19</f>
        <v>4371453.708443575</v>
      </c>
      <c r="S19">
        <f>R19-Q19</f>
        <v>98067.90364357457</v>
      </c>
      <c r="T19" t="str">
        <f>IF(R19&lt;= Q19,"No Monetizar","Monetizar")</f>
        <v>Monetizar</v>
      </c>
    </row>
    <row r="20">
      <c r="J20">
        <f>IFERROR(IF(TODAY()&gt;=E20,(TODAY()-E20)/I20,0),0)</f>
        <v>0</v>
      </c>
    </row>
    <row r="21">
      <c r="J21">
        <f>IFERROR(IF(TODAY()&gt;=E21,(TODAY()-E21)/I21,0),0)</f>
        <v>0</v>
      </c>
      <c r="Q21">
        <f>K21*N21</f>
        <v>0</v>
      </c>
      <c r="R21">
        <f>L21*O21</f>
        <v>0</v>
      </c>
      <c r="S21">
        <f>R21-Q21</f>
        <v>0</v>
      </c>
      <c r="T21" t="str">
        <f>IF(R21&lt;= Q21,"No Monetizar","Monetizar")</f>
        <v>No Monetizar</v>
      </c>
    </row>
    <row r="22">
      <c r="Q22">
        <f>K22*N22</f>
        <v>0</v>
      </c>
      <c r="R22">
        <f>L22*O22</f>
        <v>0</v>
      </c>
      <c r="S22">
        <f>R22-Q22</f>
        <v>0</v>
      </c>
      <c r="T22" t="str">
        <f>IF(R22&lt;= Q22,"No Monetizar","Monetizar")</f>
        <v>No Monetizar</v>
      </c>
    </row>
    <row r="23">
      <c r="B23" t="str">
        <v>TOTAL</v>
      </c>
      <c r="K23">
        <f>SUBTOTAL(9,K3:K22)</f>
        <v>51717.18</v>
      </c>
      <c r="L23">
        <f>SUBTOTAL(9,L3:L22)</f>
        <v>51667.15999999999</v>
      </c>
      <c r="M23">
        <f>SUBTOTAL(9,M3:M22)</f>
        <v>50.02000000000004</v>
      </c>
      <c r="Q23">
        <f>SUBTOTAL(9,Q3:Q22)</f>
        <v>193793916.06350002</v>
      </c>
      <c r="R23">
        <f>SUBTOTAL(9,R3:R22)</f>
        <v>148257053</v>
      </c>
      <c r="S23">
        <f>SUBTOTAL(9,S3:S22)</f>
        <v>-45536863.06349999</v>
      </c>
      <c r="T23">
        <f>S23/Q23</f>
        <v>-0.2349757102208463</v>
      </c>
    </row>
    <row r="25">
      <c r="J25" t="str">
        <v>Trm 9/3/2026</v>
      </c>
    </row>
    <row r="26">
      <c r="K26">
        <v>3741.47</v>
      </c>
    </row>
    <row r="29">
      <c r="Q29" t="str">
        <v>CASH FLOW</v>
      </c>
      <c r="Z29" t="str">
        <v>ACCOUNTANT</v>
      </c>
    </row>
    <row r="31" xml:space="preserve">
      <c r="B31" t="str">
        <v>ID</v>
      </c>
      <c r="C31" t="str">
        <v>Client</v>
      </c>
      <c r="D31" t="str">
        <v>Invoice</v>
      </c>
      <c r="E31" t="str">
        <v>Incoming resources</v>
      </c>
      <c r="F31" t="str">
        <v>Maximum Date for Monetization</v>
      </c>
      <c r="I31" t="str">
        <v>Días</v>
      </c>
      <c r="J31" t="str">
        <v>Progress</v>
      </c>
      <c r="K31" t="str">
        <v>Invoiced</v>
      </c>
      <c r="L31" t="str">
        <v>Received</v>
      </c>
      <c r="M31" t="str">
        <v>Banking taxes</v>
      </c>
      <c r="N31" t="str" xml:space="preserve">
        <v xml:space="preserve">TRm Invoice_x000d_
Cops</v>
      </c>
      <c r="O31" t="str" xml:space="preserve">
        <v xml:space="preserve">TRM Bank (Average)_x000d_
Cops</v>
      </c>
      <c r="P31" t="str">
        <v>Difference in exchange rates</v>
      </c>
      <c r="Q31" t="str">
        <v>invoicing in COPS</v>
      </c>
      <c r="R31" t="str">
        <v xml:space="preserve"> negotiated COPS</v>
      </c>
      <c r="S31" t="str">
        <v>difference</v>
      </c>
      <c r="T31" t="str">
        <v>KPI</v>
      </c>
      <c r="U31" t="str">
        <v>Color KPI</v>
      </c>
      <c r="V31" t="str">
        <v>Transaction date</v>
      </c>
      <c r="W31" t="str">
        <v xml:space="preserve">Propuesto </v>
      </c>
      <c r="X31" t="str">
        <v xml:space="preserve">Aprobado </v>
      </c>
      <c r="Y31" t="str">
        <v>Observaciones</v>
      </c>
      <c r="Z31" t="str">
        <v xml:space="preserve"> negotiated COPS</v>
      </c>
      <c r="AA31" t="str">
        <v>difference</v>
      </c>
    </row>
    <row r="32">
      <c r="B32">
        <v>1</v>
      </c>
      <c r="C32" t="str">
        <v>Action AD</v>
      </c>
      <c r="D32">
        <v>5618</v>
      </c>
      <c r="E32">
        <v>45670</v>
      </c>
      <c r="F32">
        <v>45730</v>
      </c>
      <c r="J32">
        <f>IFERROR(IF(TODAY()&gt;=E32,(TODAY()-E32)/I32,0),0)*0</f>
        <v>0</v>
      </c>
      <c r="K32">
        <v>6950.93</v>
      </c>
      <c r="L32">
        <v>6950.93</v>
      </c>
      <c r="M32">
        <f>K32-L32</f>
        <v>0</v>
      </c>
      <c r="N32">
        <v>4252.31</v>
      </c>
      <c r="O32">
        <v>4290.5</v>
      </c>
      <c r="P32">
        <f>O32-N32</f>
        <v>38.1899999999996</v>
      </c>
      <c r="Q32">
        <f>K32*N32</f>
        <v>29557509.148300003</v>
      </c>
      <c r="R32">
        <f>L32*O32</f>
        <v>29822965.165000003</v>
      </c>
      <c r="S32">
        <f>R32-Q32</f>
        <v>265456.01669999957</v>
      </c>
      <c r="T32" t="str">
        <f>IF(R32&lt;= Q32,"No Monetizar","Monetizar")</f>
        <v>Monetizar</v>
      </c>
      <c r="V32">
        <v>45684</v>
      </c>
      <c r="W32" t="str">
        <v>Alfonso Fonseca A</v>
      </c>
      <c r="X32" t="str">
        <v>Alfonso Fonseca A</v>
      </c>
      <c r="Y32" t="str">
        <v>Se monetiza ya que el valor ofrecido por el banco en cada divisa es superior al valor facturado</v>
      </c>
      <c r="Z32">
        <f>K32*O32</f>
        <v>29822965.165000003</v>
      </c>
      <c r="AA32">
        <f>Z32-Q32</f>
        <v>265456.01669999957</v>
      </c>
    </row>
    <row r="33">
      <c r="B33">
        <v>2</v>
      </c>
      <c r="C33" t="str">
        <v>Remofirst</v>
      </c>
      <c r="D33">
        <v>5619</v>
      </c>
      <c r="E33">
        <v>45684</v>
      </c>
      <c r="F33">
        <v>45744</v>
      </c>
      <c r="J33">
        <f>IFERROR(IF(TODAY()&gt;=E33,(TODAY()-E33)/I33,0),0)*0</f>
        <v>0</v>
      </c>
      <c r="K33">
        <v>152785.56</v>
      </c>
      <c r="L33">
        <v>152785.56</v>
      </c>
      <c r="M33">
        <f>K33-L33</f>
        <v>0</v>
      </c>
      <c r="N33">
        <v>4235.51</v>
      </c>
      <c r="O33">
        <v>4303.83</v>
      </c>
      <c r="P33">
        <f>O33-N33</f>
        <v>68.31999999999971</v>
      </c>
      <c r="Q33">
        <f>K33*N33</f>
        <v>647124767.2356</v>
      </c>
      <c r="R33">
        <f>L33*O33</f>
        <v>657563076.6948</v>
      </c>
      <c r="S33">
        <f>R33-Q33</f>
        <v>10438309.459200025</v>
      </c>
      <c r="T33" t="str">
        <f>IF(R33&lt;= Q33,"No Monetizar","Monetizar")</f>
        <v>Monetizar</v>
      </c>
      <c r="V33">
        <v>45684</v>
      </c>
      <c r="W33" t="str">
        <v>Alfonso Fonseca A</v>
      </c>
      <c r="X33" t="str">
        <v>Alfonso Fonseca A</v>
      </c>
      <c r="Y33" t="str">
        <v>Se monetiza ya que el valor ofrecido por el banco en cada divisa es superior al valor facturado</v>
      </c>
      <c r="Z33">
        <f>K33*O33</f>
        <v>657563076.6948</v>
      </c>
      <c r="AA33">
        <f>Z33-Q33</f>
        <v>10438309.459200025</v>
      </c>
    </row>
    <row r="34">
      <c r="B34">
        <v>3</v>
      </c>
      <c r="C34" t="str">
        <v>Endrington</v>
      </c>
      <c r="D34">
        <v>5629</v>
      </c>
      <c r="E34">
        <v>45684</v>
      </c>
      <c r="F34">
        <v>45744</v>
      </c>
      <c r="J34">
        <f>IFERROR(IF(TODAY()&gt;=E34,(TODAY()-E34)/I34,0),0)*0</f>
        <v>0</v>
      </c>
      <c r="K34">
        <v>22896.82</v>
      </c>
      <c r="L34">
        <v>22896.82</v>
      </c>
      <c r="M34">
        <f>K34-L34</f>
        <v>0</v>
      </c>
      <c r="N34">
        <v>4251.23</v>
      </c>
      <c r="O34">
        <v>4303.83</v>
      </c>
      <c r="P34">
        <f>O34-N34</f>
        <v>52.600000000000364</v>
      </c>
      <c r="Q34">
        <f>K34*N34</f>
        <v>97339648.0886</v>
      </c>
      <c r="R34">
        <f>L34*O34</f>
        <v>98544020.8206</v>
      </c>
      <c r="S34">
        <f>R34-Q34</f>
        <v>1204372.7320000082</v>
      </c>
      <c r="T34" t="str">
        <f>IF(R34&lt;= Q34,"No Monetizar","Monetizar")</f>
        <v>Monetizar</v>
      </c>
      <c r="V34">
        <v>45684</v>
      </c>
      <c r="W34" t="str">
        <v>Alfonso Fonseca A</v>
      </c>
      <c r="X34" t="str">
        <v>Alfonso Fonseca A</v>
      </c>
      <c r="Y34" t="str">
        <v>Se monetiza ya que el valor ofrecido por el banco en cada divisa es superior al valor facturado</v>
      </c>
      <c r="Z34">
        <f>K34*O34</f>
        <v>98544020.8206</v>
      </c>
      <c r="AA34">
        <f>Z34-Q34</f>
        <v>1204372.7320000082</v>
      </c>
    </row>
    <row r="35">
      <c r="B35">
        <v>4</v>
      </c>
      <c r="C35" t="str">
        <v>Marketing Doctors</v>
      </c>
      <c r="D35">
        <v>5622</v>
      </c>
      <c r="E35">
        <v>45684</v>
      </c>
      <c r="F35">
        <v>45744</v>
      </c>
      <c r="J35">
        <f>IFERROR(IF(TODAY()&gt;=E35,(TODAY()-E35)/I35,0),0)*0</f>
        <v>0</v>
      </c>
      <c r="K35">
        <v>2660.37</v>
      </c>
      <c r="L35">
        <v>2660.37</v>
      </c>
      <c r="M35">
        <f>K35-L35</f>
        <v>0</v>
      </c>
      <c r="N35">
        <v>4231.23</v>
      </c>
      <c r="O35">
        <v>4303.83</v>
      </c>
      <c r="P35">
        <f>O35-N35</f>
        <v>72.60000000000036</v>
      </c>
      <c r="Q35">
        <f>K35*N35</f>
        <v>11256637.355099998</v>
      </c>
      <c r="R35">
        <f>L35*O35</f>
        <v>11449780.2171</v>
      </c>
      <c r="S35">
        <f>R35-Q35</f>
        <v>193142.8620000016</v>
      </c>
      <c r="T35" t="str">
        <f>IF(R35&lt;= Q35,"No Monetizar","Monetizar")</f>
        <v>Monetizar</v>
      </c>
      <c r="V35">
        <v>45684</v>
      </c>
      <c r="W35" t="str">
        <v>Alfonso Fonseca A</v>
      </c>
      <c r="X35" t="str">
        <v>Alfonso Fonseca A</v>
      </c>
      <c r="Y35" t="str">
        <v>Se monetiza ya que el valor ofrecido por el banco en cada divisa es superior al valor facturado</v>
      </c>
      <c r="Z35">
        <f>K35*O35</f>
        <v>11449780.2171</v>
      </c>
      <c r="AA35">
        <f>Z35-Q35</f>
        <v>193142.8620000016</v>
      </c>
    </row>
    <row r="36">
      <c r="B36">
        <v>5</v>
      </c>
      <c r="C36" t="str">
        <v>Flexco</v>
      </c>
      <c r="D36">
        <v>5630</v>
      </c>
      <c r="E36">
        <v>45684</v>
      </c>
      <c r="F36">
        <v>45744</v>
      </c>
      <c r="J36">
        <f>IFERROR(IF(TODAY()&gt;=E36,(TODAY()-E36)/I36,0),0)*0</f>
        <v>0</v>
      </c>
      <c r="K36">
        <v>12800.27</v>
      </c>
      <c r="L36">
        <v>12785.27</v>
      </c>
      <c r="M36">
        <f>K36-L36</f>
        <v>15</v>
      </c>
      <c r="N36">
        <v>4194.11</v>
      </c>
      <c r="O36">
        <v>4303.83</v>
      </c>
      <c r="P36">
        <f>O36-N36</f>
        <v>109.72000000000025</v>
      </c>
      <c r="Q36">
        <f>K36*N36</f>
        <v>53685740.4097</v>
      </c>
      <c r="R36">
        <f>L36*O36</f>
        <v>55025628.5841</v>
      </c>
      <c r="S36">
        <f>R36-Q36</f>
        <v>1339888.1744000018</v>
      </c>
      <c r="T36" t="str">
        <f>IF(R36&lt;= Q36,"No Monetizar","Monetizar")</f>
        <v>Monetizar</v>
      </c>
      <c r="V36">
        <v>45684</v>
      </c>
      <c r="W36" t="str">
        <v>Alfonso Fonseca A</v>
      </c>
      <c r="X36" t="str">
        <v>Alfonso Fonseca A</v>
      </c>
      <c r="Y36" t="str">
        <v>Se monetiza ya que el valor ofrecido por el banco en cada divisa es superior al valor facturado</v>
      </c>
      <c r="Z36">
        <f>K36*O36</f>
        <v>55090186.0341</v>
      </c>
      <c r="AA36">
        <f>Z36-Q36</f>
        <v>1404445.6244000047</v>
      </c>
    </row>
    <row r="37">
      <c r="B37">
        <v>6</v>
      </c>
      <c r="C37" t="str">
        <v>Nazdar ink technologies</v>
      </c>
      <c r="D37">
        <v>5623</v>
      </c>
      <c r="E37">
        <v>45684</v>
      </c>
      <c r="F37">
        <v>45744</v>
      </c>
      <c r="J37">
        <f>IFERROR(IF(TODAY()&gt;=E37,(TODAY()-E37)/I37,0),0)*0</f>
        <v>0</v>
      </c>
      <c r="K37">
        <v>18062.89</v>
      </c>
      <c r="L37">
        <v>18047.89</v>
      </c>
      <c r="M37">
        <f>K37-L37</f>
        <v>15</v>
      </c>
      <c r="N37">
        <v>4251.23</v>
      </c>
      <c r="O37">
        <v>4303.83</v>
      </c>
      <c r="P37">
        <f>O37-N37</f>
        <v>52.600000000000364</v>
      </c>
      <c r="Q37">
        <f>K37*N37</f>
        <v>76789499.85469998</v>
      </c>
      <c r="R37">
        <f>L37*O37</f>
        <v>77675050.4187</v>
      </c>
      <c r="S37">
        <f>R37-Q37</f>
        <v>885550.5640000105</v>
      </c>
      <c r="T37" t="str">
        <f>IF(R37&lt;= Q37,"No Monetizar","Monetizar")</f>
        <v>Monetizar</v>
      </c>
      <c r="V37">
        <v>45684</v>
      </c>
      <c r="W37" t="str">
        <v>Alfonso Fonseca A</v>
      </c>
      <c r="X37" t="str">
        <v>Alfonso Fonseca A</v>
      </c>
      <c r="Y37" t="str">
        <v>Se monetiza ya que el valor ofrecido por el banco en cada divisa es superior al valor facturado</v>
      </c>
      <c r="Z37">
        <f>K37*O37</f>
        <v>77739607.8687</v>
      </c>
      <c r="AA37">
        <f>Z37-Q37</f>
        <v>950108.0140000135</v>
      </c>
    </row>
    <row r="38">
      <c r="B38">
        <v>7</v>
      </c>
      <c r="C38" t="str">
        <v>Oncehub</v>
      </c>
      <c r="D38">
        <v>5631</v>
      </c>
      <c r="E38">
        <v>45684</v>
      </c>
      <c r="F38">
        <v>45744</v>
      </c>
      <c r="J38">
        <f>IFERROR(IF(TODAY()&gt;=E38,(TODAY()-E38)/I38,0),0)*0</f>
        <v>0</v>
      </c>
      <c r="K38">
        <v>2833.35</v>
      </c>
      <c r="L38">
        <v>2813.35</v>
      </c>
      <c r="M38">
        <f>K38-L38</f>
        <v>20</v>
      </c>
      <c r="N38">
        <v>4231.53</v>
      </c>
      <c r="O38">
        <v>4303.83</v>
      </c>
      <c r="P38">
        <f>O38-N38</f>
        <v>72.30000000000018</v>
      </c>
      <c r="Q38">
        <f>K38*N38</f>
        <v>11989405.5255</v>
      </c>
      <c r="R38">
        <f>L38*O38</f>
        <v>12108180.1305</v>
      </c>
      <c r="S38">
        <f>R38-Q38</f>
        <v>118774.60500000045</v>
      </c>
      <c r="T38" t="str">
        <f>IF(R38&lt;= Q38,"No Monetizar","Monetizar")</f>
        <v>Monetizar</v>
      </c>
      <c r="V38">
        <v>45684</v>
      </c>
      <c r="W38" t="str">
        <v>Alfonso Fonseca A</v>
      </c>
      <c r="X38" t="str">
        <v>Alfonso Fonseca A</v>
      </c>
      <c r="Y38" t="str">
        <v>Se monetiza ya que el valor ofrecido por el banco en cada divisa es superior al valor facturado</v>
      </c>
      <c r="Z38">
        <f>K38*O38</f>
        <v>12194256.7305</v>
      </c>
      <c r="AA38">
        <f>Z38-Q38</f>
        <v>204851.20500000007</v>
      </c>
    </row>
    <row r="39">
      <c r="B39">
        <v>8</v>
      </c>
      <c r="C39" t="str">
        <v>Insider</v>
      </c>
      <c r="D39">
        <v>5655</v>
      </c>
      <c r="E39">
        <v>45685</v>
      </c>
      <c r="F39">
        <v>45745</v>
      </c>
      <c r="J39">
        <f>IFERROR(IF(TODAY()&gt;=E39,(TODAY()-E39)/I39,0),0)*0</f>
        <v>0</v>
      </c>
      <c r="K39">
        <v>106150.36</v>
      </c>
      <c r="L39">
        <v>106135.36</v>
      </c>
      <c r="M39">
        <f>K39-L39</f>
        <v>15</v>
      </c>
      <c r="N39">
        <v>4070.86</v>
      </c>
      <c r="O39">
        <v>4177.7</v>
      </c>
      <c r="P39">
        <f>O39-N39</f>
        <v>106.83999999999969</v>
      </c>
      <c r="Q39">
        <f>K39*N39</f>
        <v>432123254.50960004</v>
      </c>
      <c r="R39">
        <f>L39*O39</f>
        <v>443401693.472</v>
      </c>
      <c r="S39">
        <f>R39-Q39</f>
        <v>11278438.96239996</v>
      </c>
      <c r="T39" t="str">
        <f>IF(R39&lt;= Q39,"No Monetizar","Monetizar")</f>
        <v>Monetizar</v>
      </c>
      <c r="V39">
        <v>45686</v>
      </c>
      <c r="W39" t="str">
        <v>Alfonso Fonseca A</v>
      </c>
      <c r="X39" t="str">
        <v>Alfonso Fonseca A</v>
      </c>
      <c r="Y39" t="str">
        <v>Se monetiza ya que el valor ofrecido por el banco en cada divisa es superior al valor facturado</v>
      </c>
      <c r="Z39">
        <f>K39*O39</f>
        <v>443464358.972</v>
      </c>
      <c r="AA39">
        <f>Z39-Q39</f>
        <v>11341104.46239996</v>
      </c>
    </row>
    <row r="40">
      <c r="B40">
        <v>9</v>
      </c>
      <c r="C40" t="str">
        <v xml:space="preserve">Safeguard Payroll </v>
      </c>
      <c r="D40" t="str">
        <v>5389 a 5406</v>
      </c>
      <c r="E40">
        <v>45680</v>
      </c>
      <c r="F40">
        <v>45740</v>
      </c>
      <c r="J40">
        <f>IFERROR(IF(TODAY()&gt;=E40,(TODAY()-E40)/I40,0),0)*0</f>
        <v>0</v>
      </c>
      <c r="K40">
        <v>17192.43</v>
      </c>
      <c r="L40">
        <v>17177.43</v>
      </c>
      <c r="M40">
        <f>K40-L40</f>
        <v>15</v>
      </c>
      <c r="N40">
        <v>4367.39</v>
      </c>
      <c r="O40">
        <v>4441.62</v>
      </c>
      <c r="P40">
        <f>O40-N40</f>
        <v>74.22999999999956</v>
      </c>
      <c r="Q40">
        <f>K40*N40</f>
        <v>75086046.8577</v>
      </c>
      <c r="R40">
        <f>L40*O40</f>
        <v>76295616.6366</v>
      </c>
      <c r="S40">
        <f>R40-Q40</f>
        <v>1209569.7788999975</v>
      </c>
      <c r="T40" t="str">
        <f>IF(R40&lt;= Q40,"No Monetizar","Monetizar")</f>
        <v>Monetizar</v>
      </c>
      <c r="V40">
        <v>45687</v>
      </c>
      <c r="W40" t="str">
        <v>Alfonso Fonseca A</v>
      </c>
      <c r="X40" t="str">
        <v>Alfonso Fonseca A</v>
      </c>
      <c r="Y40" t="str">
        <v>Se monetiza ya que el valor ofrecido por el banco en cada divisa es superior al valor facturado</v>
      </c>
      <c r="Z40">
        <f>K40*O40</f>
        <v>76362240.9366</v>
      </c>
      <c r="AA40">
        <f>Z40-Q40</f>
        <v>1276194.0788999945</v>
      </c>
    </row>
    <row r="41">
      <c r="B41">
        <v>10</v>
      </c>
      <c r="C41" t="str">
        <v>Remofirst-Abono</v>
      </c>
      <c r="D41">
        <v>5656</v>
      </c>
      <c r="E41">
        <v>45691</v>
      </c>
      <c r="F41">
        <v>45751</v>
      </c>
      <c r="J41">
        <f>IFERROR(IF(TODAY()&gt;=E41,(TODAY()-E41)/I41,0),0)*0</f>
        <v>0</v>
      </c>
      <c r="K41">
        <v>1459.33</v>
      </c>
      <c r="L41">
        <v>1459.33</v>
      </c>
      <c r="M41">
        <f>K41-L41</f>
        <v>0</v>
      </c>
      <c r="N41">
        <v>4100.86</v>
      </c>
      <c r="O41">
        <v>4136.07</v>
      </c>
      <c r="P41">
        <f>O41-N41</f>
        <v>35.210000000000036</v>
      </c>
      <c r="Q41">
        <f>K41*N41</f>
        <v>5984508.0238</v>
      </c>
      <c r="R41">
        <f>L41*O41</f>
        <v>6035891.0331</v>
      </c>
      <c r="S41">
        <f>R41-Q41</f>
        <v>51383.009300000034</v>
      </c>
      <c r="T41" t="str">
        <f>IF(R41&lt;= Q41,"No Monetizar","Monetizar")</f>
        <v>Monetizar</v>
      </c>
      <c r="V41">
        <v>45692</v>
      </c>
      <c r="W41" t="str">
        <v>Alfonso Fonseca A</v>
      </c>
      <c r="X41" t="str">
        <v>Alfonso Fonseca A</v>
      </c>
      <c r="Y41" t="str">
        <v>Se monetiza ya que el valor ofrecido por el banco en cada divisa es superior al valor facturado</v>
      </c>
      <c r="Z41">
        <f>K41*O41</f>
        <v>6035891.0331</v>
      </c>
      <c r="AA41">
        <f>Z41-Q41</f>
        <v>51383.009300000034</v>
      </c>
    </row>
    <row r="42">
      <c r="B42">
        <v>11</v>
      </c>
      <c r="C42" t="str">
        <v>Remofirst-Saldo final</v>
      </c>
      <c r="D42">
        <v>5656</v>
      </c>
      <c r="E42">
        <v>45700</v>
      </c>
      <c r="F42">
        <v>45760</v>
      </c>
      <c r="J42">
        <f>IFERROR(IF(TODAY()&gt;=E42,(TODAY()-E42)/I42,0),0)*0</f>
        <v>0</v>
      </c>
      <c r="K42">
        <v>593.48</v>
      </c>
      <c r="L42">
        <v>593.48</v>
      </c>
      <c r="M42">
        <f>K42-L42</f>
        <v>0</v>
      </c>
      <c r="N42">
        <v>4100.86</v>
      </c>
      <c r="O42">
        <v>4147.5</v>
      </c>
      <c r="P42">
        <f>O42-N42</f>
        <v>46.64000000000033</v>
      </c>
      <c r="Q42">
        <f>K42*N42</f>
        <v>2433778.3928</v>
      </c>
      <c r="R42">
        <f>L42*O42</f>
        <v>2461458.3000000003</v>
      </c>
      <c r="S42">
        <f>R42-Q42</f>
        <v>27679.90720000025</v>
      </c>
      <c r="T42" t="str">
        <f>IF(R42&lt;= Q42,"No Monetizar","Monetizar")</f>
        <v>Monetizar</v>
      </c>
      <c r="V42">
        <v>45700</v>
      </c>
      <c r="W42" t="str">
        <v>Alfonso Fonseca A</v>
      </c>
      <c r="X42" t="str">
        <v>Alfonso Fonseca A</v>
      </c>
      <c r="Y42" t="str">
        <v>Se monetiza ya que el valor ofrecido por el banco en cada divisa es superior al valor facturado</v>
      </c>
      <c r="Z42">
        <f>K42*O42</f>
        <v>2461458.3000000003</v>
      </c>
      <c r="AA42">
        <f>Z42-Q42</f>
        <v>27679.90720000025</v>
      </c>
    </row>
    <row r="43" xml:space="preserve">
      <c r="B43">
        <v>12</v>
      </c>
      <c r="C43" t="str">
        <v>Hong kong yonyou xinfushe cloud technology co</v>
      </c>
      <c r="D43">
        <v>5628</v>
      </c>
      <c r="E43">
        <v>45679</v>
      </c>
      <c r="F43">
        <v>45739</v>
      </c>
      <c r="J43">
        <f>IFERROR(IF(TODAY()&gt;=E43,(TODAY()-E43)/I43,0),0)*0</f>
        <v>0</v>
      </c>
      <c r="K43">
        <v>4737.5</v>
      </c>
      <c r="L43">
        <v>4737.5</v>
      </c>
      <c r="M43">
        <f>K43-L43</f>
        <v>0</v>
      </c>
      <c r="N43">
        <v>4231.23</v>
      </c>
      <c r="O43">
        <v>4143.44</v>
      </c>
      <c r="P43">
        <f>O43-N43</f>
        <v>-87.78999999999996</v>
      </c>
      <c r="Q43">
        <f>K43*N43</f>
        <v>20045452.124999996</v>
      </c>
      <c r="R43">
        <f>L43*O43</f>
        <v>19629546.999999996</v>
      </c>
      <c r="S43">
        <f>R43-Q43</f>
        <v>-415905.125</v>
      </c>
      <c r="T43" t="str">
        <f>IF(R43&lt;= Q43,"No Monetizar","Monetizar")</f>
        <v>No Monetizar</v>
      </c>
      <c r="V43">
        <v>45700</v>
      </c>
      <c r="W43" t="str">
        <v>Alfonso Fonseca A</v>
      </c>
      <c r="X43" t="str">
        <v>Eduard Forero</v>
      </c>
      <c r="Y43"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3">
        <f>K43*O43</f>
        <v>19629546.999999996</v>
      </c>
      <c r="AA43">
        <f>Z43-Q43</f>
        <v>-415905.125</v>
      </c>
    </row>
    <row r="44" xml:space="preserve">
      <c r="B44">
        <v>13</v>
      </c>
      <c r="C44" t="str">
        <v>Hemmebarsch GMBH &amp; Co KG</v>
      </c>
      <c r="D44">
        <v>5586</v>
      </c>
      <c r="E44">
        <v>45679</v>
      </c>
      <c r="F44">
        <v>45739</v>
      </c>
      <c r="J44">
        <f>IFERROR(IF(TODAY()&gt;=E44,(TODAY()-E44)/I44,0),0)*0</f>
        <v>0</v>
      </c>
      <c r="K44">
        <v>867.66</v>
      </c>
      <c r="L44">
        <v>867.66</v>
      </c>
      <c r="M44">
        <f>K44-L44</f>
        <v>0</v>
      </c>
      <c r="N44">
        <v>4294.64</v>
      </c>
      <c r="O44">
        <v>4143.44</v>
      </c>
      <c r="P44">
        <f>O44-N44</f>
        <v>-151.20000000000073</v>
      </c>
      <c r="Q44">
        <f>K44*N44</f>
        <v>3726287.3424</v>
      </c>
      <c r="R44">
        <f>L44*O44</f>
        <v>3595097.1503999997</v>
      </c>
      <c r="S44">
        <f>R44-Q44</f>
        <v>-131190.19200000027</v>
      </c>
      <c r="T44" t="str">
        <f>IF(R44&lt;= Q44,"No Monetizar","Monetizar")</f>
        <v>No Monetizar</v>
      </c>
      <c r="V44">
        <v>45700</v>
      </c>
      <c r="W44" t="str">
        <v>Alfonso Fonseca A</v>
      </c>
      <c r="X44" t="str">
        <v>Eduard Forero</v>
      </c>
      <c r="Y44"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4">
        <f>K44*O44</f>
        <v>3595097.1503999997</v>
      </c>
      <c r="AA44">
        <f>Z44-Q44</f>
        <v>-131190.19200000027</v>
      </c>
    </row>
    <row r="45" xml:space="preserve">
      <c r="B45">
        <v>14</v>
      </c>
      <c r="C45" t="str">
        <v xml:space="preserve">Neo </v>
      </c>
      <c r="D45">
        <v>5624</v>
      </c>
      <c r="E45">
        <v>45680</v>
      </c>
      <c r="F45">
        <v>45740</v>
      </c>
      <c r="J45">
        <f>IFERROR(IF(TODAY()&gt;=E45,(TODAY()-E45)/I45,0),0)*0</f>
        <v>0</v>
      </c>
      <c r="K45">
        <v>22499.23</v>
      </c>
      <c r="L45">
        <v>22453.23</v>
      </c>
      <c r="M45">
        <f>K45-L45</f>
        <v>46</v>
      </c>
      <c r="N45">
        <v>4216.23</v>
      </c>
      <c r="O45">
        <v>4143.44</v>
      </c>
      <c r="P45">
        <f>O45-N45</f>
        <v>-72.78999999999996</v>
      </c>
      <c r="Q45">
        <f>K45*N45</f>
        <v>94861928.50289999</v>
      </c>
      <c r="R45">
        <f>L45*O45</f>
        <v>93033611.3112</v>
      </c>
      <c r="S45">
        <f>R45-Q45</f>
        <v>-1828317.1916999966</v>
      </c>
      <c r="T45" t="str">
        <f>IF(R45&lt;= Q45,"No Monetizar","Monetizar")</f>
        <v>No Monetizar</v>
      </c>
      <c r="V45">
        <v>45700</v>
      </c>
      <c r="W45" t="str">
        <v>Alfonso Fonseca A</v>
      </c>
      <c r="X45" t="str">
        <v>Eduard Forero</v>
      </c>
      <c r="Y45"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5">
        <f>K45*O45</f>
        <v>93224209.55119999</v>
      </c>
      <c r="AA45">
        <f>Z45-Q45</f>
        <v>-1637718.951700002</v>
      </c>
    </row>
    <row r="46" xml:space="preserve">
      <c r="B46">
        <v>15</v>
      </c>
      <c r="C46" t="str">
        <v>Hemmebarsch GMBH &amp; Co KG</v>
      </c>
      <c r="D46">
        <v>5585</v>
      </c>
      <c r="E46">
        <v>45687</v>
      </c>
      <c r="F46">
        <v>45747</v>
      </c>
      <c r="J46">
        <f>IFERROR(IF(TODAY()&gt;=E46,(TODAY()-E46)/I46,0),0)*0</f>
        <v>0</v>
      </c>
      <c r="K46">
        <v>3469.98</v>
      </c>
      <c r="L46">
        <v>3469.98</v>
      </c>
      <c r="M46">
        <f>K46-L46</f>
        <v>0</v>
      </c>
      <c r="N46">
        <v>4294.64</v>
      </c>
      <c r="O46">
        <v>4143.44</v>
      </c>
      <c r="P46">
        <f>O46-N46</f>
        <v>-151.20000000000073</v>
      </c>
      <c r="Q46">
        <f>K46*N46</f>
        <v>14902314.907200001</v>
      </c>
      <c r="R46">
        <f>L46*O46</f>
        <v>14377653.9312</v>
      </c>
      <c r="S46">
        <f>R46-Q46</f>
        <v>-524660.9760000017</v>
      </c>
      <c r="T46" t="str">
        <f>IF(R46&lt;= Q46,"No Monetizar","Monetizar")</f>
        <v>No Monetizar</v>
      </c>
      <c r="V46">
        <v>45700</v>
      </c>
      <c r="W46" t="str">
        <v>Alfonso Fonseca A</v>
      </c>
      <c r="X46" t="str">
        <v>Eduard Forero</v>
      </c>
      <c r="Y46"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6">
        <f>K46*O46</f>
        <v>14377653.9312</v>
      </c>
      <c r="AA46">
        <f>Z46-Q46</f>
        <v>-524660.9760000017</v>
      </c>
    </row>
    <row r="47" xml:space="preserve">
      <c r="B47">
        <v>16</v>
      </c>
      <c r="C47" t="str">
        <v>Insider</v>
      </c>
      <c r="D47">
        <v>5575</v>
      </c>
      <c r="E47">
        <v>45691</v>
      </c>
      <c r="F47">
        <v>45751</v>
      </c>
      <c r="J47">
        <f>IFERROR(IF(TODAY()&gt;=E47,(TODAY()-E47)/I47,0),0)*0</f>
        <v>0</v>
      </c>
      <c r="K47">
        <v>672.6</v>
      </c>
      <c r="L47">
        <v>667.6</v>
      </c>
      <c r="M47">
        <f>K47-L47</f>
        <v>5</v>
      </c>
      <c r="N47">
        <v>4249.11</v>
      </c>
      <c r="O47">
        <v>4143.44</v>
      </c>
      <c r="P47">
        <f>O47-N47</f>
        <v>-105.67000000000007</v>
      </c>
      <c r="Q47">
        <f>K47*N47</f>
        <v>2857951.386</v>
      </c>
      <c r="R47">
        <f>L47*O47</f>
        <v>2766160.5439999998</v>
      </c>
      <c r="S47">
        <f>R47-Q47</f>
        <v>-91790.84200000018</v>
      </c>
      <c r="T47" t="str">
        <f>IF(R47&lt;= Q47,"No Monetizar","Monetizar")</f>
        <v>No Monetizar</v>
      </c>
      <c r="V47">
        <v>45700</v>
      </c>
      <c r="W47" t="str">
        <v>Alfonso Fonseca A</v>
      </c>
      <c r="X47" t="str">
        <v>Eduard Forero</v>
      </c>
      <c r="Y47"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7">
        <f>K47*O47</f>
        <v>2786877.744</v>
      </c>
      <c r="AA47">
        <f>Z47-Q47</f>
        <v>-71073.64199999999</v>
      </c>
    </row>
    <row r="48" xml:space="preserve">
      <c r="B48">
        <v>17</v>
      </c>
      <c r="C48" t="str">
        <v>Hemmebarsch GMBH &amp; Co KG</v>
      </c>
      <c r="D48">
        <v>5626</v>
      </c>
      <c r="E48">
        <v>45695</v>
      </c>
      <c r="F48">
        <v>45755</v>
      </c>
      <c r="J48">
        <f>IFERROR(IF(TODAY()&gt;=E48,(TODAY()-E48)/I48,0),0)*0</f>
        <v>0</v>
      </c>
      <c r="K48">
        <v>1107.05</v>
      </c>
      <c r="L48">
        <v>1107.05</v>
      </c>
      <c r="M48">
        <f>K48-L48</f>
        <v>0</v>
      </c>
      <c r="N48">
        <v>4231.23</v>
      </c>
      <c r="O48">
        <v>4143.44</v>
      </c>
      <c r="P48">
        <f>O48-N48</f>
        <v>-87.78999999999996</v>
      </c>
      <c r="Q48">
        <f>K48*N48</f>
        <v>4684183.171499999</v>
      </c>
      <c r="R48">
        <f>L48*O48</f>
        <v>4586995.251999999</v>
      </c>
      <c r="S48">
        <f>R48-Q48</f>
        <v>-97187.91949999984</v>
      </c>
      <c r="T48" t="str">
        <f>IF(R48&lt;= Q48,"No Monetizar","Monetizar")</f>
        <v>No Monetizar</v>
      </c>
      <c r="V48">
        <v>45700</v>
      </c>
      <c r="W48" t="str">
        <v>Alfonso Fonseca A</v>
      </c>
      <c r="X48" t="str">
        <v>Eduard Forero</v>
      </c>
      <c r="Y48"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8">
        <f>K48*O48</f>
        <v>4586995.251999999</v>
      </c>
      <c r="AA48">
        <f>Z48-Q48</f>
        <v>-97187.91949999984</v>
      </c>
    </row>
    <row r="49" xml:space="preserve">
      <c r="B49">
        <v>18</v>
      </c>
      <c r="C49" t="str">
        <v>Hemmebarsch GMBH &amp; Co KG</v>
      </c>
      <c r="D49">
        <v>5627</v>
      </c>
      <c r="E49">
        <v>45695</v>
      </c>
      <c r="F49">
        <v>45755</v>
      </c>
      <c r="J49">
        <f>IFERROR(IF(TODAY()&gt;=E49,(TODAY()-E49)/I49,0),0)*0</f>
        <v>0</v>
      </c>
      <c r="K49">
        <v>3521.96</v>
      </c>
      <c r="L49">
        <v>3521.96</v>
      </c>
      <c r="M49">
        <f>K49-L49</f>
        <v>0</v>
      </c>
      <c r="N49">
        <v>4231.23</v>
      </c>
      <c r="O49">
        <v>4143.44</v>
      </c>
      <c r="P49">
        <f>O49-N49</f>
        <v>-87.78999999999996</v>
      </c>
      <c r="Q49">
        <f>K49*N49</f>
        <v>14902222.8108</v>
      </c>
      <c r="R49">
        <f>L49*O49</f>
        <v>14593029.9424</v>
      </c>
      <c r="S49">
        <f>R49-Q49</f>
        <v>-309192.86840000004</v>
      </c>
      <c r="T49" t="str">
        <f>IF(R49&lt;= Q49,"No Monetizar","Monetizar")</f>
        <v>No Monetizar</v>
      </c>
      <c r="V49">
        <v>45700</v>
      </c>
      <c r="W49" t="str">
        <v>Alfonso Fonseca A</v>
      </c>
      <c r="X49" t="str">
        <v>Eduard Forero</v>
      </c>
      <c r="Y49"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9">
        <f>K49*O49</f>
        <v>14593029.9424</v>
      </c>
      <c r="AA49">
        <f>Z49-Q49</f>
        <v>-309192.86840000004</v>
      </c>
    </row>
    <row r="50" xml:space="preserve">
      <c r="B50">
        <v>19</v>
      </c>
      <c r="C50" t="str">
        <v>Advancio</v>
      </c>
      <c r="D50">
        <v>5633</v>
      </c>
      <c r="E50">
        <v>45695</v>
      </c>
      <c r="F50">
        <v>45755</v>
      </c>
      <c r="J50">
        <f>IFERROR(IF(TODAY()&gt;=E50,(TODAY()-E50)/I50,0),0)*0</f>
        <v>0</v>
      </c>
      <c r="K50">
        <v>1250.93</v>
      </c>
      <c r="L50">
        <v>1250.93</v>
      </c>
      <c r="M50">
        <f>K50-L50</f>
        <v>0</v>
      </c>
      <c r="N50">
        <v>4194.11</v>
      </c>
      <c r="O50">
        <v>4143.44</v>
      </c>
      <c r="P50">
        <f>O50-N50</f>
        <v>-50.67000000000007</v>
      </c>
      <c r="Q50">
        <f>K50*N50</f>
        <v>5246538.0223</v>
      </c>
      <c r="R50">
        <f>L50*O50</f>
        <v>5183153.3992</v>
      </c>
      <c r="S50">
        <f>R50-Q50</f>
        <v>-63384.62310000043</v>
      </c>
      <c r="T50" t="str">
        <f>IF(R50&lt;= Q50,"No Monetizar","Monetizar")</f>
        <v>No Monetizar</v>
      </c>
      <c r="V50">
        <v>45700</v>
      </c>
      <c r="W50" t="str">
        <v>Alfonso Fonseca A</v>
      </c>
      <c r="X50" t="str">
        <v>Eduard Forero</v>
      </c>
      <c r="Y50"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50">
        <f>K50*O50</f>
        <v>5183153.3992</v>
      </c>
      <c r="AA50">
        <f>Z50-Q50</f>
        <v>-63384.62310000043</v>
      </c>
    </row>
    <row r="51" xml:space="preserve">
      <c r="B51">
        <v>20</v>
      </c>
      <c r="C51" t="str">
        <v>Action AD</v>
      </c>
      <c r="D51">
        <v>5678</v>
      </c>
      <c r="E51">
        <v>45699</v>
      </c>
      <c r="F51">
        <v>45759</v>
      </c>
      <c r="J51">
        <f>IFERROR(IF(TODAY()&gt;=E51,(TODAY()-E51)/I51,0),0)*0</f>
        <v>0</v>
      </c>
      <c r="K51">
        <v>3689.78</v>
      </c>
      <c r="L51">
        <v>3689.78</v>
      </c>
      <c r="M51">
        <f>(K51-L51)*0</f>
        <v>0</v>
      </c>
      <c r="N51">
        <v>3980.06</v>
      </c>
      <c r="O51">
        <f>O50</f>
        <v>4143.44</v>
      </c>
      <c r="P51">
        <f>O51-N51</f>
        <v>163.37999999999965</v>
      </c>
      <c r="Q51">
        <f>K51*N51</f>
        <v>14685545.7868</v>
      </c>
      <c r="R51">
        <f>L51*O51</f>
        <v>15288382.0432</v>
      </c>
      <c r="S51">
        <f>R51-Q51</f>
        <v>602836.2563999984</v>
      </c>
      <c r="T51" t="str">
        <f>IF(R51&lt;= Q51,"No Monetizar","Monetizar")</f>
        <v>Monetizar</v>
      </c>
      <c r="V51">
        <v>45700</v>
      </c>
      <c r="W51" t="str">
        <v>Alfonso Fonseca A</v>
      </c>
      <c r="X51" t="str">
        <v>Eduard Forero</v>
      </c>
      <c r="Y51"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51">
        <f>K51*O51</f>
        <v>15288382.0432</v>
      </c>
      <c r="AA51">
        <f>Z51-Q51</f>
        <v>602836.2563999984</v>
      </c>
    </row>
    <row r="52">
      <c r="B52">
        <v>21</v>
      </c>
      <c r="C52" t="str">
        <v>Endrington</v>
      </c>
      <c r="D52">
        <v>5689</v>
      </c>
      <c r="E52">
        <v>45706</v>
      </c>
      <c r="F52">
        <v>45764</v>
      </c>
      <c r="J52">
        <f>IFERROR(IF(TODAY()&gt;=E52,(TODAY()-E52)/I52,0),0)*0</f>
        <v>0</v>
      </c>
      <c r="K52">
        <v>23626.52</v>
      </c>
      <c r="L52">
        <v>23626.52</v>
      </c>
      <c r="M52">
        <f>K52-L52</f>
        <v>0</v>
      </c>
      <c r="N52">
        <v>3953.8</v>
      </c>
      <c r="O52">
        <v>4410.1</v>
      </c>
      <c r="P52">
        <f>O52-N52</f>
        <v>456.3000000000002</v>
      </c>
      <c r="Q52">
        <f>K52*N52</f>
        <v>93414534.77600001</v>
      </c>
      <c r="R52">
        <f>L52*O52</f>
        <v>104195315.85200001</v>
      </c>
      <c r="S52">
        <f>R52-Q52</f>
        <v>10780781.076000005</v>
      </c>
      <c r="T52" t="str">
        <f>IF(R52&lt;= Q52,"No Monetizar","Monetizar")</f>
        <v>Monetizar</v>
      </c>
      <c r="V52">
        <v>45706</v>
      </c>
      <c r="W52" t="str">
        <v>Alfonso Fonseca A</v>
      </c>
      <c r="X52" t="str">
        <v>Alfonso Fonseca A</v>
      </c>
      <c r="Y52" t="str">
        <v>Se monetiza ya que el valor ofrecido por el banco en cada divisa es superior al valor facturado</v>
      </c>
      <c r="Z52">
        <f>K52*O52</f>
        <v>104195315.85200001</v>
      </c>
      <c r="AA52">
        <f>Z52-Q52</f>
        <v>10780781.076000005</v>
      </c>
    </row>
    <row r="53">
      <c r="B53">
        <v>22</v>
      </c>
      <c r="C53" t="str">
        <v>Marketing Doctors</v>
      </c>
      <c r="D53">
        <v>5694</v>
      </c>
      <c r="E53">
        <v>45706</v>
      </c>
      <c r="F53">
        <v>45764</v>
      </c>
      <c r="J53">
        <f>IFERROR(IF(TODAY()&gt;=E53,(TODAY()-E53)/I53,0),0)*0</f>
        <v>0</v>
      </c>
      <c r="K53">
        <v>2546.09</v>
      </c>
      <c r="L53">
        <v>2546.09</v>
      </c>
      <c r="M53">
        <f>K53-L53</f>
        <v>0</v>
      </c>
      <c r="N53">
        <v>3953.8</v>
      </c>
      <c r="O53">
        <v>4410.1</v>
      </c>
      <c r="P53">
        <f>O53-N53</f>
        <v>456.3000000000002</v>
      </c>
      <c r="Q53">
        <f>K53*N53</f>
        <v>10066730.642</v>
      </c>
      <c r="R53">
        <f>L53*O53</f>
        <v>11228511.509000001</v>
      </c>
      <c r="S53">
        <f>R53-Q53</f>
        <v>1161780.8670000006</v>
      </c>
      <c r="T53" t="str">
        <f>IF(R53&lt;= Q53,"No Monetizar","Monetizar")</f>
        <v>Monetizar</v>
      </c>
      <c r="V53">
        <v>45706</v>
      </c>
      <c r="W53" t="str">
        <v>Alfonso Fonseca A</v>
      </c>
      <c r="X53" t="str">
        <v>Alfonso Fonseca A</v>
      </c>
      <c r="Y53" t="str">
        <v>Se monetiza ya que el valor ofrecido por el banco en cada divisa es superior al valor facturado</v>
      </c>
      <c r="Z53">
        <f>K53*O53</f>
        <v>11228511.509000001</v>
      </c>
      <c r="AA53">
        <f>Z53-Q53</f>
        <v>1161780.8670000006</v>
      </c>
    </row>
    <row r="54">
      <c r="B54">
        <v>23</v>
      </c>
      <c r="C54" t="str">
        <v>Advancio</v>
      </c>
      <c r="D54">
        <v>5695</v>
      </c>
      <c r="E54">
        <v>45706</v>
      </c>
      <c r="F54">
        <v>45764</v>
      </c>
      <c r="J54">
        <f>IFERROR(IF(TODAY()&gt;=E54,(TODAY()-E54)/I54,0),0)*0</f>
        <v>0</v>
      </c>
      <c r="K54">
        <v>1308.12</v>
      </c>
      <c r="L54">
        <v>1308.12</v>
      </c>
      <c r="M54">
        <f>K54-L54</f>
        <v>0</v>
      </c>
      <c r="N54">
        <v>3953.8</v>
      </c>
      <c r="O54">
        <v>4075.6</v>
      </c>
      <c r="P54">
        <f>O54-N54</f>
        <v>121.79999999999973</v>
      </c>
      <c r="Q54">
        <f>K54*N54</f>
        <v>5172044.856</v>
      </c>
      <c r="R54">
        <f>L54*O54</f>
        <v>5331373.8719999995</v>
      </c>
      <c r="S54">
        <f>R54-Q54</f>
        <v>159329.01599999983</v>
      </c>
      <c r="T54" t="str">
        <f>IF(R54&lt;= Q54,"No Monetizar","Monetizar")</f>
        <v>Monetizar</v>
      </c>
      <c r="V54">
        <v>45707</v>
      </c>
      <c r="W54" t="str">
        <v>Alfonso Fonseca A</v>
      </c>
      <c r="X54" t="str">
        <v>Alfonso Fonseca A</v>
      </c>
      <c r="Y54" t="str">
        <v>Se monetiza ya que el valor ofrecido por el banco en cada divisa es superior al valor facturado</v>
      </c>
      <c r="Z54">
        <f>K54*O54</f>
        <v>5331373.8719999995</v>
      </c>
      <c r="AA54">
        <f>Z54-Q54</f>
        <v>159329.01599999983</v>
      </c>
    </row>
    <row r="55">
      <c r="B55">
        <v>24</v>
      </c>
      <c r="C55" t="str">
        <v>Oncehub</v>
      </c>
      <c r="D55">
        <v>5691</v>
      </c>
      <c r="E55">
        <v>45706</v>
      </c>
      <c r="F55">
        <v>45764</v>
      </c>
      <c r="J55">
        <f>IFERROR(IF(TODAY()&gt;=E55,(TODAY()-E55)/I55,0),0)*0</f>
        <v>0</v>
      </c>
      <c r="K55">
        <v>3069.09</v>
      </c>
      <c r="L55">
        <v>3049.09</v>
      </c>
      <c r="M55">
        <f>K55-L55</f>
        <v>20</v>
      </c>
      <c r="N55">
        <v>3953.8</v>
      </c>
      <c r="O55">
        <v>4069.15</v>
      </c>
      <c r="P55">
        <f>O55-N55</f>
        <v>115.34999999999991</v>
      </c>
      <c r="Q55">
        <f>K55*N55</f>
        <v>12134568.042000001</v>
      </c>
      <c r="R55">
        <f>L55*O55</f>
        <v>12407204.5735</v>
      </c>
      <c r="S55">
        <f>(R55-Q55)/N55</f>
        <v>68.95556970509348</v>
      </c>
      <c r="T55" t="str">
        <f>IF(R55&lt;= Q55,"No Monetizar","Monetizar")</f>
        <v>Monetizar</v>
      </c>
      <c r="V55">
        <v>45708</v>
      </c>
      <c r="W55" t="str">
        <v>Alfonso Fonseca A</v>
      </c>
      <c r="X55" t="str">
        <v>Alfonso Fonseca A</v>
      </c>
      <c r="Y55" t="str">
        <v>Se monetiza ya que el valor ofrecido por el banco en cada divisa es superior al valor facturado</v>
      </c>
      <c r="Z55">
        <f>K55*O55</f>
        <v>12488587.5735</v>
      </c>
      <c r="AA55">
        <f>Z55-Q55</f>
        <v>354019.53149999864</v>
      </c>
    </row>
    <row r="56">
      <c r="B56">
        <v>25</v>
      </c>
      <c r="C56" t="str">
        <v>Nazdar ink technologies</v>
      </c>
      <c r="D56">
        <v>5704</v>
      </c>
      <c r="E56">
        <v>45706</v>
      </c>
      <c r="F56">
        <v>45764</v>
      </c>
      <c r="J56">
        <f>IFERROR(IF(TODAY()&gt;=E56,(TODAY()-E56)/I56,0),0)*0</f>
        <v>0</v>
      </c>
      <c r="K56">
        <v>13815.14</v>
      </c>
      <c r="L56">
        <v>13800.14</v>
      </c>
      <c r="M56">
        <f>K56-L56</f>
        <v>15</v>
      </c>
      <c r="N56">
        <v>3800.18</v>
      </c>
      <c r="O56">
        <v>4061.2</v>
      </c>
      <c r="P56">
        <f>O56-N56</f>
        <v>261.02</v>
      </c>
      <c r="Q56">
        <f>K56*N56</f>
        <v>52500018.7252</v>
      </c>
      <c r="R56">
        <f>L56*O56</f>
        <v>56045128.567999996</v>
      </c>
      <c r="S56">
        <f>R56-Q56</f>
        <v>3545109.842799999</v>
      </c>
      <c r="T56" t="str">
        <f>IF(R56&lt;= Q56,"No Monetizar","Monetizar")</f>
        <v>Monetizar</v>
      </c>
      <c r="V56">
        <v>45708</v>
      </c>
      <c r="W56" t="str">
        <v>Alfonso Fonseca A</v>
      </c>
      <c r="X56" t="str">
        <v>Alfonso Fonseca A</v>
      </c>
      <c r="Y56" t="str">
        <v>Se monetiza ya que el valor ofrecido por el banco en cada divisa es superior al valor facturado</v>
      </c>
      <c r="Z56">
        <f>K56*O56</f>
        <v>56106046.567999996</v>
      </c>
      <c r="AA56">
        <f>Z56-Q56</f>
        <v>3606027.842799999</v>
      </c>
    </row>
    <row r="57">
      <c r="B57">
        <v>26</v>
      </c>
      <c r="C57" t="str">
        <v>Flexco</v>
      </c>
      <c r="D57">
        <v>5690</v>
      </c>
      <c r="E57">
        <v>45706</v>
      </c>
      <c r="F57">
        <v>45764</v>
      </c>
      <c r="J57">
        <f>IFERROR(IF(TODAY()&gt;=E57,(TODAY()-E57)/I57,0),0)*0</f>
        <v>0</v>
      </c>
      <c r="K57">
        <v>3827.13</v>
      </c>
      <c r="L57">
        <v>3817.13</v>
      </c>
      <c r="M57">
        <f>K57-L57</f>
        <v>10</v>
      </c>
      <c r="N57">
        <v>3953.8</v>
      </c>
      <c r="O57">
        <v>4055.15</v>
      </c>
      <c r="P57">
        <f>O57-N57</f>
        <v>101.34999999999991</v>
      </c>
      <c r="Q57">
        <f>K57*N57</f>
        <v>15131706.594</v>
      </c>
      <c r="R57">
        <f>L57*O57</f>
        <v>15479034.719500002</v>
      </c>
      <c r="S57">
        <f>R57-Q57</f>
        <v>347328.125500001</v>
      </c>
      <c r="T57" t="str">
        <f>IF(R57&lt;= Q57,"No Monetizar","Monetizar")</f>
        <v>Monetizar</v>
      </c>
      <c r="V57">
        <v>45708</v>
      </c>
      <c r="W57" t="str">
        <v>Alfonso Fonseca A</v>
      </c>
      <c r="X57" t="str">
        <v>Alfonso Fonseca A</v>
      </c>
      <c r="Y57" t="str">
        <v>Se monetiza ya que el valor ofrecido por el banco en cada divisa es superior al valor facturado</v>
      </c>
      <c r="Z57">
        <f>K57*O57</f>
        <v>15519586.219500002</v>
      </c>
      <c r="AA57">
        <f>Z57-Q57</f>
        <v>387879.625500001</v>
      </c>
    </row>
    <row r="58">
      <c r="B58">
        <v>27</v>
      </c>
      <c r="C58" t="str">
        <v xml:space="preserve">Neo </v>
      </c>
      <c r="D58">
        <v>5692</v>
      </c>
      <c r="E58">
        <v>45706</v>
      </c>
      <c r="F58">
        <v>45764</v>
      </c>
      <c r="J58">
        <f>IFERROR(IF(TODAY()&gt;=E58,(TODAY()-E58)/I58,0),0)*0</f>
        <v>0</v>
      </c>
      <c r="K58">
        <v>22597.84</v>
      </c>
      <c r="L58">
        <v>22551.84</v>
      </c>
      <c r="M58">
        <f>K58-L58</f>
        <v>46</v>
      </c>
      <c r="N58">
        <v>3953.8</v>
      </c>
      <c r="O58">
        <v>4094</v>
      </c>
      <c r="P58">
        <f>O58-N58</f>
        <v>140.19999999999982</v>
      </c>
      <c r="Q58">
        <f>K58*N58</f>
        <v>89347339.79200001</v>
      </c>
      <c r="R58">
        <f>L58*O58</f>
        <v>92327232.96</v>
      </c>
      <c r="S58">
        <f>R58-Q58</f>
        <v>2979893.167999983</v>
      </c>
      <c r="T58" t="str">
        <f>IF(R58&lt;= Q58,"No Monetizar","Monetizar")</f>
        <v>Monetizar</v>
      </c>
      <c r="V58">
        <v>45712</v>
      </c>
      <c r="W58" t="str">
        <v>Alfonso Fonseca A</v>
      </c>
      <c r="X58" t="str">
        <v>Alfonso Fonseca A</v>
      </c>
      <c r="Y58" t="str">
        <v>Se monetiza ya que el valor ofrecido por el banco en cada divisa es superior al valor facturado</v>
      </c>
      <c r="Z58">
        <f>K58*O58</f>
        <v>92515556.96</v>
      </c>
      <c r="AA58">
        <f>Z58-Q58</f>
        <v>3168217.167999983</v>
      </c>
    </row>
    <row r="59">
      <c r="B59">
        <v>28</v>
      </c>
      <c r="C59" t="str">
        <v>Remofisrt</v>
      </c>
      <c r="D59">
        <v>5688</v>
      </c>
      <c r="E59">
        <v>45706</v>
      </c>
      <c r="F59">
        <v>45764</v>
      </c>
      <c r="J59">
        <f>IFERROR(IF(TODAY()&gt;=E59,(TODAY()-E59)/I59,0),0)*0</f>
        <v>0</v>
      </c>
      <c r="K59">
        <v>201884.45</v>
      </c>
      <c r="L59">
        <v>201884.45</v>
      </c>
      <c r="M59">
        <f>K59-L59</f>
        <v>0</v>
      </c>
      <c r="N59">
        <v>3850.81</v>
      </c>
      <c r="O59">
        <v>4098.61</v>
      </c>
      <c r="P59">
        <f>O59-N59</f>
        <v>247.79999999999973</v>
      </c>
      <c r="Q59">
        <f>K59*N59</f>
        <v>777418658.9045</v>
      </c>
      <c r="R59">
        <f>L59*O59</f>
        <v>827445625.6144999</v>
      </c>
      <c r="S59">
        <f>R59-Q59</f>
        <v>50026966.70999992</v>
      </c>
      <c r="T59" t="str">
        <f>IF(R59&lt;= Q59,"No Monetizar","Monetizar")</f>
        <v>Monetizar</v>
      </c>
      <c r="V59">
        <v>45712</v>
      </c>
      <c r="W59" t="str">
        <v>Alfonso Fonseca A</v>
      </c>
      <c r="X59" t="str">
        <v>Alfonso Fonseca A</v>
      </c>
      <c r="Y59" t="str">
        <v>Se monetiza ya que el valor ofrecido por el banco en cada divisa es superior al valor facturado</v>
      </c>
      <c r="Z59">
        <f>K59*O59</f>
        <v>827445625.6144999</v>
      </c>
      <c r="AA59">
        <f>Z59-Q59</f>
        <v>50026966.70999992</v>
      </c>
    </row>
    <row r="60">
      <c r="B60">
        <v>29</v>
      </c>
      <c r="C60" t="str">
        <v>Insider</v>
      </c>
      <c r="D60">
        <v>5729</v>
      </c>
      <c r="E60">
        <v>45706</v>
      </c>
      <c r="F60">
        <v>45764</v>
      </c>
      <c r="J60">
        <f>IFERROR(IF(TODAY()&gt;=E60,(TODAY()-E60)/I60,0),0)*0</f>
        <v>0</v>
      </c>
      <c r="K60">
        <v>97590.24</v>
      </c>
      <c r="L60">
        <v>97575.24</v>
      </c>
      <c r="M60">
        <f>K60-L60</f>
        <v>15</v>
      </c>
      <c r="N60">
        <v>3862.63</v>
      </c>
      <c r="O60">
        <v>4112.15</v>
      </c>
      <c r="P60">
        <f>O60-N60</f>
        <v>249.51999999999953</v>
      </c>
      <c r="Q60">
        <f>K60*N60</f>
        <v>376954988.73120004</v>
      </c>
      <c r="R60">
        <f>L60*O60</f>
        <v>401244023.166</v>
      </c>
      <c r="S60">
        <f>R60-Q60</f>
        <v>24289034.43479997</v>
      </c>
      <c r="T60" t="str">
        <f>IF(R60&lt;= Q60,"No Monetizar","Monetizar")</f>
        <v>Monetizar</v>
      </c>
      <c r="V60">
        <v>45713</v>
      </c>
      <c r="W60" t="str">
        <v>Alfonso Fonseca A</v>
      </c>
      <c r="X60" t="str">
        <v>Alfonso Fonseca A</v>
      </c>
      <c r="Y60" t="str">
        <v>Se monetiza ya que el valor ofrecido por el banco en cada divisa es superior al valor facturado</v>
      </c>
      <c r="Z60">
        <f>K60*O60</f>
        <v>401305705.416</v>
      </c>
      <c r="AA60">
        <f>Z60-Q60</f>
        <v>24350716.68479997</v>
      </c>
    </row>
    <row r="61">
      <c r="B61">
        <v>30</v>
      </c>
      <c r="C61" t="str">
        <v>Hong kong yonyou xinfushe cloud technology co</v>
      </c>
      <c r="D61">
        <v>5699</v>
      </c>
      <c r="E61">
        <v>45706</v>
      </c>
      <c r="F61">
        <v>45764</v>
      </c>
      <c r="J61">
        <f>IFERROR(IF(TODAY()&gt;=E61,(TODAY()-E61)/I61,0),0)*0</f>
        <v>0</v>
      </c>
      <c r="K61">
        <v>6079.63</v>
      </c>
      <c r="L61">
        <v>6079.63</v>
      </c>
      <c r="M61">
        <f>K61-L61</f>
        <v>0</v>
      </c>
      <c r="N61">
        <v>3865.07</v>
      </c>
      <c r="O61">
        <v>4096.5</v>
      </c>
      <c r="P61">
        <f>O61-N61</f>
        <v>231.42999999999984</v>
      </c>
      <c r="Q61">
        <f>K61*N61</f>
        <v>23498195.524100002</v>
      </c>
      <c r="R61">
        <f>L61*O61</f>
        <v>24905204.295</v>
      </c>
      <c r="S61">
        <f>R61-Q61</f>
        <v>1407008.7709</v>
      </c>
      <c r="T61" t="str">
        <f>IF(R61&lt;= Q61,"No Monetizar","Monetizar")</f>
        <v>Monetizar</v>
      </c>
      <c r="V61">
        <v>45715</v>
      </c>
      <c r="W61" t="str">
        <v>Alfonso Fonseca A</v>
      </c>
      <c r="X61" t="str">
        <v>Alfonso Fonseca A</v>
      </c>
      <c r="Y61" t="str">
        <v>Se monetiza ya que el valor ofrecido por el banco en cada divisa es superior al valor facturado</v>
      </c>
      <c r="Z61">
        <f>K61*O61</f>
        <v>24905204.295</v>
      </c>
      <c r="AA61">
        <f>Z61-Q61</f>
        <v>1407008.7709</v>
      </c>
    </row>
    <row r="62">
      <c r="B62">
        <v>31</v>
      </c>
      <c r="C62" t="str">
        <v>Hong kong yonyou xinfushe cloud technology co</v>
      </c>
      <c r="D62">
        <v>5715</v>
      </c>
      <c r="E62">
        <v>45706</v>
      </c>
      <c r="F62">
        <v>45764</v>
      </c>
      <c r="J62">
        <f>IFERROR(IF(TODAY()&gt;=E62,(TODAY()-E62)/I62,0),0)*0</f>
        <v>0</v>
      </c>
      <c r="K62">
        <v>2753.32</v>
      </c>
      <c r="L62">
        <v>2753.32</v>
      </c>
      <c r="M62">
        <f>K62-L62</f>
        <v>0</v>
      </c>
      <c r="N62">
        <v>3865.07</v>
      </c>
      <c r="O62">
        <v>4096.5</v>
      </c>
      <c r="P62">
        <f>O62-N62</f>
        <v>231.42999999999984</v>
      </c>
      <c r="Q62">
        <f>K62*N62</f>
        <v>10641774.5324</v>
      </c>
      <c r="R62">
        <f>L62*O62</f>
        <v>11278975.38</v>
      </c>
      <c r="S62">
        <f>R62-Q62</f>
        <v>637200.8476</v>
      </c>
      <c r="T62" t="str">
        <f>IF(R62&lt;= Q62,"No Monetizar","Monetizar")</f>
        <v>Monetizar</v>
      </c>
      <c r="V62">
        <v>45715</v>
      </c>
      <c r="W62" t="str">
        <v>Alfonso Fonseca A</v>
      </c>
      <c r="X62" t="str">
        <v>Alfonso Fonseca A</v>
      </c>
      <c r="Y62" t="str">
        <v>Se monetiza ya que el valor ofrecido por el banco en cada divisa es superior al valor facturado</v>
      </c>
      <c r="Z62">
        <f>K62*O62</f>
        <v>11278975.38</v>
      </c>
      <c r="AA62">
        <f>Z62-Q62</f>
        <v>637200.8476</v>
      </c>
    </row>
    <row r="63">
      <c r="B63">
        <v>32</v>
      </c>
      <c r="C63" t="str">
        <v>Insider</v>
      </c>
      <c r="D63">
        <v>5730</v>
      </c>
      <c r="E63">
        <v>45706</v>
      </c>
      <c r="F63">
        <v>45764</v>
      </c>
      <c r="J63">
        <f>IFERROR(IF(TODAY()&gt;=E63,(TODAY()-E63)/I63,0),0)*0</f>
        <v>0</v>
      </c>
      <c r="K63">
        <v>2920.43</v>
      </c>
      <c r="L63">
        <v>2910.43</v>
      </c>
      <c r="M63">
        <f>K63-L63</f>
        <v>10</v>
      </c>
      <c r="N63">
        <v>3862.63</v>
      </c>
      <c r="O63">
        <v>4134</v>
      </c>
      <c r="P63">
        <f>O63-N63</f>
        <v>271.3699999999999</v>
      </c>
      <c r="Q63">
        <f>K63*N63</f>
        <v>11280540.5309</v>
      </c>
      <c r="R63">
        <f>L63*O63</f>
        <v>12031717.62</v>
      </c>
      <c r="S63">
        <f>R63-Q63</f>
        <v>751177.0890999995</v>
      </c>
      <c r="T63" t="str">
        <f>IF(R63&lt;= Q63,"No Monetizar","Monetizar")</f>
        <v>Monetizar</v>
      </c>
      <c r="V63">
        <v>45716</v>
      </c>
      <c r="W63" t="str">
        <v>Alfonso Fonseca A</v>
      </c>
      <c r="X63" t="str">
        <v>Alfonso Fonseca A</v>
      </c>
      <c r="Y63" t="str">
        <v>Se monetiza ya que el valor ofrecido por el banco en cada divisa es superior al valor facturado</v>
      </c>
      <c r="Z63">
        <f>K63*O63</f>
        <v>12073057.62</v>
      </c>
      <c r="AA63">
        <f>Z63-Q63</f>
        <v>792517.0890999995</v>
      </c>
    </row>
    <row r="64">
      <c r="B64">
        <v>33</v>
      </c>
      <c r="C64" t="str">
        <v>Remofisrt</v>
      </c>
      <c r="D64">
        <v>5736</v>
      </c>
      <c r="E64">
        <v>45706</v>
      </c>
      <c r="F64">
        <v>45764</v>
      </c>
      <c r="J64">
        <f>IFERROR(IF(TODAY()&gt;=E64,(TODAY()-E64)/I64,0),0)*0</f>
        <v>0</v>
      </c>
      <c r="K64">
        <v>5905.3</v>
      </c>
      <c r="L64">
        <v>6141.42</v>
      </c>
      <c r="M64">
        <f>K64-L64</f>
        <v>-236.1199999999999</v>
      </c>
      <c r="N64">
        <v>3850.81</v>
      </c>
      <c r="O64">
        <v>4119.3</v>
      </c>
      <c r="P64">
        <f>O64-N64</f>
        <v>268.49000000000024</v>
      </c>
      <c r="Q64">
        <f>K64*N64</f>
        <v>22740188.293</v>
      </c>
      <c r="R64">
        <f>L64*O64</f>
        <v>25298351.406000003</v>
      </c>
      <c r="S64">
        <f>R64-Q64</f>
        <v>2558163.1130000018</v>
      </c>
      <c r="T64" t="str">
        <f>IF(R64&lt;= Q64,"No Monetizar","Monetizar")</f>
        <v>Monetizar</v>
      </c>
      <c r="V64">
        <v>45721</v>
      </c>
      <c r="W64" t="str">
        <v>Alfonso Fonseca A</v>
      </c>
      <c r="X64" t="str">
        <v>Alfonso Fonseca A</v>
      </c>
      <c r="Y64" t="str">
        <v>Se monetiza ya que el valor ofrecido por el banco en cada divisa es superior al valor facturado</v>
      </c>
      <c r="Z64">
        <f>K64*O64</f>
        <v>24325702.290000003</v>
      </c>
      <c r="AA64">
        <f>Z64-Q64</f>
        <v>1585513.9970000014</v>
      </c>
    </row>
    <row r="65">
      <c r="B65">
        <v>34</v>
      </c>
      <c r="C65" t="str">
        <v>Hemmebarsch GMBH &amp; Co KG</v>
      </c>
      <c r="D65">
        <v>5697</v>
      </c>
      <c r="E65">
        <v>45722</v>
      </c>
      <c r="F65">
        <v>45782</v>
      </c>
      <c r="J65">
        <f>IFERROR(IF(TODAY()&gt;=E65,(TODAY()-E65)/I65,0),0)*0</f>
        <v>0</v>
      </c>
      <c r="K65">
        <v>3852.15</v>
      </c>
      <c r="L65">
        <v>3852.15</v>
      </c>
      <c r="M65">
        <f>K65-L65</f>
        <v>0</v>
      </c>
      <c r="N65">
        <v>3865.07</v>
      </c>
      <c r="O65">
        <v>4136.54</v>
      </c>
      <c r="P65">
        <f>O65-N65</f>
        <v>271.4699999999998</v>
      </c>
      <c r="Q65">
        <f>K65*N65</f>
        <v>14888829.400500001</v>
      </c>
      <c r="R65">
        <f>L65*O65</f>
        <v>15934572.561</v>
      </c>
      <c r="S65">
        <f>R65-Q65</f>
        <v>1045743.1604999993</v>
      </c>
      <c r="T65" t="str">
        <f>IF(R65&lt;= Q65,"No Monetizar","Monetizar")</f>
        <v>Monetizar</v>
      </c>
      <c r="V65">
        <v>45726</v>
      </c>
      <c r="W65" t="str">
        <v>Alfonso Fonseca A</v>
      </c>
      <c r="X65" t="str">
        <v>Alfonso Fonseca A</v>
      </c>
      <c r="Y65" t="str">
        <v>Se monetiza ya que el valor ofrecido por el banco en cada divisa es superior al valor facturado</v>
      </c>
      <c r="Z65">
        <f>K65*O65</f>
        <v>15934572.561</v>
      </c>
      <c r="AA65">
        <f>Z65-Q65</f>
        <v>1045743.1604999993</v>
      </c>
    </row>
    <row r="66">
      <c r="B66">
        <v>35</v>
      </c>
      <c r="C66" t="str">
        <v>Hemmebarsch GMBH &amp; Co KG</v>
      </c>
      <c r="D66">
        <v>5698</v>
      </c>
      <c r="E66">
        <v>45722</v>
      </c>
      <c r="F66">
        <v>45782</v>
      </c>
      <c r="J66">
        <f>IFERROR(IF(TODAY()&gt;=E66,(TODAY()-E66)/I66,0),0)*0</f>
        <v>0</v>
      </c>
      <c r="K66">
        <v>1203.24</v>
      </c>
      <c r="L66">
        <v>1203.24</v>
      </c>
      <c r="M66">
        <f>K66-L66</f>
        <v>0</v>
      </c>
      <c r="N66">
        <v>3865.07</v>
      </c>
      <c r="O66">
        <v>4136.54</v>
      </c>
      <c r="P66">
        <f>O66-N66</f>
        <v>271.4699999999998</v>
      </c>
      <c r="Q66">
        <f>K66*N66</f>
        <v>4650606.8268</v>
      </c>
      <c r="R66">
        <f>L66*O66</f>
        <v>4977250.3896</v>
      </c>
      <c r="S66">
        <f>R66-Q66</f>
        <v>326643.5628000004</v>
      </c>
      <c r="T66" t="str">
        <f>IF(R66&lt;= Q66,"No Monetizar","Monetizar")</f>
        <v>Monetizar</v>
      </c>
      <c r="V66">
        <v>45726</v>
      </c>
      <c r="W66" t="str">
        <v>Alfonso Fonseca A</v>
      </c>
      <c r="X66" t="str">
        <v>Alfonso Fonseca A</v>
      </c>
      <c r="Y66" t="str">
        <v>Se monetiza ya que el valor ofrecido por el banco en cada divisa es superior al valor facturado</v>
      </c>
      <c r="Z66">
        <f>K66*O66</f>
        <v>4977250.3896</v>
      </c>
      <c r="AA66">
        <f>Z66-Q66</f>
        <v>326643.5628000004</v>
      </c>
    </row>
    <row r="67">
      <c r="B67">
        <v>36</v>
      </c>
      <c r="C67" t="str">
        <v>Insider</v>
      </c>
      <c r="D67">
        <v>5760</v>
      </c>
      <c r="E67">
        <v>45964</v>
      </c>
      <c r="F67">
        <v>45787</v>
      </c>
      <c r="J67">
        <f>IFERROR(IF(TODAY()&gt;=E67,(TODAY()-E67)/I67,0),0)*0</f>
        <v>0</v>
      </c>
      <c r="K67">
        <v>16477.68</v>
      </c>
      <c r="L67">
        <v>16462.68</v>
      </c>
      <c r="M67">
        <f>K67-L67</f>
        <v>15</v>
      </c>
      <c r="N67">
        <v>4036.8</v>
      </c>
      <c r="O67">
        <v>4146.11</v>
      </c>
      <c r="P67">
        <f>O67-N67</f>
        <v>109.30999999999949</v>
      </c>
      <c r="Q67">
        <f>K67*N67</f>
        <v>66517098.624000005</v>
      </c>
      <c r="R67">
        <f>L67*O67</f>
        <v>68256082.1748</v>
      </c>
      <c r="S67">
        <f>R67-Q67</f>
        <v>1738983.5507999882</v>
      </c>
      <c r="T67" t="str">
        <f>IF(R67&lt;= Q67,"No Monetizar","Monetizar")</f>
        <v>Monetizar</v>
      </c>
      <c r="V67">
        <v>45727</v>
      </c>
      <c r="W67" t="str">
        <v>Alfonso Fonseca A</v>
      </c>
      <c r="X67" t="str">
        <v>Alfonso Fonseca A</v>
      </c>
      <c r="Y67" t="str">
        <v>Se monetiza ya que el valor ofrecido por el banco en cada divisa es superior al valor facturado</v>
      </c>
      <c r="Z67">
        <f>K67*O67</f>
        <v>68318273.8248</v>
      </c>
      <c r="AA67">
        <f>Z67-Q67</f>
        <v>1801175.2007999942</v>
      </c>
    </row>
    <row r="68" xml:space="preserve">
      <c r="B68">
        <v>37</v>
      </c>
      <c r="C68" t="str">
        <v>Global Project</v>
      </c>
      <c r="D68">
        <v>5411</v>
      </c>
      <c r="E68">
        <v>45672</v>
      </c>
      <c r="F68">
        <v>45732</v>
      </c>
      <c r="J68">
        <f>IFERROR(IF(TODAY()&gt;=E68,(TODAY()-E68)/I68,0),0)*0</f>
        <v>0</v>
      </c>
      <c r="K68">
        <f>471.97</f>
        <v>471.97</v>
      </c>
      <c r="L68">
        <v>470.5980061511092</v>
      </c>
      <c r="M68">
        <f>K68-L68</f>
        <v>1.3719938488908383</v>
      </c>
      <c r="N68">
        <v>4414</v>
      </c>
      <c r="O68">
        <v>4090.77</v>
      </c>
      <c r="P68">
        <f>O68-N68</f>
        <v>-323.23</v>
      </c>
      <c r="Q68">
        <f>K68*N68</f>
        <v>2083275.58</v>
      </c>
      <c r="R68">
        <f>L68*O68</f>
        <v>1925108.205622773</v>
      </c>
      <c r="S68">
        <f>R68-Q68</f>
        <v>-158167.37437722716</v>
      </c>
      <c r="T68" t="str">
        <f>IF(R68&lt;= Q68,"No Monetizar","Monetizar")</f>
        <v>No Monetizar</v>
      </c>
      <c r="V68">
        <v>45729</v>
      </c>
      <c r="W68" t="str">
        <v>Alfonso Fonseca A</v>
      </c>
      <c r="X68" t="str">
        <v>Alfonso Fonseca A</v>
      </c>
      <c r="Y68" t="str" xml:space="preserve">
        <v xml:space="preserve">Se ha decidido monetizar estas divisas a pesar de que el valor recibido está por debajo del monto facturado, considerando que la fecha límite para su devolución vencía el próximo domingo 16 de marzo._x000d_
_x000d_
Adicionalmente, al momento del cobro, la TRM se encontraba en $4,414, mientras que en la actualidad la divisa ha registrado disminuciones sustanciales, sin alcanzar siquiera los $4,100, y mucho menos el valor sobre el cual se generó el documento._x000d_
_x000d_
Esta situación fue presentada al Director General durante la reunión mensual de revisión de flujos de caja, quien evaluó el escenario y determinó que, pese a la pérdida por diferencia en cambio, no había opción de alcanzar el valor de la divisa facturado en noviembre y diciembre, además de que existía una alta probabilidad de que los recursos tuvieran que ser devueltos al cliente.</v>
      </c>
      <c r="Z68">
        <f>K68*O68</f>
        <v>1930720.7169</v>
      </c>
      <c r="AA68">
        <f>Z68-Q68</f>
        <v>-152554.86309999996</v>
      </c>
    </row>
    <row r="69" xml:space="preserve">
      <c r="B69">
        <v>38</v>
      </c>
      <c r="C69" t="str">
        <v>Global Project</v>
      </c>
      <c r="D69">
        <v>5493</v>
      </c>
      <c r="E69">
        <v>45672</v>
      </c>
      <c r="F69">
        <v>45732</v>
      </c>
      <c r="J69">
        <f>IFERROR(IF(TODAY()&gt;=E69,(TODAY()-E69)/I69,0),0)*0</f>
        <v>0</v>
      </c>
      <c r="K69">
        <v>2318.06</v>
      </c>
      <c r="L69">
        <v>2311.3215122542533</v>
      </c>
      <c r="M69">
        <f>K69-L69</f>
        <v>6.738487745746625</v>
      </c>
      <c r="N69">
        <v>4418.58</v>
      </c>
      <c r="O69">
        <f>O68</f>
        <v>4090.77</v>
      </c>
      <c r="P69">
        <f>O69-N69</f>
        <v>-327.80999999999995</v>
      </c>
      <c r="Q69">
        <f>K69*N69</f>
        <v>10242533.5548</v>
      </c>
      <c r="R69">
        <f>L69*O69</f>
        <v>9455084.702684332</v>
      </c>
      <c r="S69">
        <f>R69-Q69</f>
        <v>-787448.8521156684</v>
      </c>
      <c r="T69" t="str">
        <f>IF(R69&lt;= Q69,"No Monetizar","Monetizar")</f>
        <v>No Monetizar</v>
      </c>
      <c r="V69">
        <v>45729</v>
      </c>
      <c r="W69" t="str">
        <v>Alfonso Fonseca A</v>
      </c>
      <c r="X69" t="str">
        <v>Alfonso Fonseca A</v>
      </c>
      <c r="Y69" t="str" xml:space="preserve">
        <v xml:space="preserve">Se ha decidido monetizar estas divisas a pesar de que el valor recibido está por debajo del monto facturado, considerando que la fecha límite para su devolución vencía el próximo domingo 16 de marzo._x000d_
_x000d_
Adicionalmente, al momento del cobro, la TRM se encontraba en $4,414, mientras que en la actualidad la divisa ha registrado disminuciones sustanciales, sin alcanzar siquiera los $4,100, y mucho menos el valor sobre el cual se generó el documento._x000d_
_x000d_
Esta situación fue presentada al Director General durante la reunión mensual de revisión de flujos de caja, quien evaluó el escenario y determinó que, pese a la pérdida por diferencia en cambio, no había opción de alcanzar el valor de la divisa facturado en noviembre y diciembre, además de que existía una alta probabilidad de que los recursos tuvieran que ser devueltos al cliente.</v>
      </c>
      <c r="Z69">
        <f>K69*O69</f>
        <v>9482650.3062</v>
      </c>
      <c r="AA69">
        <f>Z69-Q69</f>
        <v>-759883.2486000005</v>
      </c>
    </row>
    <row r="70" xml:space="preserve">
      <c r="B70">
        <v>39</v>
      </c>
      <c r="C70" t="str">
        <v>Global Project</v>
      </c>
      <c r="D70">
        <v>5514</v>
      </c>
      <c r="E70">
        <v>45672</v>
      </c>
      <c r="F70">
        <v>45732</v>
      </c>
      <c r="J70">
        <f>IFERROR(IF(TODAY()&gt;=E70,(TODAY()-E70)/I70,0),0)*0</f>
        <v>0</v>
      </c>
      <c r="K70">
        <v>650</v>
      </c>
      <c r="L70">
        <v>648.1104815946372</v>
      </c>
      <c r="M70">
        <f>K70-L70</f>
        <v>1.8895184053627645</v>
      </c>
      <c r="N70">
        <v>4406.16</v>
      </c>
      <c r="O70">
        <f>O69</f>
        <v>4090.77</v>
      </c>
      <c r="P70">
        <f>O70-N70</f>
        <v>-315.3899999999999</v>
      </c>
      <c r="Q70">
        <f>K70*N70</f>
        <v>2864004</v>
      </c>
      <c r="R70">
        <f>L70*O70</f>
        <v>2651270.914792894</v>
      </c>
      <c r="S70">
        <f>R70-Q70</f>
        <v>-212733.08520710608</v>
      </c>
      <c r="T70" t="str">
        <f>IF(R70&lt;= Q70,"No Monetizar","Monetizar")</f>
        <v>No Monetizar</v>
      </c>
      <c r="V70">
        <v>45729</v>
      </c>
      <c r="W70" t="str">
        <v>Alfonso Fonseca A</v>
      </c>
      <c r="X70" t="str">
        <v>Alfonso Fonseca A</v>
      </c>
      <c r="Y70" t="str" xml:space="preserve">
        <v xml:space="preserve">Se ha decidido monetizar estas divisas a pesar de que el valor recibido está por debajo del monto facturado, considerando que la fecha límite para su devolución vencía el próximo domingo 16 de marzo._x000d_
_x000d_
Adicionalmente, al momento del cobro, la TRM se encontraba en $4,414, mientras que en la actualidad la divisa ha registrado disminuciones sustanciales, sin alcanzar siquiera los $4,100, y mucho menos el valor sobre el cual se generó el documento._x000d_
_x000d_
Esta situación fue presentada al Director General durante la reunión mensual de revisión de flujos de caja, quien evaluó el escenario y determinó que, pese a la pérdida por diferencia en cambio, no había opción de alcanzar el valor de la divisa facturado en noviembre y diciembre, además de que existía una alta probabilidad de que los recursos tuvieran que ser devueltos al cliente.</v>
      </c>
      <c r="Z70">
        <f>K70*O70</f>
        <v>2659000.5</v>
      </c>
      <c r="AA70">
        <f>Z70-Q70</f>
        <v>-205003.5</v>
      </c>
    </row>
    <row r="71">
      <c r="B71">
        <v>40</v>
      </c>
      <c r="C71" t="str">
        <v>Action AD</v>
      </c>
      <c r="D71">
        <v>5762</v>
      </c>
      <c r="E71">
        <v>45733</v>
      </c>
      <c r="F71">
        <v>45793</v>
      </c>
      <c r="J71">
        <f>IFERROR(IF(TODAY()&gt;=E71,(TODAY()-E71)/I71,0),0)*0</f>
        <v>0</v>
      </c>
      <c r="K71">
        <v>3149.17</v>
      </c>
      <c r="L71">
        <v>3149.17</v>
      </c>
      <c r="M71">
        <f>K71-L71</f>
        <v>0</v>
      </c>
      <c r="N71">
        <v>4101.96</v>
      </c>
      <c r="O71">
        <v>4121.65</v>
      </c>
      <c r="P71">
        <f>O71-N71</f>
        <v>19.6899999999996</v>
      </c>
      <c r="Q71">
        <f>K71*N71</f>
        <v>12917769.373200001</v>
      </c>
      <c r="R71">
        <f>L71*O71</f>
        <v>12979776.530499998</v>
      </c>
      <c r="S71">
        <f>R71-Q71</f>
        <v>62007.157299997285</v>
      </c>
      <c r="T71" t="str">
        <f>IF(R71&lt;= Q71,"No Monetizar","Monetizar")</f>
        <v>Monetizar</v>
      </c>
      <c r="V71">
        <v>45733</v>
      </c>
      <c r="W71" t="str">
        <v>Alfonso Fonseca A</v>
      </c>
      <c r="X71" t="str">
        <v>Alfonso Fonseca A</v>
      </c>
      <c r="Y71" t="str">
        <v>Se monetiza ya que el valor ofrecido por el banco en cada divisa es superior al valor facturado</v>
      </c>
      <c r="Z71">
        <f>K71*O71</f>
        <v>12979776.530499998</v>
      </c>
      <c r="AA71">
        <f>Z71-Q71</f>
        <v>62007.157299997285</v>
      </c>
    </row>
    <row r="72">
      <c r="B72">
        <v>41</v>
      </c>
      <c r="C72" t="str">
        <v>Remofisrt</v>
      </c>
      <c r="D72">
        <v>5736</v>
      </c>
      <c r="E72">
        <v>45735</v>
      </c>
      <c r="F72">
        <v>45795</v>
      </c>
      <c r="J72">
        <f>IFERROR(IF(TODAY()&gt;=E72,(TODAY()-E72)/I72,0),0)*0</f>
        <v>0</v>
      </c>
      <c r="K72">
        <v>1120.94</v>
      </c>
      <c r="L72">
        <v>1120.94</v>
      </c>
      <c r="M72">
        <f>K72-L72</f>
        <v>0</v>
      </c>
      <c r="N72">
        <v>3850.81</v>
      </c>
      <c r="O72">
        <v>4130.05</v>
      </c>
      <c r="P72">
        <f>O72-N72</f>
        <v>279.24000000000024</v>
      </c>
      <c r="Q72">
        <f>K72*N72</f>
        <v>4316526.9614</v>
      </c>
      <c r="R72">
        <f>L72*O72</f>
        <v>4629538.247</v>
      </c>
      <c r="S72">
        <f>R72-Q72</f>
        <v>313011.28560000006</v>
      </c>
      <c r="T72" t="str">
        <f>IF(R72&lt;= Q72,"No Monetizar","Monetizar")</f>
        <v>Monetizar</v>
      </c>
      <c r="V72">
        <v>45735</v>
      </c>
      <c r="W72" t="str">
        <v>Alfonso Fonseca A</v>
      </c>
      <c r="X72" t="str">
        <v>Alfonso Fonseca A</v>
      </c>
      <c r="Y72" t="str">
        <v>Se monetiza ya que el valor ofrecido por el banco en cada divisa es superior al valor facturado</v>
      </c>
      <c r="Z72">
        <f>K72*O72</f>
        <v>4629538.247</v>
      </c>
      <c r="AA72">
        <f>Z72-Q72</f>
        <v>313011.28560000006</v>
      </c>
    </row>
    <row r="73">
      <c r="B73">
        <v>42</v>
      </c>
      <c r="C73" t="str">
        <v>Marketing Doctors</v>
      </c>
      <c r="D73">
        <v>5769</v>
      </c>
      <c r="E73">
        <v>45735</v>
      </c>
      <c r="F73">
        <v>45795</v>
      </c>
      <c r="J73">
        <f>IFERROR(IF(TODAY()&gt;=E73,(TODAY()-E73)/I73,0),0)*0</f>
        <v>0</v>
      </c>
      <c r="K73">
        <v>2513.44</v>
      </c>
      <c r="L73">
        <v>2513.44</v>
      </c>
      <c r="M73">
        <f>K73-L73</f>
        <v>0</v>
      </c>
      <c r="N73">
        <v>4010.08</v>
      </c>
      <c r="O73">
        <v>4177.22</v>
      </c>
      <c r="P73">
        <f>O73-N73</f>
        <v>167.14000000000033</v>
      </c>
      <c r="Q73">
        <f>K73*N73</f>
        <v>10079095.4752</v>
      </c>
      <c r="R73">
        <f>L73*O73</f>
        <v>10499191.836800002</v>
      </c>
      <c r="S73">
        <f>R73-Q73</f>
        <v>420096.3616000023</v>
      </c>
      <c r="T73" t="str">
        <f>IF(R73&lt;= Q73,"No Monetizar","Monetizar")</f>
        <v>Monetizar</v>
      </c>
      <c r="V73">
        <v>45736</v>
      </c>
      <c r="W73" t="str">
        <v>Alfonso Fonseca A</v>
      </c>
      <c r="X73" t="str">
        <v>Alfonso Fonseca A</v>
      </c>
      <c r="Y73" t="str">
        <v>Se monetiza ya que el valor ofrecido por el banco en cada divisa es superior al valor facturado</v>
      </c>
      <c r="Z73">
        <f>K73*O73</f>
        <v>10499191.836800002</v>
      </c>
      <c r="AA73">
        <f>Z73-Q73</f>
        <v>420096.3616000023</v>
      </c>
    </row>
    <row r="74">
      <c r="B74">
        <v>43</v>
      </c>
      <c r="C74" t="str">
        <v>Nazdar ink technologies</v>
      </c>
      <c r="D74">
        <v>5771</v>
      </c>
      <c r="E74">
        <v>45736</v>
      </c>
      <c r="F74">
        <v>45796</v>
      </c>
      <c r="J74">
        <f>IFERROR(IF(TODAY()&gt;=E74,(TODAY()-E74)/I74,0),0)*0</f>
        <v>0</v>
      </c>
      <c r="K74">
        <v>13839.49</v>
      </c>
      <c r="L74">
        <v>13824.49</v>
      </c>
      <c r="M74">
        <f>K74-L74</f>
        <v>15</v>
      </c>
      <c r="N74">
        <v>4010.08</v>
      </c>
      <c r="O74">
        <v>4171.5</v>
      </c>
      <c r="P74">
        <f>O74-N74</f>
        <v>161.42000000000007</v>
      </c>
      <c r="Q74">
        <f>K74*N74</f>
        <v>55497462.0592</v>
      </c>
      <c r="R74">
        <f>L74*O74</f>
        <v>57668860.035</v>
      </c>
      <c r="S74">
        <f>R74-Q74</f>
        <v>2171397.9758</v>
      </c>
      <c r="T74" t="str">
        <f>IF(R74&lt;= Q74,"No Monetizar","Monetizar")</f>
        <v>Monetizar</v>
      </c>
      <c r="V74">
        <v>45736</v>
      </c>
      <c r="W74" t="str">
        <v>Alfonso Fonseca A</v>
      </c>
      <c r="X74" t="str">
        <v>Alfonso Fonseca A</v>
      </c>
      <c r="Y74" t="str">
        <v>Se monetiza ya que el valor ofrecido por el banco en cada divisa es superior al valor facturado</v>
      </c>
      <c r="Z74">
        <f>K74*O74</f>
        <v>57731432.535</v>
      </c>
      <c r="AA74">
        <f>Z74-Q74</f>
        <v>2233970.4758</v>
      </c>
    </row>
    <row r="75">
      <c r="B75">
        <v>44</v>
      </c>
      <c r="C75" t="str">
        <v>Endrington</v>
      </c>
      <c r="D75">
        <v>5776</v>
      </c>
      <c r="E75">
        <v>45737</v>
      </c>
      <c r="F75">
        <v>45797</v>
      </c>
      <c r="J75">
        <f>IFERROR(IF(TODAY()&gt;=E75,(TODAY()-E75)/I75,0),0)*0</f>
        <v>0</v>
      </c>
      <c r="K75">
        <v>20615.23</v>
      </c>
      <c r="L75">
        <v>20615.23</v>
      </c>
      <c r="M75">
        <f>K75-L75</f>
        <v>0</v>
      </c>
      <c r="N75">
        <v>3990.08</v>
      </c>
      <c r="O75">
        <v>4159.1</v>
      </c>
      <c r="P75">
        <f>O75-N75</f>
        <v>169.02000000000044</v>
      </c>
      <c r="Q75">
        <f>K75*N75</f>
        <v>82256416.91839999</v>
      </c>
      <c r="R75">
        <f>L75*O75</f>
        <v>85740803.09300001</v>
      </c>
      <c r="S75">
        <f>R75-Q75</f>
        <v>3484386.17460002</v>
      </c>
      <c r="T75" t="str">
        <f>IF(R75&lt;= Q75,"No Monetizar","Monetizar")</f>
        <v>Monetizar</v>
      </c>
      <c r="V75">
        <v>45737</v>
      </c>
      <c r="W75" t="str">
        <v>Alfonso Fonseca A</v>
      </c>
      <c r="X75" t="str">
        <v>Alfonso Fonseca A</v>
      </c>
      <c r="Y75" t="str">
        <v>Se monetiza ya que el valor ofrecido por el banco en cada divisa es superior al valor facturado</v>
      </c>
      <c r="Z75">
        <f>K75*O75</f>
        <v>85740803.09300001</v>
      </c>
      <c r="AA75">
        <f>Z75-Q75</f>
        <v>3484386.17460002</v>
      </c>
    </row>
    <row r="76">
      <c r="B76">
        <v>45</v>
      </c>
      <c r="C76" t="str">
        <v>Global Project</v>
      </c>
      <c r="D76">
        <v>5521</v>
      </c>
      <c r="E76">
        <v>45707</v>
      </c>
      <c r="F76">
        <v>45767</v>
      </c>
      <c r="J76">
        <f>IFERROR(IF(TODAY()&gt;=E76,(TODAY()-E76)/I76,0),0)*0</f>
        <v>0</v>
      </c>
      <c r="K76">
        <v>650</v>
      </c>
      <c r="L76">
        <v>645</v>
      </c>
      <c r="M76">
        <f>K76-L76</f>
        <v>5</v>
      </c>
      <c r="N76">
        <v>4424.56</v>
      </c>
      <c r="O76">
        <v>4130.6</v>
      </c>
      <c r="P76">
        <f>O76-N76</f>
        <v>-293.96000000000004</v>
      </c>
      <c r="Q76">
        <f>K76*N76</f>
        <v>2875964.0000000005</v>
      </c>
      <c r="R76">
        <f>L76*O76</f>
        <v>2664237.0000000005</v>
      </c>
      <c r="S76">
        <f>R76-Q76</f>
        <v>-211727</v>
      </c>
      <c r="T76" t="str">
        <f>IF(R76&lt;= Q76,"No Monetizar","Monetizar")</f>
        <v>No Monetizar</v>
      </c>
      <c r="V76">
        <v>45737</v>
      </c>
      <c r="W76" t="str">
        <v>Alfonso Fonseca A</v>
      </c>
      <c r="X76" t="str">
        <v>Eduard Forero</v>
      </c>
      <c r="Y76" t="str">
        <v>Se ha decidido monetizar estas divisas a pesar de que el valor recibido está por debajo del monto facturado, dado que se requieren recursos de manera inmediata para realizar el préstamo a PM . Inicialmente, se le planteó a Eduard la posibilidad de monetizar estos fondos ayer a una tasa de 4,170, lo que representaba una pérdida de $1.770.452. Sin embargo, no se autorizo  la operación . Hoy, debido a la urgencia de disponer de estos recursos, se autorizó la negociación, pero la tasa obtenida fue de 4,130.60, lo que resultó en una pérdida por diferencia en cambio de $1.988.436.</v>
      </c>
      <c r="Z76">
        <f>K76*O76</f>
        <v>2684890.0000000005</v>
      </c>
      <c r="AA76">
        <f>Z76-Q76</f>
        <v>-191074</v>
      </c>
    </row>
    <row r="77">
      <c r="B77">
        <v>46</v>
      </c>
      <c r="C77" t="str">
        <v>Safeguard LLC Payroll</v>
      </c>
      <c r="D77" t="str">
        <v>5600 al 5609</v>
      </c>
      <c r="E77">
        <v>45723</v>
      </c>
      <c r="F77">
        <v>45783</v>
      </c>
      <c r="J77">
        <f>IFERROR(IF(TODAY()&gt;=E77,(TODAY()-E77)/I77,0),0)*0</f>
        <v>0</v>
      </c>
      <c r="K77">
        <v>6120.339999999999</v>
      </c>
      <c r="L77">
        <f>6120.34-10</f>
        <v>6110.34</v>
      </c>
      <c r="M77">
        <f>K77-L77</f>
        <v>9.99999999999909</v>
      </c>
      <c r="N77">
        <v>4375.86</v>
      </c>
      <c r="O77">
        <f>O76</f>
        <v>4130.6</v>
      </c>
      <c r="P77">
        <f>O77-N77</f>
        <v>-245.2599999999993</v>
      </c>
      <c r="Q77">
        <f>K77*N77</f>
        <v>26781750.992399994</v>
      </c>
      <c r="R77">
        <f>L77*O77</f>
        <v>25239370.404000003</v>
      </c>
      <c r="S77">
        <f>R77-Q77</f>
        <v>-1542380.5883999914</v>
      </c>
      <c r="T77" t="str">
        <f>IF(R77&lt;= Q77,"No Monetizar","Monetizar")</f>
        <v>No Monetizar</v>
      </c>
      <c r="V77">
        <v>45737</v>
      </c>
      <c r="W77" t="str">
        <v>Alfonso Fonseca A</v>
      </c>
      <c r="X77" t="str">
        <v>Eduard Forero</v>
      </c>
      <c r="Y77" t="str">
        <v>Se ha decidido monetizar estas divisas a pesar de que el valor recibido está por debajo del monto facturado, dado que se requieren recursos de manera inmediata para realizar el préstamo a PM . Inicialmente, se le planteó a Eduard la posibilidad de monetizar estos fondos ayer a una tasa de 4,170, lo que representaba una pérdida de $1.770.452. Sin embargo, no se autorizo  la operación . Hoy, debido a la urgencia de disponer de estos recursos, se autorizó la negociación, pero la tasa obtenida fue de 4,130.60, lo que resultó en una pérdida por diferencia en cambio de $1.988.436.</v>
      </c>
      <c r="Z77">
        <f>K77*O77</f>
        <v>25280676.404</v>
      </c>
      <c r="AA77">
        <f>Z77-Q77</f>
        <v>-1501074.5883999951</v>
      </c>
    </row>
    <row r="78">
      <c r="B78">
        <v>47</v>
      </c>
      <c r="C78" t="str">
        <v>Safeguard LLC Payroll</v>
      </c>
      <c r="D78">
        <v>5599</v>
      </c>
      <c r="E78">
        <v>45723</v>
      </c>
      <c r="F78">
        <v>45783</v>
      </c>
      <c r="J78">
        <f>IFERROR(IF(TODAY()&gt;=E78,(TODAY()-E78)/I78,0),0)*0</f>
        <v>0</v>
      </c>
      <c r="K78">
        <v>955.43</v>
      </c>
      <c r="L78">
        <v>955.43</v>
      </c>
      <c r="M78">
        <f>K78-L78</f>
        <v>0</v>
      </c>
      <c r="N78">
        <v>4375.86</v>
      </c>
      <c r="O78">
        <f>O77</f>
        <v>4130.6</v>
      </c>
      <c r="P78">
        <f>O78-N78</f>
        <v>-245.2599999999993</v>
      </c>
      <c r="Q78">
        <f>K78*N78</f>
        <v>4180827.9197999993</v>
      </c>
      <c r="R78">
        <f>L78*O78</f>
        <v>3946499.1580000003</v>
      </c>
      <c r="S78">
        <f>R78-Q78</f>
        <v>-234328.76179999905</v>
      </c>
      <c r="T78" t="str">
        <f>IF(R78&lt;= Q78,"No Monetizar","Monetizar")</f>
        <v>No Monetizar</v>
      </c>
      <c r="V78">
        <v>45737</v>
      </c>
      <c r="W78" t="str">
        <v>Alfonso Fonseca A</v>
      </c>
      <c r="X78" t="str">
        <v>Eduard Forero</v>
      </c>
      <c r="Y78" t="str">
        <v>Se ha decidido monetizar estas divisas a pesar de que el valor recibido está por debajo del monto facturado, dado que se requieren recursos de manera inmediata para realizar el préstamo a PM . Inicialmente, se le planteó a Eduard la posibilidad de monetizar estos fondos ayer a una tasa de 4,170, lo que representaba una pérdida de $1.770.452. Sin embargo, no se autorizo  la operación . Hoy, debido a la urgencia de disponer de estos recursos, se autorizó la negociación, pero la tasa obtenida fue de 4,130.60, lo que resultó en una pérdida por diferencia en cambio de $1.988.436.</v>
      </c>
      <c r="Z78">
        <f>K78*O78</f>
        <v>3946499.1580000003</v>
      </c>
      <c r="AA78">
        <f>Z78-Q78</f>
        <v>-234328.76179999905</v>
      </c>
    </row>
    <row r="79">
      <c r="B79">
        <v>48</v>
      </c>
      <c r="C79" t="str">
        <v>Remofisrt</v>
      </c>
      <c r="D79">
        <v>5768</v>
      </c>
      <c r="E79">
        <v>45737</v>
      </c>
      <c r="F79">
        <v>45797</v>
      </c>
      <c r="J79">
        <f>IFERROR(IF(TODAY()&gt;=E79,(TODAY()-E79)/I79,0),0)*0</f>
        <v>0</v>
      </c>
      <c r="K79">
        <v>185122.81</v>
      </c>
      <c r="L79">
        <v>185122.81</v>
      </c>
      <c r="M79">
        <f>K79-L79</f>
        <v>0</v>
      </c>
      <c r="N79">
        <v>3996.8</v>
      </c>
      <c r="O79">
        <v>4106</v>
      </c>
      <c r="P79">
        <f>O79-N79</f>
        <v>109.19999999999982</v>
      </c>
      <c r="Q79">
        <f>K79*N79</f>
        <v>739898847.008</v>
      </c>
      <c r="R79">
        <f>L79*O79</f>
        <v>760114257.86</v>
      </c>
      <c r="S79">
        <f>R79-Q79</f>
        <v>20215410.851999998</v>
      </c>
      <c r="T79" t="str">
        <f>IF(R79&lt;= Q79,"No Monetizar","Monetizar")</f>
        <v>Monetizar</v>
      </c>
      <c r="V79">
        <v>45741</v>
      </c>
      <c r="W79" t="str">
        <v>Alfonso Fonseca A</v>
      </c>
      <c r="X79" t="str">
        <v>Alfonso Fonseca A</v>
      </c>
      <c r="Y79" t="str">
        <v>Se monetiza ya que el valor ofrecido por el banco en cada divisa es superior al valor facturado</v>
      </c>
      <c r="Z79">
        <f>K79*O79</f>
        <v>760114257.86</v>
      </c>
      <c r="AA79">
        <f>Z79-Q79</f>
        <v>20215410.851999998</v>
      </c>
    </row>
    <row r="80">
      <c r="B80">
        <v>49</v>
      </c>
      <c r="C80" t="str">
        <v xml:space="preserve">Neo </v>
      </c>
      <c r="D80">
        <v>5772</v>
      </c>
      <c r="E80">
        <v>45741</v>
      </c>
      <c r="F80">
        <v>45801</v>
      </c>
      <c r="J80">
        <f>IFERROR(IF(TODAY()&gt;=E80,(TODAY()-E80)/I80,0),0)*0</f>
        <v>0</v>
      </c>
      <c r="K80">
        <v>22511.27</v>
      </c>
      <c r="L80">
        <v>22465.27</v>
      </c>
      <c r="M80">
        <f>K80-L80</f>
        <v>46</v>
      </c>
      <c r="N80">
        <v>3980.08</v>
      </c>
      <c r="O80">
        <v>4103</v>
      </c>
      <c r="P80">
        <f>O80-N80</f>
        <v>122.92000000000007</v>
      </c>
      <c r="Q80">
        <f>K80*N80</f>
        <v>89596655.5016</v>
      </c>
      <c r="R80">
        <f>L80*O80</f>
        <v>92175002.81</v>
      </c>
      <c r="S80">
        <f>R80-Q80</f>
        <v>2578347.308400005</v>
      </c>
      <c r="T80" t="str">
        <f>IF(R80&lt;= Q80,"No Monetizar","Monetizar")</f>
        <v>Monetizar</v>
      </c>
      <c r="V80">
        <v>45741</v>
      </c>
      <c r="W80" t="str">
        <v>Alfonso Fonseca A</v>
      </c>
      <c r="X80" t="str">
        <v>Alfonso Fonseca A</v>
      </c>
      <c r="Y80" t="str">
        <v>Se monetiza ya que el valor ofrecido por el banco en cada divisa es superior al valor facturado</v>
      </c>
      <c r="Z80">
        <f>K80*O80</f>
        <v>92363740.81</v>
      </c>
      <c r="AA80">
        <f>Z80-Q80</f>
        <v>2767085.308400005</v>
      </c>
    </row>
    <row r="81">
      <c r="B81">
        <v>50</v>
      </c>
      <c r="C81" t="str">
        <v>Oncehub</v>
      </c>
      <c r="D81">
        <v>5787</v>
      </c>
      <c r="E81">
        <v>45740</v>
      </c>
      <c r="F81">
        <v>45069</v>
      </c>
      <c r="J81">
        <f>IFERROR(IF(TODAY()&gt;=E81,(TODAY()-E81)/I81,0),0)*0</f>
        <v>0</v>
      </c>
      <c r="K81">
        <v>2996.07</v>
      </c>
      <c r="L81">
        <v>2976.07</v>
      </c>
      <c r="M81">
        <f>K81-L81</f>
        <v>20</v>
      </c>
      <c r="N81">
        <v>4060.08</v>
      </c>
      <c r="O81">
        <v>4100</v>
      </c>
      <c r="P81">
        <f>O81-N81</f>
        <v>39.92000000000007</v>
      </c>
      <c r="Q81">
        <f>K81*N81</f>
        <v>12164283.8856</v>
      </c>
      <c r="R81">
        <f>L81*O81</f>
        <v>12201887</v>
      </c>
      <c r="S81">
        <f>R81-Q81</f>
        <v>37603.11439999938</v>
      </c>
      <c r="T81" t="str">
        <f>IF(R81&lt;= Q81,"No Monetizar","Monetizar")</f>
        <v>Monetizar</v>
      </c>
      <c r="V81">
        <v>45741</v>
      </c>
      <c r="W81" t="str">
        <v>Alfonso Fonseca A</v>
      </c>
      <c r="X81" t="str">
        <v>Alfonso Fonseca A</v>
      </c>
      <c r="Y81" t="str">
        <v>Se monetiza ya que el valor ofrecido por el banco en cada divisa es superior al valor facturado</v>
      </c>
      <c r="Z81">
        <f>K81*O81</f>
        <v>12283887</v>
      </c>
      <c r="AA81">
        <f>Z81-Q81</f>
        <v>119603.11439999938</v>
      </c>
    </row>
    <row r="82">
      <c r="B82">
        <v>51</v>
      </c>
      <c r="C82" t="str">
        <v>Hong kong yonyou xinfushe cloud technology co</v>
      </c>
      <c r="D82">
        <v>5775</v>
      </c>
      <c r="E82">
        <v>45741</v>
      </c>
      <c r="F82">
        <v>45801</v>
      </c>
      <c r="J82">
        <f>IFERROR(IF(TODAY()&gt;=E82,(TODAY()-E82)/I82,0),0)*0</f>
        <v>0</v>
      </c>
      <c r="K82">
        <v>14866.66</v>
      </c>
      <c r="L82">
        <v>14866.7</v>
      </c>
      <c r="M82">
        <f>K82-L82</f>
        <v>-0.040000000000873115</v>
      </c>
      <c r="N82">
        <v>4010.08</v>
      </c>
      <c r="O82">
        <v>4098</v>
      </c>
      <c r="P82">
        <f>O82-N82</f>
        <v>87.92000000000007</v>
      </c>
      <c r="Q82">
        <f>K82*N82</f>
        <v>59616495.932799995</v>
      </c>
      <c r="R82">
        <f>L82*O82</f>
        <v>60923736.6</v>
      </c>
      <c r="S82">
        <f>R82-Q82</f>
        <v>1307240.6672000065</v>
      </c>
      <c r="T82" t="str">
        <f>IF(R82&lt;= Q82,"No Monetizar","Monetizar")</f>
        <v>Monetizar</v>
      </c>
      <c r="V82">
        <v>45741</v>
      </c>
      <c r="W82" t="str">
        <v>Alfonso Fonseca A</v>
      </c>
      <c r="X82" t="str">
        <v>Alfonso Fonseca A</v>
      </c>
      <c r="Y82" t="str">
        <v>Se monetiza ya que el valor ofrecido por el banco en cada divisa es superior al valor facturado</v>
      </c>
      <c r="Z82">
        <f>K82*O82</f>
        <v>60923572.68</v>
      </c>
      <c r="AA82">
        <f>Z82-Q82</f>
        <v>1307076.7472000048</v>
      </c>
    </row>
    <row r="83">
      <c r="B83">
        <v>52</v>
      </c>
      <c r="C83" t="str">
        <v>Flexco</v>
      </c>
      <c r="D83">
        <v>5770</v>
      </c>
      <c r="E83">
        <v>45741</v>
      </c>
      <c r="F83">
        <v>45801</v>
      </c>
      <c r="J83">
        <f>IFERROR(IF(TODAY()&gt;=E83,(TODAY()-E83)/I83,0),0)*0</f>
        <v>0</v>
      </c>
      <c r="K83">
        <v>3777.61</v>
      </c>
      <c r="L83">
        <v>3767.61</v>
      </c>
      <c r="M83">
        <f>K83-L83</f>
        <v>10</v>
      </c>
      <c r="N83">
        <v>4010.08</v>
      </c>
      <c r="O83">
        <v>4096</v>
      </c>
      <c r="P83">
        <f>O83-N83</f>
        <v>85.92000000000007</v>
      </c>
      <c r="Q83">
        <f>K83*N83</f>
        <v>15148518.3088</v>
      </c>
      <c r="R83">
        <f>L83*O83+6028.44</f>
        <v>15438159</v>
      </c>
      <c r="S83">
        <f>R83-Q83</f>
        <v>289640.6911999993</v>
      </c>
      <c r="T83" t="str">
        <f>IF(R83&lt;= Q83,"No Monetizar","Monetizar")</f>
        <v>Monetizar</v>
      </c>
      <c r="V83">
        <v>45742</v>
      </c>
      <c r="W83" t="str">
        <v>Alfonso Fonseca A</v>
      </c>
      <c r="X83" t="str">
        <v>Alfonso Fonseca A</v>
      </c>
      <c r="Y83" t="str">
        <v>Se monetiza ya que el valor ofrecido por el banco en cada divisa es superior al valor facturado</v>
      </c>
      <c r="Z83">
        <f>K83*O83</f>
        <v>15473090.56</v>
      </c>
      <c r="AA83">
        <f>Z83-Q83</f>
        <v>324572.2511999998</v>
      </c>
    </row>
    <row r="84">
      <c r="B84">
        <v>53</v>
      </c>
      <c r="C84" t="str">
        <v>Insider</v>
      </c>
      <c r="D84">
        <v>5816</v>
      </c>
      <c r="E84">
        <v>45747</v>
      </c>
      <c r="F84">
        <v>45807</v>
      </c>
      <c r="J84">
        <f>IFERROR(IF(TODAY()&gt;=E84,(TODAY()-E84)/I84,0),0)*0</f>
        <v>0</v>
      </c>
      <c r="K84">
        <v>98661.98</v>
      </c>
      <c r="L84">
        <v>98646.98</v>
      </c>
      <c r="M84">
        <f>K84-L84</f>
        <v>15</v>
      </c>
      <c r="N84">
        <v>4036.8</v>
      </c>
      <c r="O84">
        <v>4168</v>
      </c>
      <c r="P84">
        <f>O84-N84</f>
        <v>131.19999999999982</v>
      </c>
      <c r="Q84">
        <f>K84*N84</f>
        <v>398278680.864</v>
      </c>
      <c r="R84">
        <f>L84*O84</f>
        <v>411160612.64</v>
      </c>
      <c r="S84">
        <f>R84-Q84</f>
        <v>12881931.775999963</v>
      </c>
      <c r="T84" t="str">
        <f>IF(R84&lt;= Q84,"No Monetizar","Monetizar")</f>
        <v>Monetizar</v>
      </c>
      <c r="V84">
        <v>45747</v>
      </c>
      <c r="W84" t="str">
        <v>Alfonso Fonseca A</v>
      </c>
      <c r="X84" t="str">
        <v>Alfonso Fonseca A</v>
      </c>
      <c r="Y84" t="str">
        <v>Se monetiza ya que el valor ofrecido por el banco en cada divisa es superior al valor facturado</v>
      </c>
      <c r="Z84">
        <f>K84*O84</f>
        <v>411223132.64</v>
      </c>
      <c r="AA84">
        <f>Z84-Q84</f>
        <v>12944451.775999963</v>
      </c>
    </row>
    <row r="85">
      <c r="B85">
        <v>54</v>
      </c>
      <c r="C85" t="str">
        <v>Hemmebarsch GMBH &amp; Co KG</v>
      </c>
      <c r="D85">
        <v>5774</v>
      </c>
      <c r="E85">
        <v>45749</v>
      </c>
      <c r="F85">
        <v>45809</v>
      </c>
      <c r="J85">
        <f>IFERROR(IF(TODAY()&gt;=E85,(TODAY()-E85)/I85,0),0)*0</f>
        <v>0</v>
      </c>
      <c r="K85">
        <v>1162.6</v>
      </c>
      <c r="L85">
        <v>1162.6</v>
      </c>
      <c r="M85">
        <f>K85-L85</f>
        <v>0</v>
      </c>
      <c r="N85">
        <v>3865.07</v>
      </c>
      <c r="O85">
        <v>4138</v>
      </c>
      <c r="P85">
        <f>O85-N85</f>
        <v>272.92999999999984</v>
      </c>
      <c r="Q85">
        <f>K85*N85</f>
        <v>4493530.382</v>
      </c>
      <c r="R85">
        <f>L85*O85</f>
        <v>4810838.8</v>
      </c>
      <c r="S85">
        <f>R85-Q85</f>
        <v>317308.4179999996</v>
      </c>
      <c r="T85" t="str">
        <f>IF(R85&lt;= Q85,"No Monetizar","Monetizar")</f>
        <v>Monetizar</v>
      </c>
      <c r="V85">
        <v>45749</v>
      </c>
      <c r="W85" t="str">
        <v>Alfonso Fonseca A</v>
      </c>
      <c r="X85" t="str">
        <v>Alfonso Fonseca A</v>
      </c>
      <c r="Y85" t="str">
        <v>Se monetiza ya que el valor ofrecido por el banco en cada divisa es superior al valor facturado</v>
      </c>
      <c r="Z85">
        <f>K85*O85</f>
        <v>4810838.8</v>
      </c>
      <c r="AA85">
        <f>Z85-Q85</f>
        <v>317308.4179999996</v>
      </c>
    </row>
    <row r="86" xml:space="preserve">
      <c r="B86">
        <v>55</v>
      </c>
      <c r="C86" t="str">
        <v>Safeguard LTD Payroll</v>
      </c>
      <c r="D86" t="str">
        <v>5509-5510-5511-5512-5513</v>
      </c>
      <c r="E86">
        <v>45709</v>
      </c>
      <c r="F86">
        <v>45769</v>
      </c>
      <c r="J86">
        <f>IFERROR(IF(TODAY()&gt;=E86,(TODAY()-E86)/I86,0),0)*0</f>
        <v>0</v>
      </c>
      <c r="K86">
        <v>5954.34</v>
      </c>
      <c r="L86">
        <v>5954.34</v>
      </c>
      <c r="M86">
        <f>K86-L86</f>
        <v>0</v>
      </c>
      <c r="N86">
        <v>4406.16</v>
      </c>
      <c r="O86">
        <v>4265</v>
      </c>
      <c r="P86">
        <f>O86-N86</f>
        <v>-141.15999999999985</v>
      </c>
      <c r="Q86">
        <f>K86*N86</f>
        <v>26235774.7344</v>
      </c>
      <c r="R86">
        <f>L86*O86</f>
        <v>25395260.1</v>
      </c>
      <c r="S86">
        <f>R86-Q86</f>
        <v>-840514.6343999989</v>
      </c>
      <c r="T86" t="str">
        <f>IF(R86&lt;= Q86,"No Monetizar","Monetizar")</f>
        <v>No Monetizar</v>
      </c>
      <c r="V86">
        <v>45751</v>
      </c>
      <c r="W86" t="str">
        <v>Alfonso Fonseca A</v>
      </c>
      <c r="X86" t="str">
        <v>Eduard Forero</v>
      </c>
      <c r="Y86" t="str" xml:space="preserve">
        <v xml:space="preserve">Se ha decidido monetizar estas divisas a pesar de que el valor recibido está por debajo del monto facturado, considerando que la fecha límite para su devolución vencía el próximo Martes 22 de abril._x000d_
_x000d_
Adicionalmente, al momento del cobro, la TRM se encontraba en $4,406,16, mientras que en la actualidad la divisa ha registrado disminuciones sustanciales, sin alcanzar esa equivalencia frente a lo facturado, se ingresa hoy 04 de abril aprovechando la coyuntura  del mercado debido al alza de arandeceles por parte EE.UU a sus socios comerciales  que genero la devaluación del dolar y caida en las bolsas y se logro un valor de $ 4,265 . el valor que se pierde en esta transacción entre lo facturado y monetizado fue de 3% con un total de mesnos $ 2.187.228,13  _x000d_
_x000d_
Esta situación fue presentada al Director General durante la reunión mensual de revisión de flujos de caja, quien evaluó el escenario y determinó que, pese a la pérdida por diferencia en cambio, no había opción de alcanzar el valor de la divisa facturado , además de que existía una alta probabilidad de que los recursos tuvieran que ser devueltos al cliente.</v>
      </c>
      <c r="Z86">
        <f>K86*O86</f>
        <v>25395260.1</v>
      </c>
      <c r="AA86">
        <f>Z86-Q86</f>
        <v>-840514.6343999989</v>
      </c>
    </row>
    <row r="87" xml:space="preserve">
      <c r="B87">
        <v>56</v>
      </c>
      <c r="C87" t="str">
        <v>Safeguard LTD Panamá</v>
      </c>
      <c r="D87">
        <v>5418</v>
      </c>
      <c r="E87">
        <v>45709</v>
      </c>
      <c r="F87">
        <v>45769</v>
      </c>
      <c r="J87">
        <f>IFERROR(IF(TODAY()&gt;=E87,(TODAY()-E87)/I87,0),0)*0</f>
        <v>0</v>
      </c>
      <c r="K87">
        <v>2634.12</v>
      </c>
      <c r="L87">
        <v>2634.12</v>
      </c>
      <c r="M87">
        <f>K87-L87</f>
        <v>0</v>
      </c>
      <c r="N87">
        <v>4344.55</v>
      </c>
      <c r="O87">
        <f>O86</f>
        <v>4265</v>
      </c>
      <c r="P87">
        <f>O87-N87</f>
        <v>-79.55000000000018</v>
      </c>
      <c r="Q87">
        <f>K87*N87</f>
        <v>11444066.046</v>
      </c>
      <c r="R87">
        <f>L87*O87</f>
        <v>11234521.799999999</v>
      </c>
      <c r="S87">
        <f>R87-Q87</f>
        <v>-209544.2460000012</v>
      </c>
      <c r="T87" t="str">
        <f>IF(R87&lt;= Q87,"No Monetizar","Monetizar")</f>
        <v>No Monetizar</v>
      </c>
      <c r="V87">
        <v>45751</v>
      </c>
      <c r="W87" t="str">
        <v>Alfonso Fonseca A</v>
      </c>
      <c r="X87" t="str">
        <v>Eduard Forero</v>
      </c>
      <c r="Y87" t="str" xml:space="preserve">
        <v xml:space="preserve">Se ha decidido monetizar estas divisas a pesar de que el valor recibido está por debajo del monto facturado, considerando que la fecha límite para su devolución vencía el próximo Martes 22 de abril._x000d_
_x000d_
Adicionalmente, al momento del cobro, la TRM se encontraba en $4,406,16, mientras que en la actualidad la divisa ha registrado disminuciones sustanciales, sin alcanzar esa equivalencia frente a lo facturado, se ingresa hoy 04 de abril aprovechando la coyuntura  del mercado debido al alza de arandeceles por parte EE.UU a sus socios comerciales  que genero la devaluación del dolar y caida en las bolsas y se logro un valor de $ 4,265 . el valor que se pierde en esta transacción entre lo facturado y monetizado fue de 3% con un total de mesnos $ 2.187.228,13  _x000d_
_x000d_
Esta situación fue presentada al Director General durante la reunión mensual de revisión de flujos de caja, quien evaluó el escenario y determinó que, pese a la pérdida por diferencia en cambio, no había opción de alcanzar el valor de la divisa facturado , además de que existía una alta probabilidad de que los recursos tuvieran que ser devueltos al cliente.</v>
      </c>
      <c r="Z87">
        <f>K87*O87</f>
        <v>11234521.799999999</v>
      </c>
      <c r="AA87">
        <f>Z87-Q87</f>
        <v>-209544.2460000012</v>
      </c>
    </row>
    <row r="88" xml:space="preserve">
      <c r="B88">
        <v>57</v>
      </c>
      <c r="C88" t="str">
        <v>Safeguard LLC Payroll</v>
      </c>
      <c r="D88" t="str">
        <v>5497 a 5508</v>
      </c>
      <c r="E88">
        <v>45709</v>
      </c>
      <c r="F88">
        <v>45769</v>
      </c>
      <c r="J88">
        <f>IFERROR(IF(TODAY()&gt;=E88,(TODAY()-E88)/I88,0),0)*0</f>
        <v>0</v>
      </c>
      <c r="K88">
        <v>7836.92</v>
      </c>
      <c r="L88">
        <f>7836.92-10</f>
        <v>7826.92</v>
      </c>
      <c r="M88">
        <f>K88-L88</f>
        <v>10</v>
      </c>
      <c r="N88">
        <v>4406.16</v>
      </c>
      <c r="O88">
        <v>4266.5</v>
      </c>
      <c r="P88">
        <f>O88-N88</f>
        <v>-139.65999999999985</v>
      </c>
      <c r="Q88">
        <f>K88*N88</f>
        <v>34530723.4272</v>
      </c>
      <c r="R88">
        <f>L88*O88</f>
        <v>33393554.18</v>
      </c>
      <c r="S88">
        <f>R88-Q88</f>
        <v>-1137169.2471999973</v>
      </c>
      <c r="T88" t="str">
        <f>IF(R88&lt;= Q88,"No Monetizar","Monetizar")</f>
        <v>No Monetizar</v>
      </c>
      <c r="V88">
        <v>45751</v>
      </c>
      <c r="W88" t="str">
        <v>Alfonso Fonseca A</v>
      </c>
      <c r="X88" t="str">
        <v>Eduard Forero</v>
      </c>
      <c r="Y88" t="str" xml:space="preserve">
        <v xml:space="preserve">Se ha decidido monetizar estas divisas a pesar de que el valor recibido está por debajo del monto facturado, considerando que la fecha límite para su devolución vencía el próximo Martes 22 de abril._x000d_
_x000d_
Adicionalmente, al momento del cobro, la TRM se encontraba en $4,406,16, mientras que en la actualidad la divisa ha registrado disminuciones sustanciales, sin alcanzar esa equivalencia frente a lo facturado, se ingresa hoy 04 de abril aprovechando la coyuntura  del mercado debido al alza de arandeceles por parte EE.UU a sus socios comerciales  que genero la devaluación del dolar y caida en las bolsas y se logro un valor de $ 4,265 . el valor que se pierde en esta transacción entre lo facturado y monetizado fue de 3% con un total de mesnos $ 2.187.228,13  _x000d_
_x000d_
Esta situación fue presentada al Director General durante la reunión mensual de revisión de flujos de caja, quien evaluó el escenario y determinó que, pese a la pérdida por diferencia en cambio, no había opción de alcanzar el valor de la divisa facturado , además de que existía una alta probabilidad de que los recursos tuvieran que ser devueltos al cliente.</v>
      </c>
      <c r="Z88">
        <f>K88*O88</f>
        <v>33436219.18</v>
      </c>
      <c r="AA88">
        <f>Z88-Q88</f>
        <v>-1094504.2471999973</v>
      </c>
    </row>
    <row r="89">
      <c r="B89">
        <v>58</v>
      </c>
      <c r="C89" t="str">
        <v>Global Project</v>
      </c>
      <c r="D89">
        <v>5679</v>
      </c>
      <c r="E89">
        <v>45742</v>
      </c>
      <c r="F89">
        <v>45802</v>
      </c>
      <c r="J89">
        <f>IFERROR(IF(TODAY()&gt;=E89,(TODAY()-E89)/I89,0),0)</f>
        <v>0</v>
      </c>
      <c r="K89">
        <v>650</v>
      </c>
      <c r="L89">
        <v>645</v>
      </c>
      <c r="M89">
        <f>K89-L89</f>
        <v>5</v>
      </c>
      <c r="N89">
        <v>4150</v>
      </c>
      <c r="O89">
        <v>4273.3</v>
      </c>
      <c r="P89">
        <f>O89-N89</f>
        <v>123.30000000000018</v>
      </c>
      <c r="Q89">
        <f>K89*N89</f>
        <v>2697500</v>
      </c>
      <c r="R89">
        <f>L89*O89</f>
        <v>2756278.5</v>
      </c>
      <c r="S89">
        <f>R89-Q89</f>
        <v>58778.5</v>
      </c>
      <c r="T89" t="str">
        <f>IF(R89&lt;= Q89,"No Monetizar","Monetizar")</f>
        <v>Monetizar</v>
      </c>
      <c r="V89">
        <v>45751</v>
      </c>
      <c r="W89" t="str">
        <v>Alfonso Fonseca A</v>
      </c>
      <c r="X89" t="str">
        <v>Alfonso Fonseca A</v>
      </c>
      <c r="Y89" t="str">
        <v>Se monetiza ya que el valor ofrecido por el banco en cada divisa es superior al valor facturado</v>
      </c>
      <c r="Z89">
        <f>K89*O89</f>
        <v>2777645</v>
      </c>
      <c r="AA89">
        <f>Z89-Q89</f>
        <v>80145</v>
      </c>
    </row>
    <row r="90">
      <c r="B90">
        <v>59</v>
      </c>
      <c r="C90" t="str">
        <v>Safeguard LTD Payroll</v>
      </c>
      <c r="D90" t="str">
        <v>5610 a la 5614</v>
      </c>
      <c r="E90">
        <v>45723</v>
      </c>
      <c r="F90">
        <v>45783</v>
      </c>
      <c r="J90">
        <f>IFERROR(IF(TODAY()&gt;=E90,(TODAY()-E90)/I90,0),0)</f>
        <v>0</v>
      </c>
      <c r="K90">
        <v>6572.35</v>
      </c>
      <c r="L90">
        <v>6572.35</v>
      </c>
      <c r="M90">
        <f>K90-L90</f>
        <v>0</v>
      </c>
      <c r="N90">
        <v>4375.86</v>
      </c>
      <c r="O90">
        <v>4397.02</v>
      </c>
      <c r="P90">
        <f>O90-N90</f>
        <v>21.160000000000764</v>
      </c>
      <c r="Q90">
        <f>K90*N90</f>
        <v>28759683.471</v>
      </c>
      <c r="R90">
        <f>L90*O90</f>
        <v>28898754.397000004</v>
      </c>
      <c r="S90">
        <f>R90-Q90</f>
        <v>139070.92600000277</v>
      </c>
      <c r="T90" t="str">
        <f>IF(R90&lt;= Q90,"No Monetizar","Monetizar")</f>
        <v>Monetizar</v>
      </c>
      <c r="V90">
        <v>45754</v>
      </c>
      <c r="W90" t="str">
        <v>Alfonso Fonseca A</v>
      </c>
      <c r="X90" t="str">
        <v>Alfonso Fonseca A</v>
      </c>
      <c r="Y90" t="str">
        <v>Se monetiza ya que el valor ofrecido por el banco en cada divisa es superior al valor facturado</v>
      </c>
      <c r="Z90">
        <f>K90*O90</f>
        <v>28898754.397000004</v>
      </c>
      <c r="AA90">
        <f>Z90-Q90</f>
        <v>139070.92600000277</v>
      </c>
    </row>
    <row r="91">
      <c r="B91">
        <v>60</v>
      </c>
      <c r="C91" t="str">
        <v>Global Project</v>
      </c>
      <c r="D91">
        <v>5616</v>
      </c>
      <c r="E91">
        <v>45728</v>
      </c>
      <c r="F91">
        <v>45788</v>
      </c>
      <c r="J91">
        <f>IFERROR(IF(TODAY()&gt;=E91,(TODAY()-E91)/I91,0),0)</f>
        <v>0</v>
      </c>
      <c r="K91">
        <v>1927.79</v>
      </c>
      <c r="L91">
        <f>1927.79-5</f>
        <v>1922.79</v>
      </c>
      <c r="M91">
        <f>K91-L91</f>
        <v>5</v>
      </c>
      <c r="N91">
        <v>4401.98</v>
      </c>
      <c r="O91">
        <v>4417.43</v>
      </c>
      <c r="P91">
        <f>O91-N91</f>
        <v>15.450000000000728</v>
      </c>
      <c r="Q91">
        <f>K91*N91</f>
        <v>8486093.0242</v>
      </c>
      <c r="R91">
        <f>L91*O91</f>
        <v>8493790.229700001</v>
      </c>
      <c r="S91">
        <f>R91-Q91</f>
        <v>7697.205500001088</v>
      </c>
      <c r="T91" t="str">
        <f>IF(R91&lt;= Q91,"No Monetizar","Monetizar")</f>
        <v>Monetizar</v>
      </c>
      <c r="V91">
        <v>45756</v>
      </c>
      <c r="W91" t="str">
        <v>Alfonso Fonseca A</v>
      </c>
      <c r="X91" t="str">
        <v>Alfonso Fonseca A</v>
      </c>
      <c r="Y91" t="str">
        <v>Se monetiza ya que el valor ofrecido por el banco en cada divisa es superior al valor facturado</v>
      </c>
      <c r="Z91">
        <f>K91*O91</f>
        <v>8515877.379700001</v>
      </c>
      <c r="AA91">
        <f>Z91-Q91</f>
        <v>29784.35550000146</v>
      </c>
    </row>
    <row r="92">
      <c r="B92">
        <v>61</v>
      </c>
      <c r="C92" t="str">
        <v>Global Project</v>
      </c>
      <c r="D92">
        <v>5634</v>
      </c>
      <c r="E92">
        <v>45728</v>
      </c>
      <c r="F92">
        <v>45788</v>
      </c>
      <c r="J92">
        <f>IFERROR(IF(TODAY()&gt;=E92,(TODAY()-E92)/I92,0),0)</f>
        <v>0</v>
      </c>
      <c r="K92">
        <v>1405.81</v>
      </c>
      <c r="L92">
        <f>1405.81-5</f>
        <v>1400.81</v>
      </c>
      <c r="M92">
        <f>K92-L92</f>
        <v>5</v>
      </c>
      <c r="N92">
        <v>4401.98</v>
      </c>
      <c r="O92">
        <f>O91</f>
        <v>4417.43</v>
      </c>
      <c r="P92">
        <f>O92-N92</f>
        <v>15.450000000000728</v>
      </c>
      <c r="Q92">
        <f>K92*N92</f>
        <v>6188347.503799999</v>
      </c>
      <c r="R92">
        <f>L92*O92</f>
        <v>6187980.1183</v>
      </c>
      <c r="S92">
        <f>R92-Q92</f>
        <v>-367.3854999989271</v>
      </c>
      <c r="T92" t="str">
        <f>IF(R92&lt;= Q92,"No Monetizar","Monetizar")</f>
        <v>No Monetizar</v>
      </c>
      <c r="V92">
        <v>45756</v>
      </c>
      <c r="W92" t="str">
        <v>Alfonso Fonseca A</v>
      </c>
      <c r="X92" t="str">
        <v>Alfonso Fonseca A</v>
      </c>
      <c r="Y92" t="str">
        <v>Se monetiza ya que el valor ofrecido por el banco en cada divisa es superior al valor facturado</v>
      </c>
      <c r="Z92">
        <f>K92*O92</f>
        <v>6210067.268300001</v>
      </c>
      <c r="AA92">
        <f>Z92-Q92</f>
        <v>21719.764500001445</v>
      </c>
    </row>
    <row r="93">
      <c r="B93">
        <v>62</v>
      </c>
      <c r="C93" t="str">
        <v>Hemmebarsch GMBH &amp; Co KG</v>
      </c>
      <c r="D93">
        <v>5773</v>
      </c>
      <c r="E93">
        <v>45758</v>
      </c>
      <c r="F93">
        <v>45818</v>
      </c>
      <c r="J93">
        <f>IFERROR(IF(TODAY()&gt;=E93,(TODAY()-E93)/I93,0),0)*0</f>
        <v>0</v>
      </c>
      <c r="K93">
        <v>1860.99</v>
      </c>
      <c r="L93">
        <v>1860.99</v>
      </c>
      <c r="M93">
        <f>K93-L93</f>
        <v>0</v>
      </c>
      <c r="N93">
        <v>4010.08</v>
      </c>
      <c r="O93">
        <v>4333</v>
      </c>
      <c r="P93">
        <f>O93-N93</f>
        <v>322.9200000000001</v>
      </c>
      <c r="Q93">
        <f>K93*N93</f>
        <v>7462718.7792</v>
      </c>
      <c r="R93">
        <f>L93*O93</f>
        <v>8063669.67</v>
      </c>
      <c r="S93">
        <f>R93-Q93</f>
        <v>600950.8908000002</v>
      </c>
      <c r="T93" t="str">
        <f>IF(R93&lt;= Q93,"No Monetizar","Monetizar")</f>
        <v>Monetizar</v>
      </c>
      <c r="V93">
        <v>45758</v>
      </c>
      <c r="W93" t="str">
        <v>Alfonso Fonseca A</v>
      </c>
      <c r="X93" t="str">
        <v>Alfonso Fonseca A</v>
      </c>
      <c r="Y93" t="str">
        <v>Se monetiza ya que el valor ofrecido por el banco en cada divisa es superior al valor facturado</v>
      </c>
      <c r="Z93">
        <f>K93*O93</f>
        <v>8063669.67</v>
      </c>
      <c r="AA93">
        <f>Z93-Q93</f>
        <v>600950.8908000002</v>
      </c>
    </row>
    <row r="94">
      <c r="B94">
        <v>63</v>
      </c>
      <c r="C94" t="str">
        <v>Action AD</v>
      </c>
      <c r="D94">
        <v>5848</v>
      </c>
      <c r="E94">
        <v>45761</v>
      </c>
      <c r="F94">
        <v>45821</v>
      </c>
      <c r="J94">
        <f>IFERROR(IF(TODAY()&gt;=E94,(TODAY()-E94)/I94,0),0)*0</f>
        <v>0</v>
      </c>
      <c r="K94">
        <v>3028.43</v>
      </c>
      <c r="L94">
        <v>3028.43</v>
      </c>
      <c r="M94">
        <f>K94-L94</f>
        <v>0</v>
      </c>
      <c r="N94">
        <v>4316.69</v>
      </c>
      <c r="O94">
        <v>4325</v>
      </c>
      <c r="P94">
        <f>O94-N94</f>
        <v>8.3100000000004</v>
      </c>
      <c r="Q94">
        <f>K94*N94</f>
        <v>13072793.496699998</v>
      </c>
      <c r="R94">
        <f>L94*O94</f>
        <v>13097959.75</v>
      </c>
      <c r="S94">
        <f>R94-Q94</f>
        <v>25166.253300001845</v>
      </c>
      <c r="T94" t="str">
        <f>IF(R94&lt;= Q94,"No Monetizar","Monetizar")</f>
        <v>Monetizar</v>
      </c>
      <c r="V94">
        <v>45762</v>
      </c>
      <c r="W94" t="str">
        <v>Alfonso Fonseca A</v>
      </c>
      <c r="X94" t="str">
        <v>Alfonso Fonseca A</v>
      </c>
      <c r="Y94" t="str">
        <v>Se monetiza ya que el valor ofrecido por el banco en cada divisa es superior al valor facturado</v>
      </c>
      <c r="Z94">
        <f>K94*O94</f>
        <v>13097959.75</v>
      </c>
      <c r="AA94">
        <f>Z94-Q94</f>
        <v>25166.253300001845</v>
      </c>
    </row>
    <row r="95">
      <c r="B95">
        <v>64</v>
      </c>
      <c r="C95" t="str">
        <v>Global Project</v>
      </c>
      <c r="D95">
        <v>5737</v>
      </c>
      <c r="E95">
        <v>45762</v>
      </c>
      <c r="F95">
        <v>45822</v>
      </c>
      <c r="J95">
        <f>IFERROR(IF(TODAY()&gt;=E95,(TODAY()-E95)/I95,0),0)*0</f>
        <v>0</v>
      </c>
      <c r="K95">
        <v>2725.4</v>
      </c>
      <c r="L95">
        <v>2715.4</v>
      </c>
      <c r="M95">
        <f>K95-L95</f>
        <v>10</v>
      </c>
      <c r="N95">
        <v>4123.1</v>
      </c>
      <c r="O95">
        <v>4335</v>
      </c>
      <c r="P95">
        <f>O95-N95</f>
        <v>211.89999999999964</v>
      </c>
      <c r="Q95">
        <f>K95*N95</f>
        <v>11237096.740000002</v>
      </c>
      <c r="R95">
        <f>L95*O95</f>
        <v>11771259</v>
      </c>
      <c r="S95">
        <f>R95-Q95</f>
        <v>534162.2599999979</v>
      </c>
      <c r="T95" t="str">
        <f>IF(R95&lt;= Q95,"No Monetizar","Monetizar")</f>
        <v>Monetizar</v>
      </c>
      <c r="V95">
        <v>45762</v>
      </c>
      <c r="W95" t="str">
        <v>Alfonso Fonseca A</v>
      </c>
      <c r="X95" t="str">
        <v>Alfonso Fonseca A</v>
      </c>
      <c r="Y95" t="str">
        <v>Se monetiza ya que el valor ofrecido por el banco en cada divisa es superior al valor facturado</v>
      </c>
      <c r="Z95">
        <f>K95*O95</f>
        <v>11814609</v>
      </c>
      <c r="AA95">
        <f>Z95-Q95</f>
        <v>577512.2599999979</v>
      </c>
    </row>
    <row r="96">
      <c r="B96">
        <v>65</v>
      </c>
      <c r="C96" t="str">
        <v>Hemmebarsch GMBH &amp; Co KG</v>
      </c>
      <c r="D96">
        <v>5714</v>
      </c>
      <c r="E96">
        <v>45763</v>
      </c>
      <c r="F96">
        <v>45823</v>
      </c>
      <c r="J96">
        <f>IFERROR(IF(TODAY()&gt;=E96,(TODAY()-E96)/I96,0),0)*0</f>
        <v>0</v>
      </c>
      <c r="K96">
        <v>2596.03</v>
      </c>
      <c r="L96">
        <v>2596.03</v>
      </c>
      <c r="M96">
        <f>K96-L96</f>
        <v>0</v>
      </c>
      <c r="N96">
        <v>3865.07</v>
      </c>
      <c r="O96">
        <v>4272</v>
      </c>
      <c r="P96">
        <f>O96-N96</f>
        <v>406.92999999999984</v>
      </c>
      <c r="Q96">
        <f>K96*N96</f>
        <v>10033837.672100002</v>
      </c>
      <c r="R96">
        <f>L96*O96</f>
        <v>11090240.16</v>
      </c>
      <c r="S96">
        <f>R96-Q96</f>
        <v>1056402.4878999982</v>
      </c>
      <c r="T96" t="str">
        <f>IF(R96&lt;= Q96,"No Monetizar","Monetizar")</f>
        <v>Monetizar</v>
      </c>
      <c r="V96">
        <v>45762</v>
      </c>
      <c r="W96" t="str">
        <v>Alfonso Fonseca A</v>
      </c>
      <c r="X96" t="str">
        <v>Alfonso Fonseca A</v>
      </c>
      <c r="Y96" t="str">
        <v>Se monetiza ya que el valor ofrecido por el banco en cada divisa es superior al valor facturado</v>
      </c>
      <c r="Z96">
        <f>K96*O96</f>
        <v>11090240.16</v>
      </c>
      <c r="AA96">
        <f>Z96-Q96</f>
        <v>1056402.4878999982</v>
      </c>
    </row>
    <row r="97">
      <c r="B97">
        <v>66</v>
      </c>
      <c r="C97" t="str">
        <v>Remofisrt</v>
      </c>
      <c r="D97">
        <v>5835</v>
      </c>
      <c r="E97">
        <v>45764</v>
      </c>
      <c r="F97">
        <v>45824</v>
      </c>
      <c r="J97">
        <f>IFERROR(IF(TODAY()&gt;=E97,(TODAY()-E97)/I97,0),0)*0</f>
        <v>0</v>
      </c>
      <c r="K97">
        <v>15689.99</v>
      </c>
      <c r="L97">
        <v>15689.99</v>
      </c>
      <c r="M97">
        <f>K97-L97</f>
        <v>0</v>
      </c>
      <c r="N97">
        <v>4029.24</v>
      </c>
      <c r="O97">
        <v>4247.56</v>
      </c>
      <c r="P97">
        <f>O97-N97</f>
        <v>218.32000000000062</v>
      </c>
      <c r="Q97">
        <f>K97*N97</f>
        <v>63218735.3076</v>
      </c>
      <c r="R97">
        <f>L97*O97</f>
        <v>66644173.9244</v>
      </c>
      <c r="S97">
        <f>R97-Q97</f>
        <v>3425438.6168000028</v>
      </c>
      <c r="T97" t="str">
        <f>IF(R97&lt;= Q97,"No Monetizar","Monetizar")</f>
        <v>Monetizar</v>
      </c>
      <c r="V97">
        <v>45768</v>
      </c>
      <c r="W97" t="str">
        <v>Alfonso Fonseca A</v>
      </c>
      <c r="X97" t="str">
        <v>Alfonso Fonseca A</v>
      </c>
      <c r="Y97" t="str">
        <v>Se monetiza ya que el valor ofrecido por el banco en cada divisa es superior al valor facturado</v>
      </c>
      <c r="Z97">
        <f>K97*O97</f>
        <v>66644173.9244</v>
      </c>
      <c r="AA97">
        <f>Z97-Q97</f>
        <v>3425438.6168000028</v>
      </c>
    </row>
    <row r="98">
      <c r="B98">
        <v>67</v>
      </c>
      <c r="C98" t="str">
        <v>Remofisrt</v>
      </c>
      <c r="D98">
        <v>5836</v>
      </c>
      <c r="E98">
        <v>45764</v>
      </c>
      <c r="F98">
        <v>45824</v>
      </c>
      <c r="J98">
        <f>IFERROR(IF(TODAY()&gt;=E98,(TODAY()-E98)/I98,0),0)*0</f>
        <v>0</v>
      </c>
      <c r="K98">
        <v>264.97</v>
      </c>
      <c r="L98">
        <v>264.97</v>
      </c>
      <c r="M98">
        <f>K98-L98</f>
        <v>0</v>
      </c>
      <c r="N98">
        <v>4029.24</v>
      </c>
      <c r="O98">
        <v>4247.56</v>
      </c>
      <c r="P98">
        <f>O98-N98</f>
        <v>218.32000000000062</v>
      </c>
      <c r="Q98">
        <f>K98*N98</f>
        <v>1067627.7228</v>
      </c>
      <c r="R98">
        <f>L98*O98</f>
        <v>1125475.9732000001</v>
      </c>
      <c r="S98">
        <f>R98-Q98</f>
        <v>57848.25040000002</v>
      </c>
      <c r="T98" t="str">
        <f>IF(R98&lt;= Q98,"No Monetizar","Monetizar")</f>
        <v>Monetizar</v>
      </c>
      <c r="V98">
        <v>45768</v>
      </c>
      <c r="W98" t="str">
        <v>Alfonso Fonseca A</v>
      </c>
      <c r="X98" t="str">
        <v>Alfonso Fonseca A</v>
      </c>
      <c r="Y98" t="str">
        <v>Se monetiza ya que el valor ofrecido por el banco en cada divisa es superior al valor facturado</v>
      </c>
      <c r="Z98">
        <f>K98*O98</f>
        <v>1125475.9732000001</v>
      </c>
      <c r="AA98">
        <f>Z98-Q98</f>
        <v>57848.25040000002</v>
      </c>
    </row>
    <row r="99">
      <c r="B99">
        <v>68</v>
      </c>
      <c r="C99" t="str">
        <v>Flexco</v>
      </c>
      <c r="D99">
        <v>5860</v>
      </c>
      <c r="E99">
        <v>45765</v>
      </c>
      <c r="F99">
        <v>45825</v>
      </c>
      <c r="J99">
        <f>IFERROR(IF(TODAY()&gt;=E99,(TODAY()-E99)/I99,0),0)*0</f>
        <v>0</v>
      </c>
      <c r="K99">
        <v>11210.98</v>
      </c>
      <c r="L99">
        <v>11195.98</v>
      </c>
      <c r="M99">
        <f>K99-L99</f>
        <v>15</v>
      </c>
      <c r="N99">
        <v>4186.17</v>
      </c>
      <c r="O99">
        <v>4249.01</v>
      </c>
      <c r="P99">
        <f>O99-N99</f>
        <v>62.840000000000146</v>
      </c>
      <c r="Q99">
        <f>K99*N99</f>
        <v>46931068.1466</v>
      </c>
      <c r="R99">
        <f>L99*O99</f>
        <v>47571830.9798</v>
      </c>
      <c r="S99">
        <f>R99-Q99</f>
        <v>640762.8332000002</v>
      </c>
      <c r="T99" t="str">
        <f>IF(R99&lt;= Q99,"No Monetizar","Monetizar")</f>
        <v>Monetizar</v>
      </c>
      <c r="V99">
        <v>45768</v>
      </c>
      <c r="W99" t="str">
        <v>Alfonso Fonseca A</v>
      </c>
      <c r="X99" t="str">
        <v>Alfonso Fonseca A</v>
      </c>
      <c r="Y99" t="str">
        <v>Se monetiza ya que el valor ofrecido por el banco en cada divisa es superior al valor facturado</v>
      </c>
      <c r="Z99">
        <f>K99*O99</f>
        <v>47635566.1298</v>
      </c>
      <c r="AA99">
        <f>Z99-Q99</f>
        <v>704497.9831999987</v>
      </c>
    </row>
    <row r="100">
      <c r="B100">
        <v>69</v>
      </c>
      <c r="C100" t="str">
        <v>Advantage</v>
      </c>
      <c r="D100">
        <v>5837</v>
      </c>
      <c r="E100">
        <v>45765</v>
      </c>
      <c r="F100">
        <v>45825</v>
      </c>
      <c r="J100">
        <f>IFERROR(IF(TODAY()&gt;=E100,(TODAY()-E100)/I100,0),0)*0</f>
        <v>0</v>
      </c>
      <c r="K100">
        <v>775.77</v>
      </c>
      <c r="L100">
        <v>775.77</v>
      </c>
      <c r="M100">
        <f>K100-L100</f>
        <v>0</v>
      </c>
      <c r="N100">
        <v>4049.24</v>
      </c>
      <c r="O100">
        <v>4253.5</v>
      </c>
      <c r="P100">
        <f>O100-N100</f>
        <v>204.26000000000022</v>
      </c>
      <c r="Q100">
        <f>K100*N100</f>
        <v>3141278.9148</v>
      </c>
      <c r="R100">
        <f>L100*O100</f>
        <v>3299737.695</v>
      </c>
      <c r="S100">
        <f>R100-Q100</f>
        <v>158458.78019999992</v>
      </c>
      <c r="T100" t="str">
        <f>IF(R100&lt;= Q100,"No Monetizar","Monetizar")</f>
        <v>Monetizar</v>
      </c>
      <c r="V100">
        <v>45768</v>
      </c>
      <c r="W100" t="str">
        <v>Alfonso Fonseca A</v>
      </c>
      <c r="X100" t="str">
        <v>Alfonso Fonseca A</v>
      </c>
      <c r="Y100" t="str">
        <v>Se monetiza ya que el valor ofrecido por el banco en cada divisa es superior al valor facturado</v>
      </c>
      <c r="Z100">
        <f>K100*O100</f>
        <v>3299737.695</v>
      </c>
      <c r="AA100">
        <f>Z100-Q100</f>
        <v>158458.78019999992</v>
      </c>
    </row>
    <row r="101">
      <c r="B101">
        <v>70</v>
      </c>
      <c r="C101" t="str">
        <v>Marketing Doctors</v>
      </c>
      <c r="D101">
        <v>5859</v>
      </c>
      <c r="E101">
        <v>45768</v>
      </c>
      <c r="F101">
        <v>45828</v>
      </c>
      <c r="J101">
        <f>IFERROR(IF(TODAY()&gt;=E101,(TODAY()-E101)/I101,0),0)*0</f>
        <v>0</v>
      </c>
      <c r="K101">
        <v>2410.68</v>
      </c>
      <c r="L101">
        <v>2410.68</v>
      </c>
      <c r="M101">
        <f>K101-L101</f>
        <v>0</v>
      </c>
      <c r="N101">
        <v>4186.17</v>
      </c>
      <c r="O101">
        <v>4273.91</v>
      </c>
      <c r="P101">
        <f>O101-N101</f>
        <v>87.73999999999978</v>
      </c>
      <c r="Q101">
        <f>K101*N101</f>
        <v>10091516.295599999</v>
      </c>
      <c r="R101">
        <f>L101*O101</f>
        <v>10303029.3588</v>
      </c>
      <c r="S101">
        <f>R101-Q101</f>
        <v>211513.06320000067</v>
      </c>
      <c r="T101" t="str">
        <f>IF(R101&lt;= Q101,"No Monetizar","Monetizar")</f>
        <v>Monetizar</v>
      </c>
      <c r="V101">
        <v>45769</v>
      </c>
      <c r="W101" t="str">
        <v>Alfonso Fonseca A</v>
      </c>
      <c r="X101" t="str">
        <v>Alfonso Fonseca A</v>
      </c>
      <c r="Y101" t="str">
        <v>Se monetiza ya que el valor ofrecido por el banco en cada divisa es superior al valor facturado</v>
      </c>
      <c r="Z101">
        <f>K101*O101</f>
        <v>10303029.3588</v>
      </c>
      <c r="AA101">
        <f>Z101-Q101</f>
        <v>211513.06320000067</v>
      </c>
    </row>
    <row r="102">
      <c r="B102">
        <v>71</v>
      </c>
      <c r="C102" t="str">
        <v>Remofisrt</v>
      </c>
      <c r="D102">
        <v>5833</v>
      </c>
      <c r="E102">
        <v>45768</v>
      </c>
      <c r="F102">
        <v>45828</v>
      </c>
      <c r="J102">
        <f>IFERROR(IF(TODAY()&gt;=E102,(TODAY()-E102)/I102,0),0)*0</f>
        <v>0</v>
      </c>
      <c r="K102">
        <f>7876.1-827.72</f>
        <v>7048.38</v>
      </c>
      <c r="L102">
        <v>7048.38</v>
      </c>
      <c r="M102">
        <f>K102-L102</f>
        <v>0</v>
      </c>
      <c r="N102">
        <v>3996.8</v>
      </c>
      <c r="O102">
        <v>4273.91</v>
      </c>
      <c r="P102">
        <f>O102-N102</f>
        <v>277.1099999999997</v>
      </c>
      <c r="Q102">
        <f>K102*N102</f>
        <v>28170965.184</v>
      </c>
      <c r="R102">
        <f>L102*O102</f>
        <v>30124141.7658</v>
      </c>
      <c r="S102">
        <f>R102-Q102</f>
        <v>1953176.5817999989</v>
      </c>
      <c r="T102" t="str">
        <f>IF(R102&lt;= Q102,"No Monetizar","Monetizar")</f>
        <v>Monetizar</v>
      </c>
      <c r="V102">
        <v>45769</v>
      </c>
      <c r="W102" t="str">
        <v>Alfonso Fonseca A</v>
      </c>
      <c r="X102" t="str">
        <v>Alfonso Fonseca A</v>
      </c>
      <c r="Y102" t="str">
        <v>Se monetiza ya que el valor ofrecido por el banco en cada divisa es superior al valor facturado</v>
      </c>
      <c r="Z102">
        <f>K102*O102</f>
        <v>30124141.7658</v>
      </c>
      <c r="AA102">
        <f>Z102-Q102</f>
        <v>1953176.5817999989</v>
      </c>
    </row>
    <row r="103">
      <c r="B103">
        <v>72</v>
      </c>
      <c r="C103" t="str">
        <v>Safeguard LLC Payroll</v>
      </c>
      <c r="D103" t="str">
        <v>5658 a la 5669</v>
      </c>
      <c r="E103">
        <v>45768</v>
      </c>
      <c r="F103">
        <v>45828</v>
      </c>
      <c r="J103">
        <f>IFERROR(IF(TODAY()&gt;=E103,(TODAY()-E103)/I103,0),0)*0</f>
        <v>0</v>
      </c>
      <c r="K103">
        <v>22529.600000000002</v>
      </c>
      <c r="L103">
        <v>22514.6</v>
      </c>
      <c r="M103">
        <f>K103-L103</f>
        <v>15.000000000003638</v>
      </c>
      <c r="N103">
        <v>4170.01</v>
      </c>
      <c r="O103">
        <v>4278.2</v>
      </c>
      <c r="P103">
        <f>O103-N103</f>
        <v>108.1899999999996</v>
      </c>
      <c r="Q103">
        <f>K103*N103</f>
        <v>93948657.29600002</v>
      </c>
      <c r="R103">
        <f>L103*O103</f>
        <v>96321961.71999998</v>
      </c>
      <c r="S103">
        <f>R103-Q103</f>
        <v>2373304.423999965</v>
      </c>
      <c r="T103" t="str">
        <f>IF(R103&lt;= Q103,"No Monetizar","Monetizar")</f>
        <v>Monetizar</v>
      </c>
      <c r="V103">
        <v>45769</v>
      </c>
      <c r="W103" t="str">
        <v>Alfonso Fonseca A</v>
      </c>
      <c r="X103" t="str">
        <v>Alfonso Fonseca A</v>
      </c>
      <c r="Y103" t="str">
        <v>Se monetiza ya que el valor ofrecido por el banco en cada divisa es superior al valor facturado</v>
      </c>
      <c r="Z103">
        <f>K103*O103</f>
        <v>96386134.72</v>
      </c>
      <c r="AA103">
        <f>Z103-Q103</f>
        <v>2437477.42399998</v>
      </c>
    </row>
    <row r="104">
      <c r="B104">
        <v>73</v>
      </c>
      <c r="C104" t="str">
        <v>Safeguard LTD Payroll</v>
      </c>
      <c r="D104" t="str">
        <v>5670 a la 5674</v>
      </c>
      <c r="E104">
        <v>45768</v>
      </c>
      <c r="F104">
        <v>45828</v>
      </c>
      <c r="J104">
        <f>IFERROR(IF(TODAY()&gt;=E104,(TODAY()-E104)/I104,0),0)*0</f>
        <v>0</v>
      </c>
      <c r="K104">
        <v>19607.61</v>
      </c>
      <c r="L104">
        <v>19607.61</v>
      </c>
      <c r="M104">
        <f>K104-L104</f>
        <v>0</v>
      </c>
      <c r="N104">
        <v>4170.01</v>
      </c>
      <c r="O104">
        <v>4278.2</v>
      </c>
      <c r="P104">
        <f>O104-N104</f>
        <v>108.1899999999996</v>
      </c>
      <c r="Q104">
        <f>K104*N104</f>
        <v>81763929.77610001</v>
      </c>
      <c r="R104">
        <f>L104*O104</f>
        <v>83885277.102</v>
      </c>
      <c r="S104">
        <f>R104-Q104</f>
        <v>2121347.3258999884</v>
      </c>
      <c r="T104" t="str">
        <f>IF(R104&lt;= Q104,"No Monetizar","Monetizar")</f>
        <v>Monetizar</v>
      </c>
      <c r="V104">
        <v>45769</v>
      </c>
      <c r="W104" t="str">
        <v>Alfonso Fonseca A</v>
      </c>
      <c r="X104" t="str">
        <v>Alfonso Fonseca A</v>
      </c>
      <c r="Y104" t="str">
        <v>Se monetiza ya que el valor ofrecido por el banco en cada divisa es superior al valor facturado</v>
      </c>
      <c r="Z104">
        <f>K104*O104</f>
        <v>83885277.102</v>
      </c>
      <c r="AA104">
        <f>Z104-Q104</f>
        <v>2121347.3258999884</v>
      </c>
    </row>
    <row r="105">
      <c r="B105">
        <v>74</v>
      </c>
      <c r="C105" t="str">
        <v>Remofisrt</v>
      </c>
      <c r="D105">
        <v>5850</v>
      </c>
      <c r="E105">
        <v>45770</v>
      </c>
      <c r="F105">
        <v>45830</v>
      </c>
      <c r="J105">
        <f>IFERROR(IF(TODAY()&gt;=E105,(TODAY()-E105)/I105,0),0)*0</f>
        <v>0</v>
      </c>
      <c r="K105">
        <v>198689.68</v>
      </c>
      <c r="L105">
        <v>198689.68</v>
      </c>
      <c r="M105">
        <f>K105-L105</f>
        <v>0</v>
      </c>
      <c r="N105">
        <v>4237</v>
      </c>
      <c r="O105">
        <v>4286.2</v>
      </c>
      <c r="P105">
        <f>O105-N105</f>
        <v>49.19999999999982</v>
      </c>
      <c r="Q105">
        <f>K105*N105</f>
        <v>841848174.16</v>
      </c>
      <c r="R105">
        <f>L105*O105</f>
        <v>851623706.4159999</v>
      </c>
      <c r="S105">
        <f>R105-Q105</f>
        <v>9775532.255999923</v>
      </c>
      <c r="T105" t="str">
        <f>IF(R105&lt;= Q105,"No Monetizar","Monetizar")</f>
        <v>Monetizar</v>
      </c>
      <c r="V105">
        <v>45770</v>
      </c>
      <c r="W105" t="str">
        <v>Alfonso Fonseca A</v>
      </c>
      <c r="X105" t="str">
        <v>Alfonso Fonseca A</v>
      </c>
      <c r="Y105" t="str">
        <v>Se monetiza ya que el valor ofrecido por el banco en cada divisa es superior al valor facturado</v>
      </c>
      <c r="Z105">
        <f>K105*O105</f>
        <v>851623706.4159999</v>
      </c>
      <c r="AA105">
        <f>Z105-Q105</f>
        <v>9775532.255999923</v>
      </c>
    </row>
    <row r="106">
      <c r="B106">
        <v>75</v>
      </c>
      <c r="C106" t="str">
        <v>Nazdar ink technologies</v>
      </c>
      <c r="D106">
        <v>5861</v>
      </c>
      <c r="E106">
        <v>45771</v>
      </c>
      <c r="F106">
        <v>45831</v>
      </c>
      <c r="J106">
        <f>IFERROR(IF(TODAY()&gt;=E106,(TODAY()-E106)/I106,0),0)*0</f>
        <v>0</v>
      </c>
      <c r="K106">
        <v>15658.81</v>
      </c>
      <c r="L106">
        <v>15643.81</v>
      </c>
      <c r="M106">
        <f>K106-L106</f>
        <v>15</v>
      </c>
      <c r="N106">
        <v>4186.17</v>
      </c>
      <c r="O106">
        <v>4250</v>
      </c>
      <c r="P106">
        <f>O106-N106</f>
        <v>63.82999999999993</v>
      </c>
      <c r="Q106">
        <f>K106*N106</f>
        <v>65550440.6577</v>
      </c>
      <c r="R106">
        <f>L106*O106</f>
        <v>66486192.5</v>
      </c>
      <c r="S106">
        <f>R106-Q106</f>
        <v>935751.8422999978</v>
      </c>
      <c r="T106" t="str">
        <f>IF(R106&lt;= Q106,"No Monetizar","Monetizar")</f>
        <v>Monetizar</v>
      </c>
      <c r="V106">
        <v>45771</v>
      </c>
      <c r="W106" t="str">
        <v>Alfonso Fonseca A</v>
      </c>
      <c r="X106" t="str">
        <v>Alfonso Fonseca A</v>
      </c>
      <c r="Y106" t="str">
        <v>Se monetiza ya que el valor ofrecido por el banco en cada divisa es superior al valor facturado</v>
      </c>
      <c r="Z106">
        <f>K106*O106</f>
        <v>66549942.5</v>
      </c>
      <c r="AA106">
        <f>Z106-Q106</f>
        <v>999501.8422999978</v>
      </c>
    </row>
    <row r="107">
      <c r="B107">
        <v>76</v>
      </c>
      <c r="C107" t="str">
        <v xml:space="preserve">Neo </v>
      </c>
      <c r="D107">
        <v>5863</v>
      </c>
      <c r="E107">
        <v>45771</v>
      </c>
      <c r="F107">
        <v>45831</v>
      </c>
      <c r="J107">
        <f>IFERROR(IF(TODAY()&gt;=E107,(TODAY()-E107)/I107,0),0)*0</f>
        <v>0</v>
      </c>
      <c r="K107">
        <v>21396.56</v>
      </c>
      <c r="L107">
        <v>21350.56</v>
      </c>
      <c r="M107">
        <f>K107-L107</f>
        <v>46</v>
      </c>
      <c r="N107">
        <v>4186.17</v>
      </c>
      <c r="O107">
        <v>4248.5</v>
      </c>
      <c r="P107">
        <f>O107-N107</f>
        <v>62.32999999999993</v>
      </c>
      <c r="Q107">
        <f>K107*N107</f>
        <v>89569637.5752</v>
      </c>
      <c r="R107">
        <f>L107*O107</f>
        <v>90707854.16000001</v>
      </c>
      <c r="S107">
        <f>R107-Q107</f>
        <v>1138216.584800005</v>
      </c>
      <c r="T107" t="str">
        <f>IF(R107&lt;= Q107,"No Monetizar","Monetizar")</f>
        <v>Monetizar</v>
      </c>
      <c r="V107">
        <v>45771</v>
      </c>
      <c r="W107" t="str">
        <v>Alfonso Fonseca A</v>
      </c>
      <c r="X107" t="str">
        <v>Alfonso Fonseca A</v>
      </c>
      <c r="Y107" t="str">
        <v>Se monetiza ya que el valor ofrecido por el banco en cada divisa es superior al valor facturado</v>
      </c>
      <c r="Z107">
        <f>K107*O107</f>
        <v>90903285.16000001</v>
      </c>
      <c r="AA107">
        <f>Z107-Q107</f>
        <v>1333647.584800005</v>
      </c>
    </row>
    <row r="108">
      <c r="B108">
        <v>77</v>
      </c>
      <c r="C108" t="str">
        <v>Hong kong yonyou xinfushe cloud technology co</v>
      </c>
      <c r="D108">
        <v>5867</v>
      </c>
      <c r="E108">
        <v>45772</v>
      </c>
      <c r="F108">
        <v>45832</v>
      </c>
      <c r="J108">
        <f>IFERROR(IF(TODAY()&gt;=E108,(TODAY()-E108)/I108,0),0)*0</f>
        <v>0</v>
      </c>
      <c r="K108">
        <v>11703.3</v>
      </c>
      <c r="L108">
        <v>11703.24</v>
      </c>
      <c r="M108">
        <f>K108-L108</f>
        <v>0.05999999999949068</v>
      </c>
      <c r="N108">
        <v>4186.17</v>
      </c>
      <c r="O108">
        <v>4225</v>
      </c>
      <c r="P108">
        <f>O108-N108</f>
        <v>38.82999999999993</v>
      </c>
      <c r="Q108">
        <f>K108*N108</f>
        <v>48992003.361</v>
      </c>
      <c r="R108">
        <f>L108*O108</f>
        <v>49446189</v>
      </c>
      <c r="S108">
        <f>R108-Q108</f>
        <v>454185.63899999857</v>
      </c>
      <c r="T108" t="str">
        <f>IF(R108&lt;= Q108,"No Monetizar","Monetizar")</f>
        <v>Monetizar</v>
      </c>
      <c r="V108">
        <v>45775</v>
      </c>
      <c r="W108" t="str">
        <v>Alfonso Fonseca A</v>
      </c>
      <c r="X108" t="str">
        <v>Alfonso Fonseca A</v>
      </c>
      <c r="Y108" t="str">
        <v>Se monetiza ya que el valor ofrecido por el banco en cada divisa es superior al valor facturado</v>
      </c>
      <c r="Z108">
        <f>K108*O108</f>
        <v>49446442.5</v>
      </c>
      <c r="AA108">
        <f>Z108-Q108</f>
        <v>454439.13899999857</v>
      </c>
    </row>
    <row r="109">
      <c r="B109">
        <v>78</v>
      </c>
      <c r="C109" t="str">
        <v>Endrington</v>
      </c>
      <c r="D109">
        <v>5868</v>
      </c>
      <c r="E109">
        <v>45777</v>
      </c>
      <c r="F109">
        <v>45837</v>
      </c>
      <c r="J109">
        <f>IFERROR(IF(TODAY()&gt;=E109,(TODAY()-E109)/I109,0),0)*0</f>
        <v>0</v>
      </c>
      <c r="K109">
        <v>28973.84</v>
      </c>
      <c r="L109">
        <v>28973.84</v>
      </c>
      <c r="M109">
        <f>K109-L109</f>
        <v>0</v>
      </c>
      <c r="N109">
        <v>4186.17</v>
      </c>
      <c r="O109">
        <v>4208.5</v>
      </c>
      <c r="P109">
        <f>O109-N109</f>
        <v>22.329999999999927</v>
      </c>
      <c r="Q109">
        <f>K109*N109</f>
        <v>121289419.79280001</v>
      </c>
      <c r="R109">
        <f>L109*O109</f>
        <v>121936405.64</v>
      </c>
      <c r="S109">
        <f>R109-Q109</f>
        <v>646985.8471999913</v>
      </c>
      <c r="T109" t="str">
        <f>IF(R109&lt;= Q109,"No Monetizar","Monetizar")</f>
        <v>Monetizar</v>
      </c>
      <c r="V109">
        <v>45775</v>
      </c>
      <c r="W109" t="str">
        <v>Alfonso Fonseca A</v>
      </c>
      <c r="X109" t="str">
        <v>Alfonso Fonseca A</v>
      </c>
      <c r="Y109" t="str">
        <v>Se monetiza ya que el valor ofrecido por el banco en cada divisa es superior al valor facturado</v>
      </c>
      <c r="Z109">
        <f>K109*O109</f>
        <v>121936405.64</v>
      </c>
      <c r="AA109">
        <f>Z109-Q109</f>
        <v>646985.8471999913</v>
      </c>
    </row>
    <row r="110">
      <c r="B110">
        <v>79</v>
      </c>
      <c r="C110" t="str">
        <v>Insider</v>
      </c>
      <c r="D110">
        <v>5905</v>
      </c>
      <c r="E110">
        <v>45782</v>
      </c>
      <c r="F110">
        <v>45839</v>
      </c>
      <c r="J110">
        <f>IFERROR(IF(TODAY()&gt;=E110,(TODAY()-E110)/I110,0),0)*0</f>
        <v>0</v>
      </c>
      <c r="K110">
        <v>124104.3</v>
      </c>
      <c r="L110">
        <v>124089.3</v>
      </c>
      <c r="M110">
        <f>K110-L110</f>
        <v>15</v>
      </c>
      <c r="N110">
        <v>4164.57</v>
      </c>
      <c r="O110">
        <v>4236.1</v>
      </c>
      <c r="P110">
        <f>O110-N110</f>
        <v>71.53000000000065</v>
      </c>
      <c r="Q110">
        <f>K110*N110</f>
        <v>516841044.65099996</v>
      </c>
      <c r="R110">
        <f>L110*O110</f>
        <v>525654683.7300001</v>
      </c>
      <c r="S110">
        <f>R110-Q110</f>
        <v>8813639.079000115</v>
      </c>
      <c r="T110" t="str">
        <f>IF(R110&lt;= Q110,"No Monetizar","Monetizar")</f>
        <v>Monetizar</v>
      </c>
      <c r="V110">
        <v>45779</v>
      </c>
      <c r="W110" t="str">
        <v>Alfonso Fonseca A</v>
      </c>
      <c r="X110" t="str">
        <v>Alfonso Fonseca A</v>
      </c>
      <c r="Y110" t="str">
        <v>Se monetiza ya que el valor ofrecido por el banco en cada divisa es superior al valor facturado</v>
      </c>
      <c r="Z110">
        <f>K110*O110</f>
        <v>525718225.2300001</v>
      </c>
      <c r="AA110">
        <f>Z110-Q110</f>
        <v>8877180.579000115</v>
      </c>
    </row>
    <row r="111">
      <c r="B111">
        <v>80</v>
      </c>
      <c r="C111" t="str">
        <v>Insider</v>
      </c>
      <c r="D111">
        <v>5900</v>
      </c>
      <c r="E111">
        <v>45777</v>
      </c>
      <c r="F111">
        <v>45837</v>
      </c>
      <c r="J111">
        <f>IFERROR(IF(TODAY()&gt;=E111,(TODAY()-E111)/I111,0),0)*0</f>
        <v>0</v>
      </c>
      <c r="K111">
        <v>337.29</v>
      </c>
      <c r="L111">
        <v>337.29</v>
      </c>
      <c r="M111">
        <f>K111-L111</f>
        <v>0</v>
      </c>
      <c r="N111">
        <v>4164.57</v>
      </c>
      <c r="O111">
        <v>4236.1</v>
      </c>
      <c r="P111">
        <f>O111-N111</f>
        <v>71.53000000000065</v>
      </c>
      <c r="Q111">
        <f>K111*N111</f>
        <v>1404667.8153</v>
      </c>
      <c r="R111">
        <f>L111*O111</f>
        <v>1428794.1690000002</v>
      </c>
      <c r="S111">
        <f>R111-Q111</f>
        <v>24126.353700000327</v>
      </c>
      <c r="T111" t="str">
        <f>IF(R111&lt;= Q111,"No Monetizar","Monetizar")</f>
        <v>Monetizar</v>
      </c>
      <c r="V111">
        <v>45779</v>
      </c>
      <c r="W111" t="str">
        <v>Alfonso Fonseca A</v>
      </c>
      <c r="X111" t="str">
        <v>Alfonso Fonseca A</v>
      </c>
      <c r="Y111" t="str">
        <v>Se monetiza ya que el valor ofrecido por el banco en cada divisa es superior al valor facturado</v>
      </c>
      <c r="Z111">
        <f>K111*O111</f>
        <v>1428794.1690000002</v>
      </c>
      <c r="AA111">
        <f>Z111-Q111</f>
        <v>24126.353700000327</v>
      </c>
    </row>
    <row r="112">
      <c r="B112">
        <v>81</v>
      </c>
      <c r="C112" t="str">
        <v>Remofirst</v>
      </c>
      <c r="D112">
        <v>5884</v>
      </c>
      <c r="E112">
        <v>45776</v>
      </c>
      <c r="F112">
        <v>45836</v>
      </c>
      <c r="J112">
        <f>IFERROR(IF(TODAY()&gt;=E112,(TODAY()-E112)/I112,0),0)*0</f>
        <v>0</v>
      </c>
      <c r="K112">
        <v>4875.81</v>
      </c>
      <c r="L112">
        <v>4752.642754939404</v>
      </c>
      <c r="M112">
        <f>K112-L112</f>
        <v>123.16724506059654</v>
      </c>
      <c r="N112">
        <v>4237.98</v>
      </c>
      <c r="O112">
        <v>4241</v>
      </c>
      <c r="P112">
        <f>O112-N112</f>
        <v>3.0200000000004366</v>
      </c>
      <c r="Q112">
        <f>K112*N112</f>
        <v>20663585.2638</v>
      </c>
      <c r="R112">
        <f>L112*O112</f>
        <v>20155957.92369801</v>
      </c>
      <c r="S112">
        <f>R112-Q112</f>
        <v>-507627.3401019871</v>
      </c>
      <c r="T112" t="str">
        <f>IF(R112&lt;= Q112,"No Monetizar","Monetizar")</f>
        <v>No Monetizar</v>
      </c>
      <c r="V112">
        <v>45782</v>
      </c>
      <c r="W112" t="str">
        <v>Alfonso Fonseca A</v>
      </c>
      <c r="X112" t="str">
        <v>Alfonso Fonseca A</v>
      </c>
      <c r="Y112" t="str">
        <v>Se monetiza ya que el valor ofrecido por el banco en cada divisa es superior al valor facturado</v>
      </c>
      <c r="Z112">
        <f>K112*O112</f>
        <v>20678310.21</v>
      </c>
      <c r="AA112">
        <f>Z112-Q112</f>
        <v>14724.946200001985</v>
      </c>
    </row>
    <row r="113">
      <c r="B113">
        <v>82</v>
      </c>
      <c r="C113" t="str">
        <v>Remofirst</v>
      </c>
      <c r="D113">
        <v>5885</v>
      </c>
      <c r="E113">
        <v>45776</v>
      </c>
      <c r="F113">
        <v>45836</v>
      </c>
      <c r="J113">
        <f>IFERROR(IF(TODAY()&gt;=E113,(TODAY()-E113)/I113,0),0)*0</f>
        <v>0</v>
      </c>
      <c r="K113">
        <v>777.2</v>
      </c>
      <c r="L113">
        <v>757.5672450605961</v>
      </c>
      <c r="M113">
        <f>K113-L113</f>
        <v>19.63275493940398</v>
      </c>
      <c r="N113">
        <v>4237.98</v>
      </c>
      <c r="O113">
        <v>4241</v>
      </c>
      <c r="P113">
        <f>O113-N113</f>
        <v>3.0200000000004366</v>
      </c>
      <c r="Q113">
        <f>K113*N113</f>
        <v>3293758.056</v>
      </c>
      <c r="R113">
        <f>L113*O113</f>
        <v>3212842.686301988</v>
      </c>
      <c r="S113">
        <f>R113-Q113</f>
        <v>-80915.36969801178</v>
      </c>
      <c r="T113" t="str">
        <f>IF(R113&lt;= Q113,"No Monetizar","Monetizar")</f>
        <v>No Monetizar</v>
      </c>
      <c r="V113">
        <v>45782</v>
      </c>
      <c r="W113" t="str">
        <v>Alfonso Fonseca A</v>
      </c>
      <c r="X113" t="str">
        <v>Alfonso Fonseca A</v>
      </c>
      <c r="Y113" t="str">
        <v>Se monetiza ya que el valor ofrecido por el banco en cada divisa es superior al valor facturado</v>
      </c>
      <c r="Z113">
        <f>K113*O113</f>
        <v>3296105.2</v>
      </c>
      <c r="AA113">
        <f>Z113-Q113</f>
        <v>2347.1440000003204</v>
      </c>
    </row>
    <row r="114">
      <c r="B114">
        <v>83</v>
      </c>
      <c r="C114" t="str">
        <v>Ingreso dinero Prestamo</v>
      </c>
      <c r="D114" t="str">
        <v>S/N</v>
      </c>
      <c r="E114">
        <v>45782</v>
      </c>
      <c r="F114">
        <v>45842</v>
      </c>
      <c r="J114">
        <f>IFERROR(IF(TODAY()&gt;=E114,(TODAY()-E114)/I114,0),0)*0</f>
        <v>0</v>
      </c>
      <c r="K114">
        <v>14154.974361905579</v>
      </c>
      <c r="L114">
        <v>13921.4</v>
      </c>
      <c r="M114">
        <f>K114-L114+30</f>
        <v>263.5743619055793</v>
      </c>
      <c r="N114">
        <v>4198.83</v>
      </c>
      <c r="O114">
        <v>4277.79</v>
      </c>
      <c r="P114">
        <f>O114-N114</f>
        <v>78.96000000000004</v>
      </c>
      <c r="Q114">
        <f>K114*N114</f>
        <v>59434331</v>
      </c>
      <c r="R114">
        <f>L114*O114</f>
        <v>59552825.706</v>
      </c>
      <c r="S114">
        <f>R114-Q114</f>
        <v>118494.70600000024</v>
      </c>
      <c r="T114" t="str">
        <f>IF(R114&lt;= Q114,"No Monetizar","Monetizar")</f>
        <v>Monetizar</v>
      </c>
      <c r="V114">
        <v>45783</v>
      </c>
      <c r="W114" t="str">
        <v>Alfonso Fonseca A</v>
      </c>
      <c r="X114" t="str">
        <v>Alfonso Fonseca A</v>
      </c>
      <c r="Y114" t="str">
        <v>Se monetiza ya que el valor ofrecido por el banco en cada divisa es superior al valor facturado</v>
      </c>
      <c r="Z114">
        <f>K114*O114</f>
        <v>60552007.775616065</v>
      </c>
      <c r="AA114">
        <f>Z114-Q114</f>
        <v>1117676.7756160647</v>
      </c>
    </row>
    <row r="115">
      <c r="B115">
        <v>84</v>
      </c>
      <c r="C115" t="str">
        <v>Global Project</v>
      </c>
      <c r="D115">
        <v>5739</v>
      </c>
      <c r="E115">
        <v>45786</v>
      </c>
      <c r="F115">
        <v>45846</v>
      </c>
      <c r="J115">
        <f>IFERROR(IF(TODAY()&gt;=E115,(TODAY()-E115)/I115,0),0)*0</f>
        <v>0</v>
      </c>
      <c r="K115">
        <v>650</v>
      </c>
      <c r="L115">
        <v>645</v>
      </c>
      <c r="M115">
        <f>K115-L115</f>
        <v>5</v>
      </c>
      <c r="N115">
        <v>4123.1</v>
      </c>
      <c r="O115">
        <v>4217.5</v>
      </c>
      <c r="P115">
        <f>O115-N115</f>
        <v>94.39999999999964</v>
      </c>
      <c r="Q115">
        <f>K115*N115</f>
        <v>2680015.0000000005</v>
      </c>
      <c r="R115">
        <f>L115*O115</f>
        <v>2720287.5</v>
      </c>
      <c r="S115">
        <f>R115-Q115</f>
        <v>40272.499999999534</v>
      </c>
      <c r="T115" t="str">
        <f>IF(R115&lt;= Q115,"No Monetizar","Monetizar")</f>
        <v>Monetizar</v>
      </c>
      <c r="V115">
        <v>45786</v>
      </c>
      <c r="W115" t="str">
        <v>Alfonso Fonseca A</v>
      </c>
      <c r="X115" t="str">
        <v>Alfonso Fonseca A</v>
      </c>
      <c r="Y115" t="str">
        <v>Se monetiza ya que el valor ofrecido por el banco en cada divisa es superior al valor facturado</v>
      </c>
      <c r="Z115">
        <f>K115*O115</f>
        <v>2741375</v>
      </c>
      <c r="AA115">
        <f>Z115-Q115</f>
        <v>61359.999999999534</v>
      </c>
    </row>
    <row r="116">
      <c r="B116">
        <v>85</v>
      </c>
      <c r="C116" t="str">
        <v>Global Project</v>
      </c>
      <c r="D116">
        <v>5785</v>
      </c>
      <c r="E116">
        <v>45786</v>
      </c>
      <c r="F116">
        <v>45846</v>
      </c>
      <c r="J116">
        <f>IFERROR(IF(TODAY()&gt;=E116,(TODAY()-E116)/I116,0),0)*0</f>
        <v>0</v>
      </c>
      <c r="K116">
        <v>286.75</v>
      </c>
      <c r="L116">
        <v>286.75</v>
      </c>
      <c r="M116">
        <f>K116-L116</f>
        <v>0</v>
      </c>
      <c r="N116">
        <v>4102.67</v>
      </c>
      <c r="O116">
        <v>4217.5</v>
      </c>
      <c r="P116">
        <f>O116-N116</f>
        <v>114.82999999999993</v>
      </c>
      <c r="Q116">
        <f>K116*N116</f>
        <v>1176440.6225</v>
      </c>
      <c r="R116">
        <f>L116*O116</f>
        <v>1209368.125</v>
      </c>
      <c r="S116">
        <f>R116-Q116</f>
        <v>32927.502499999944</v>
      </c>
      <c r="T116" t="str">
        <f>IF(R116&lt;= Q116,"No Monetizar","Monetizar")</f>
        <v>Monetizar</v>
      </c>
      <c r="V116">
        <v>45786</v>
      </c>
      <c r="W116" t="str">
        <v>Alfonso Fonseca A</v>
      </c>
      <c r="X116" t="str">
        <v>Alfonso Fonseca A</v>
      </c>
      <c r="Y116" t="str">
        <v>Se monetiza ya que el valor ofrecido por el banco en cada divisa es superior al valor facturado</v>
      </c>
      <c r="Z116">
        <f>K116*O116</f>
        <v>1209368.125</v>
      </c>
      <c r="AA116">
        <f>Z116-Q116</f>
        <v>32927.502499999944</v>
      </c>
    </row>
    <row r="117">
      <c r="B117">
        <v>86</v>
      </c>
      <c r="C117" t="str">
        <v>Action</v>
      </c>
      <c r="D117">
        <v>5944</v>
      </c>
      <c r="E117">
        <v>45797</v>
      </c>
      <c r="F117">
        <v>45857</v>
      </c>
      <c r="J117">
        <f>IFERROR(IF(TODAY()&gt;=E117,(TODAY()-E117)/I117,0),0)*0</f>
        <v>0</v>
      </c>
      <c r="K117">
        <v>3176.19</v>
      </c>
      <c r="L117">
        <v>3176.19</v>
      </c>
      <c r="M117">
        <f>K117-L117</f>
        <v>0</v>
      </c>
      <c r="N117">
        <v>4108.6</v>
      </c>
      <c r="O117">
        <v>4158</v>
      </c>
      <c r="P117">
        <f>O117-N117</f>
        <v>49.399999999999636</v>
      </c>
      <c r="Q117">
        <f>K117*N117</f>
        <v>13049694.234000001</v>
      </c>
      <c r="R117">
        <f>L117*O117</f>
        <v>13206598.02</v>
      </c>
      <c r="S117">
        <f>R117-Q117</f>
        <v>156903.78599999845</v>
      </c>
      <c r="T117" t="str">
        <f>IF(R117&lt;= Q117,"No Monetizar","Monetizar")</f>
        <v>Monetizar</v>
      </c>
      <c r="V117">
        <v>45797</v>
      </c>
      <c r="W117" t="str">
        <v>Alfonso Fonseca A</v>
      </c>
      <c r="X117" t="str">
        <v>Alfonso Fonseca A</v>
      </c>
      <c r="Y117" t="str">
        <v>Se monetiza ya que el valor ofrecido por el banco en cada divisa es superior al valor facturado</v>
      </c>
      <c r="Z117">
        <f>K117*O117</f>
        <v>13206598.02</v>
      </c>
      <c r="AA117">
        <f>Z117-Q117</f>
        <v>156903.78599999845</v>
      </c>
    </row>
    <row r="118">
      <c r="B118">
        <v>87</v>
      </c>
      <c r="C118" t="str">
        <v>Marketing Doctors</v>
      </c>
      <c r="D118">
        <v>5946</v>
      </c>
      <c r="E118">
        <v>45797</v>
      </c>
      <c r="F118">
        <v>45857</v>
      </c>
      <c r="J118">
        <f>IFERROR(IF(TODAY()&gt;=E118,(TODAY()-E118)/I118,0),0)*0</f>
        <v>0</v>
      </c>
      <c r="K118">
        <v>2489.2</v>
      </c>
      <c r="L118">
        <v>2489.2</v>
      </c>
      <c r="M118">
        <f>K118-L118</f>
        <v>0</v>
      </c>
      <c r="N118">
        <v>4108.6</v>
      </c>
      <c r="O118">
        <v>4158.5</v>
      </c>
      <c r="P118">
        <f>O118-N118</f>
        <v>49.899999999999636</v>
      </c>
      <c r="Q118">
        <f>K118*N118</f>
        <v>10227127.120000001</v>
      </c>
      <c r="R118">
        <f>L118*O118</f>
        <v>10351338.2</v>
      </c>
      <c r="S118">
        <f>R118-Q118</f>
        <v>124211.07999999821</v>
      </c>
      <c r="T118" t="str">
        <f>IF(R118&lt;= Q118,"No Monetizar","Monetizar")</f>
        <v>Monetizar</v>
      </c>
      <c r="V118">
        <v>45798</v>
      </c>
      <c r="W118" t="str">
        <v>Alfonso Fonseca A</v>
      </c>
      <c r="X118" t="str">
        <v>Alfonso Fonseca A</v>
      </c>
      <c r="Y118" t="str">
        <v>Se monetiza ya que el valor ofrecido por el banco en cada divisa es superior al valor facturado</v>
      </c>
      <c r="Z118">
        <f>K118*O118</f>
        <v>10351338.2</v>
      </c>
      <c r="AA118">
        <f>Z118-Q118</f>
        <v>124211.07999999821</v>
      </c>
    </row>
    <row r="119">
      <c r="B119">
        <v>88</v>
      </c>
      <c r="C119" t="str">
        <v>Nazdar ink technologies</v>
      </c>
      <c r="D119">
        <v>5948</v>
      </c>
      <c r="E119">
        <v>45799</v>
      </c>
      <c r="F119">
        <v>45859</v>
      </c>
      <c r="J119">
        <f>IFERROR(IF(TODAY()&gt;=E119,(TODAY()-E119)/I119,0),0)*0</f>
        <v>0</v>
      </c>
      <c r="K119">
        <v>13845.93</v>
      </c>
      <c r="L119">
        <v>13830.93</v>
      </c>
      <c r="M119">
        <f>K119-L119</f>
        <v>15</v>
      </c>
      <c r="N119">
        <v>4118.6</v>
      </c>
      <c r="O119">
        <v>4163.05</v>
      </c>
      <c r="P119">
        <f>O119-N119</f>
        <v>44.44999999999982</v>
      </c>
      <c r="Q119">
        <f>K119*N119</f>
        <v>57025847.29800001</v>
      </c>
      <c r="R119">
        <f>L119*O119</f>
        <v>57578853.1365</v>
      </c>
      <c r="S119">
        <f>R119-Q119</f>
        <v>553005.8384999931</v>
      </c>
      <c r="T119" t="str">
        <f>IF(R119&lt;= Q119,"No Monetizar","Monetizar")</f>
        <v>Monetizar</v>
      </c>
      <c r="V119">
        <v>45799</v>
      </c>
      <c r="W119" t="str">
        <v>Alfonso Fonseca A</v>
      </c>
      <c r="X119" t="str">
        <v>Alfonso Fonseca A</v>
      </c>
      <c r="Y119" t="str">
        <v>Se monetiza ya que el valor ofrecido por el banco en cada divisa es superior al valor facturado</v>
      </c>
      <c r="Z119">
        <f>K119*O119</f>
        <v>57641298.8865</v>
      </c>
      <c r="AA119">
        <f>Z119-Q119</f>
        <v>615451.5884999931</v>
      </c>
    </row>
    <row r="120">
      <c r="B120">
        <v>89</v>
      </c>
      <c r="C120" t="str">
        <v xml:space="preserve">Neo </v>
      </c>
      <c r="D120">
        <v>5950</v>
      </c>
      <c r="E120">
        <v>45800</v>
      </c>
      <c r="F120">
        <v>45860</v>
      </c>
      <c r="J120">
        <f>IFERROR(IF(TODAY()&gt;=E120,(TODAY()-E120)/I120,0),0)*0</f>
        <v>0</v>
      </c>
      <c r="K120">
        <v>21960</v>
      </c>
      <c r="L120">
        <v>21914.26</v>
      </c>
      <c r="M120">
        <f>K120-L120</f>
        <v>45.7400000000016</v>
      </c>
      <c r="N120">
        <v>4098.6</v>
      </c>
      <c r="O120">
        <v>4150.5</v>
      </c>
      <c r="P120">
        <f>O120-N120</f>
        <v>51.899999999999636</v>
      </c>
      <c r="Q120">
        <f>K120*N120</f>
        <v>90005256.00000001</v>
      </c>
      <c r="R120">
        <f>L120*O120</f>
        <v>90955136.13</v>
      </c>
      <c r="S120">
        <f>R120-Q120</f>
        <v>949880.1299999803</v>
      </c>
      <c r="T120" t="str">
        <f>IF(R120&lt;= Q120,"No Monetizar","Monetizar")</f>
        <v>Monetizar</v>
      </c>
      <c r="V120">
        <v>45800</v>
      </c>
      <c r="W120" t="str">
        <v>Alfonso Fonseca A</v>
      </c>
      <c r="X120" t="str">
        <v>Alfonso Fonseca A</v>
      </c>
      <c r="Y120" t="str">
        <v>Se monetiza ya que el valor ofrecido por el banco en cada divisa es superior al valor facturado</v>
      </c>
      <c r="Z120">
        <f>K120*O120</f>
        <v>91144980</v>
      </c>
      <c r="AA120">
        <f>Z120-Q120</f>
        <v>1139723.999999985</v>
      </c>
    </row>
    <row r="121">
      <c r="B121">
        <v>90</v>
      </c>
      <c r="C121" t="str">
        <v>Safeguard Payroll LLC</v>
      </c>
      <c r="D121" t="str">
        <v>5741 a la 5751</v>
      </c>
      <c r="E121">
        <v>45800</v>
      </c>
      <c r="F121">
        <v>45860</v>
      </c>
      <c r="J121">
        <f>IFERROR(IF(TODAY()&gt;=E121,(TODAY()-E121)/I121,0),0)*0</f>
        <v>0</v>
      </c>
      <c r="K121">
        <v>12054.49</v>
      </c>
      <c r="L121">
        <v>12039.49</v>
      </c>
      <c r="M121">
        <f>K121-L121</f>
        <v>15</v>
      </c>
      <c r="N121">
        <v>4120.11</v>
      </c>
      <c r="O121">
        <v>4150.5</v>
      </c>
      <c r="P121">
        <f>O121-N121</f>
        <v>30.390000000000327</v>
      </c>
      <c r="Q121">
        <f>K121*N121</f>
        <v>49665824.7939</v>
      </c>
      <c r="R121">
        <f>L121*O121</f>
        <v>49969903.245</v>
      </c>
      <c r="S121">
        <f>R121-Q121</f>
        <v>304078.45109999925</v>
      </c>
      <c r="T121" t="str">
        <f>IF(R121&lt;= Q121,"No Monetizar","Monetizar")</f>
        <v>Monetizar</v>
      </c>
      <c r="V121">
        <v>45800</v>
      </c>
      <c r="W121" t="str">
        <v>Alfonso Fonseca A</v>
      </c>
      <c r="X121" t="str">
        <v>Alfonso Fonseca A</v>
      </c>
      <c r="Y121" t="str">
        <v>Se monetiza ya que el valor ofrecido por el banco en cada divisa es superior al valor facturado</v>
      </c>
      <c r="Z121">
        <f>K121*O121</f>
        <v>50032160.745</v>
      </c>
      <c r="AA121">
        <f>Z121-Q121</f>
        <v>366335.95109999925</v>
      </c>
    </row>
    <row r="122">
      <c r="B122">
        <v>91</v>
      </c>
      <c r="C122" t="str">
        <v>Safeguard Payroll LTD</v>
      </c>
      <c r="D122" t="str">
        <v xml:space="preserve">5752 a la 5756 </v>
      </c>
      <c r="E122">
        <v>45800</v>
      </c>
      <c r="F122">
        <v>45860</v>
      </c>
      <c r="J122">
        <f>IFERROR(IF(TODAY()&gt;=E122,(TODAY()-E122)/I122,0),0)*0</f>
        <v>0</v>
      </c>
      <c r="K122">
        <v>9806.32</v>
      </c>
      <c r="L122">
        <v>9806.32</v>
      </c>
      <c r="M122">
        <f>K122-L122</f>
        <v>0</v>
      </c>
      <c r="N122">
        <v>4120.11</v>
      </c>
      <c r="O122">
        <v>4150.5</v>
      </c>
      <c r="P122">
        <f>O122-N122</f>
        <v>30.390000000000327</v>
      </c>
      <c r="Q122">
        <f>K122*N122</f>
        <v>40403117.095199995</v>
      </c>
      <c r="R122">
        <f>L122*O122</f>
        <v>40701131.16</v>
      </c>
      <c r="S122">
        <f>R122-Q122</f>
        <v>298014.0648000017</v>
      </c>
      <c r="T122" t="str">
        <f>IF(R122&lt;= Q122,"No Monetizar","Monetizar")</f>
        <v>Monetizar</v>
      </c>
      <c r="V122">
        <v>45800</v>
      </c>
      <c r="W122" t="str">
        <v>Alfonso Fonseca A</v>
      </c>
      <c r="X122" t="str">
        <v>Alfonso Fonseca A</v>
      </c>
      <c r="Y122" t="str">
        <v>Se monetiza ya que el valor ofrecido por el banco en cada divisa es superior al valor facturado</v>
      </c>
      <c r="Z122">
        <f>K122*O122</f>
        <v>40701131.16</v>
      </c>
      <c r="AA122">
        <f>Z122-Q122</f>
        <v>298014.0648000017</v>
      </c>
    </row>
    <row r="123">
      <c r="B123">
        <v>92</v>
      </c>
      <c r="C123" t="str">
        <v>Safeguard Payroll LTD</v>
      </c>
      <c r="D123">
        <v>5707</v>
      </c>
      <c r="E123">
        <v>45800</v>
      </c>
      <c r="F123">
        <v>45860</v>
      </c>
      <c r="J123">
        <f>IFERROR(IF(TODAY()&gt;=E123,(TODAY()-E123)/I123,0),0)*0</f>
        <v>0</v>
      </c>
      <c r="K123">
        <v>421.18</v>
      </c>
      <c r="L123">
        <v>421.18</v>
      </c>
      <c r="M123">
        <f>K123-L123</f>
        <v>0</v>
      </c>
      <c r="N123">
        <v>4161.46</v>
      </c>
      <c r="O123">
        <v>4150.5</v>
      </c>
      <c r="P123">
        <f>O123-N123</f>
        <v>-10.960000000000036</v>
      </c>
      <c r="Q123">
        <f>K123*N123</f>
        <v>1752723.7228</v>
      </c>
      <c r="R123">
        <f>L123*O123</f>
        <v>1748107.59</v>
      </c>
      <c r="S123">
        <f>R123-Q123</f>
        <v>-4616.132800000021</v>
      </c>
      <c r="T123" t="str">
        <f>IF(R123&lt;= Q123,"No Monetizar","Monetizar")</f>
        <v>No Monetizar</v>
      </c>
      <c r="V123">
        <v>45800</v>
      </c>
      <c r="W123" t="str">
        <v>Alfonso Fonseca A</v>
      </c>
      <c r="X123" t="str">
        <v>Alfonso Fonseca A</v>
      </c>
      <c r="Y123" t="str">
        <v>el criterio a pesar que el KPI dice que no monetizar este dinero esta suma al envio de USD 9.806,32 . El valor monetizado genera ganancia frente al facturado al sumar todo el envio que fue USD 10.227,50</v>
      </c>
      <c r="Z123">
        <f>K123*O123</f>
        <v>1748107.59</v>
      </c>
      <c r="AA123">
        <f>Z123-Q123</f>
        <v>-4616.132800000021</v>
      </c>
    </row>
    <row r="124">
      <c r="B124">
        <v>93</v>
      </c>
      <c r="C124" t="str">
        <v>Remofirst</v>
      </c>
      <c r="D124">
        <v>5938</v>
      </c>
      <c r="E124">
        <v>45800</v>
      </c>
      <c r="F124">
        <v>45860</v>
      </c>
      <c r="J124">
        <f>IFERROR(IF(TODAY()&gt;=E124,(TODAY()-E124)/I124,0),0)*0</f>
        <v>0</v>
      </c>
      <c r="K124">
        <v>209257.11</v>
      </c>
      <c r="L124">
        <v>209257.11</v>
      </c>
      <c r="M124">
        <f>K124-L124</f>
        <v>0</v>
      </c>
      <c r="N124">
        <v>4186.79</v>
      </c>
      <c r="O124">
        <v>4110.6</v>
      </c>
      <c r="P124">
        <f>O124-N124</f>
        <v>-76.1899999999996</v>
      </c>
      <c r="Q124">
        <f>K124*N124</f>
        <v>876115575.5768999</v>
      </c>
      <c r="R124">
        <f>L124*O124</f>
        <v>860172276.366</v>
      </c>
      <c r="S124">
        <f>R124-Q124</f>
        <v>-15943299.21089983</v>
      </c>
      <c r="T124" t="str">
        <f>IF(R124&lt;= Q124,"No Monetizar","Monetizar")</f>
        <v>No Monetizar</v>
      </c>
      <c r="V124">
        <v>45804</v>
      </c>
      <c r="W124" t="str">
        <v>Alfonso Fonseca A</v>
      </c>
      <c r="X124" t="str">
        <v>Eduard Forero</v>
      </c>
      <c r="Y124" t="str">
        <v>Se ha decidido monetizar las divisas recibidas el pasado 23 de mayo, pese a que el valor está por debajo del monto facturado, debido a la necesidad urgente de recursos para completar el pago de nómina correspondiente a mayo.Desde el ingreso de los fondos, la tasa de cambio ha estado por debajo del valor esperado. Hoy, 27 de mayo, tras el feriado en EE.UU., la divisa abrió en 4.140 y actualmente se ubica en 4.125, manteniendo una tendencia bajista.La Dirección aprueba el ingreso de los recursos con una pérdida de USD 3.875,98, la cual será descontada del valor que se adeuda al cliente. De esta forma, la deuda disminuye de USD 11.046,28 a USD 7.170,03.</v>
      </c>
      <c r="Z124">
        <f>K124*O124</f>
        <v>860172276.366</v>
      </c>
      <c r="AA124">
        <f>Z124-Q124</f>
        <v>-15943299.21089983</v>
      </c>
    </row>
    <row r="125">
      <c r="B125">
        <v>94</v>
      </c>
      <c r="C125" t="str">
        <v>Insider</v>
      </c>
      <c r="D125">
        <v>5987</v>
      </c>
      <c r="E125">
        <v>45807</v>
      </c>
      <c r="F125">
        <v>45868</v>
      </c>
      <c r="J125">
        <f>IFERROR(IF(TODAY()&gt;=E125,(TODAY()-E125)/I125,0),0)*0</f>
        <v>0</v>
      </c>
      <c r="K125">
        <v>108566.8</v>
      </c>
      <c r="L125">
        <v>108551.8</v>
      </c>
      <c r="M125">
        <f>K125-L125</f>
        <v>15</v>
      </c>
      <c r="N125">
        <v>3926.44</v>
      </c>
      <c r="O125">
        <v>4133.5</v>
      </c>
      <c r="P125">
        <f>O125-N125</f>
        <v>207.05999999999995</v>
      </c>
      <c r="Q125">
        <f>K125*N125</f>
        <v>426281026.19200003</v>
      </c>
      <c r="R125">
        <f>L125*O125</f>
        <v>448698865.3</v>
      </c>
      <c r="S125">
        <f>R125-Q125</f>
        <v>22417839.10799998</v>
      </c>
      <c r="T125" t="str">
        <f>IF(R125&lt;= Q125,"No Monetizar","Monetizar")</f>
        <v>Monetizar</v>
      </c>
      <c r="V125">
        <v>45807</v>
      </c>
      <c r="W125" t="str">
        <v>Alfonso Fonseca A</v>
      </c>
      <c r="X125" t="str">
        <v>Alfonso Fonseca A</v>
      </c>
      <c r="Y125" t="str">
        <v>Se monetiza ya que el valor ofrecido por el banco en cada divisa es superior al valor facturado</v>
      </c>
      <c r="Z125">
        <f>K125*O125</f>
        <v>448760867.8</v>
      </c>
      <c r="AA125">
        <f>Z125-Q125</f>
        <v>22479841.60799998</v>
      </c>
    </row>
    <row r="126">
      <c r="B126">
        <v>95</v>
      </c>
      <c r="C126" t="str">
        <v>Flexco</v>
      </c>
      <c r="D126">
        <v>5947</v>
      </c>
      <c r="E126">
        <v>45804</v>
      </c>
      <c r="F126">
        <v>45864</v>
      </c>
      <c r="J126">
        <f>IFERROR(IF(TODAY()&gt;=E126,(TODAY()-E126)/I126,0),0)*0</f>
        <v>0</v>
      </c>
      <c r="K126">
        <v>4172.59</v>
      </c>
      <c r="L126">
        <v>4162.59</v>
      </c>
      <c r="M126">
        <f>K126-L126</f>
        <v>10</v>
      </c>
      <c r="N126">
        <v>4108.6</v>
      </c>
      <c r="O126">
        <v>4138</v>
      </c>
      <c r="P126">
        <f>O126-N126</f>
        <v>29.399999999999636</v>
      </c>
      <c r="Q126">
        <f>K126*N126</f>
        <v>17143503.274000004</v>
      </c>
      <c r="R126">
        <f>L126*O126</f>
        <v>17224797.42</v>
      </c>
      <c r="S126">
        <f>R126-Q126</f>
        <v>81294.14599999785</v>
      </c>
      <c r="T126" t="str">
        <f>IF(R126&lt;= Q126,"No Monetizar","Monetizar")</f>
        <v>Monetizar</v>
      </c>
      <c r="V126">
        <v>45807</v>
      </c>
      <c r="W126" t="str">
        <v>Alfonso Fonseca A</v>
      </c>
      <c r="X126" t="str">
        <v>Alfonso Fonseca A</v>
      </c>
      <c r="Y126" t="str">
        <v>Se monetiza ya que el valor ofrecido por el banco en cada divisa es superior al valor facturado</v>
      </c>
      <c r="Z126">
        <f>K126*O126</f>
        <v>17266177.42</v>
      </c>
      <c r="AA126">
        <f>Z126-Q126</f>
        <v>122674.14599999785</v>
      </c>
    </row>
    <row r="127">
      <c r="B127">
        <v>96</v>
      </c>
      <c r="C127" t="str">
        <v>Hong kong yonyou xinfushe cloud technology co</v>
      </c>
      <c r="D127">
        <v>5954</v>
      </c>
      <c r="E127">
        <v>45806</v>
      </c>
      <c r="F127">
        <v>45866</v>
      </c>
      <c r="J127">
        <f>IFERROR(IF(TODAY()&gt;=E127,(TODAY()-E127)/I127,0),0)*0</f>
        <v>0</v>
      </c>
      <c r="K127">
        <v>17598.29</v>
      </c>
      <c r="L127">
        <v>17598.29</v>
      </c>
      <c r="M127">
        <f>K127-L127</f>
        <v>0</v>
      </c>
      <c r="N127">
        <v>4098.6</v>
      </c>
      <c r="O127">
        <v>4138</v>
      </c>
      <c r="P127">
        <f>O127-N127</f>
        <v>39.399999999999636</v>
      </c>
      <c r="Q127">
        <f>K127*N127</f>
        <v>72128351.39400001</v>
      </c>
      <c r="R127">
        <f>L127*O127</f>
        <v>72821724.02000001</v>
      </c>
      <c r="S127">
        <f>R127-Q127</f>
        <v>693372.626000002</v>
      </c>
      <c r="T127" t="str">
        <f>IF(R127&lt;= Q127,"No Monetizar","Monetizar")</f>
        <v>Monetizar</v>
      </c>
      <c r="V127">
        <v>45807</v>
      </c>
      <c r="W127" t="str">
        <v>Alfonso Fonseca A</v>
      </c>
      <c r="X127" t="str">
        <v>Alfonso Fonseca A</v>
      </c>
      <c r="Y127" t="str">
        <v>Se monetiza ya que el valor ofrecido por el banco en cada divisa es superior al valor facturado</v>
      </c>
      <c r="Z127">
        <f>K127*O127</f>
        <v>72821724.02000001</v>
      </c>
      <c r="AA127">
        <f>Z127-Q127</f>
        <v>693372.626000002</v>
      </c>
    </row>
    <row r="128">
      <c r="B128">
        <v>97</v>
      </c>
      <c r="C128" t="str">
        <v>Hemmebarsch GMBH &amp; Co KG</v>
      </c>
      <c r="D128">
        <v>5952</v>
      </c>
      <c r="E128">
        <v>45805</v>
      </c>
      <c r="F128">
        <v>45865</v>
      </c>
      <c r="J128">
        <f>IFERROR(IF(TODAY()&gt;=E128,(TODAY()-E128)/I128,0),0)*0</f>
        <v>0</v>
      </c>
      <c r="K128">
        <v>1930.16</v>
      </c>
      <c r="L128">
        <v>1930.16</v>
      </c>
      <c r="M128">
        <f>K128-L128</f>
        <v>0</v>
      </c>
      <c r="N128">
        <v>4108.6</v>
      </c>
      <c r="O128">
        <v>4118.1</v>
      </c>
      <c r="P128">
        <f>O128-N128</f>
        <v>9.5</v>
      </c>
      <c r="Q128">
        <f>K128*N128</f>
        <v>7930255.376000001</v>
      </c>
      <c r="R128">
        <f>L128*O128</f>
        <v>7948591.896000001</v>
      </c>
      <c r="S128">
        <f>R128-Q128</f>
        <v>18336.519999999553</v>
      </c>
      <c r="T128" t="str">
        <f>IF(R128&lt;= Q128,"No Monetizar","Monetizar")</f>
        <v>Monetizar</v>
      </c>
      <c r="V128">
        <v>45807</v>
      </c>
      <c r="W128" t="str">
        <v>Alfonso Fonseca A</v>
      </c>
      <c r="X128" t="str">
        <v>Alfonso Fonseca A</v>
      </c>
      <c r="Y128" t="str">
        <v>Se monetiza ya que el valor ofrecido por el banco en cada divisa es superior al valor facturado</v>
      </c>
      <c r="Z128">
        <f>K128*O128</f>
        <v>7948591.896000001</v>
      </c>
      <c r="AA128">
        <f>Z128-Q128</f>
        <v>18336.519999999553</v>
      </c>
    </row>
    <row r="129">
      <c r="B129">
        <v>98</v>
      </c>
      <c r="C129" t="str">
        <v>Hemmebarsch GMBH &amp; Co KG</v>
      </c>
      <c r="D129">
        <v>5953</v>
      </c>
      <c r="E129">
        <v>45805</v>
      </c>
      <c r="F129">
        <v>45865</v>
      </c>
      <c r="J129">
        <f>IFERROR(IF(TODAY()&gt;=E129,(TODAY()-E129)/I129,0),0)*0</f>
        <v>0</v>
      </c>
      <c r="K129">
        <v>1136.1</v>
      </c>
      <c r="L129">
        <v>1136.1</v>
      </c>
      <c r="M129">
        <f>K129-L129</f>
        <v>0</v>
      </c>
      <c r="N129">
        <v>4108.6</v>
      </c>
      <c r="O129">
        <v>4118.1</v>
      </c>
      <c r="P129">
        <f>O129-N129</f>
        <v>9.5</v>
      </c>
      <c r="Q129">
        <f>K129*N129</f>
        <v>4667780.46</v>
      </c>
      <c r="R129">
        <f>L129*O129</f>
        <v>4678573.41</v>
      </c>
      <c r="S129">
        <f>R129-Q129</f>
        <v>10792.950000000186</v>
      </c>
      <c r="T129" t="str">
        <f>IF(R129&lt;= Q129,"No Monetizar","Monetizar")</f>
        <v>Monetizar</v>
      </c>
      <c r="V129">
        <v>45807</v>
      </c>
      <c r="W129" t="str">
        <v>Alfonso Fonseca A</v>
      </c>
      <c r="X129" t="str">
        <v>Alfonso Fonseca A</v>
      </c>
      <c r="Y129" t="str">
        <v>Se monetiza ya que el valor ofrecido por el banco en cada divisa es superior al valor facturado</v>
      </c>
      <c r="Z129">
        <f>K129*O129</f>
        <v>4678573.41</v>
      </c>
      <c r="AA129">
        <f>Z129-Q129</f>
        <v>10792.950000000186</v>
      </c>
    </row>
    <row r="130">
      <c r="B130">
        <v>99</v>
      </c>
      <c r="C130" t="str">
        <v>Endrington</v>
      </c>
      <c r="D130">
        <v>5955</v>
      </c>
      <c r="E130">
        <v>45806</v>
      </c>
      <c r="F130">
        <v>45866</v>
      </c>
      <c r="J130">
        <f>IFERROR(IF(TODAY()&gt;=E130,(TODAY()-E130)/I130,0),0)*0</f>
        <v>0</v>
      </c>
      <c r="K130">
        <v>30508.05</v>
      </c>
      <c r="L130">
        <v>30508.05</v>
      </c>
      <c r="M130">
        <f>K130-L130</f>
        <v>0</v>
      </c>
      <c r="N130">
        <v>4108.6</v>
      </c>
      <c r="O130">
        <v>4118.1</v>
      </c>
      <c r="P130">
        <f>O130-N130</f>
        <v>9.5</v>
      </c>
      <c r="Q130">
        <f>K130*N130</f>
        <v>125345374.23</v>
      </c>
      <c r="R130">
        <f>L130*O130</f>
        <v>125635200.70500001</v>
      </c>
      <c r="S130">
        <f>R130-Q130</f>
        <v>289826.47500000894</v>
      </c>
      <c r="T130" t="str">
        <f>IF(R130&lt;= Q130,"No Monetizar","Monetizar")</f>
        <v>Monetizar</v>
      </c>
      <c r="V130">
        <v>45807</v>
      </c>
      <c r="W130" t="str">
        <v>Alfonso Fonseca A</v>
      </c>
      <c r="X130" t="str">
        <v>Alfonso Fonseca A</v>
      </c>
      <c r="Y130" t="str">
        <v>Se monetiza ya que el valor ofrecido por el banco en cada divisa es superior al valor facturado</v>
      </c>
      <c r="Z130">
        <f>K130*O130</f>
        <v>125635200.70500001</v>
      </c>
      <c r="AA130">
        <f>Z130-Q130</f>
        <v>289826.47500000894</v>
      </c>
    </row>
    <row r="131">
      <c r="B131">
        <v>100</v>
      </c>
      <c r="C131" t="str">
        <v>Equus Global Expansion, LLC</v>
      </c>
      <c r="D131">
        <v>5977</v>
      </c>
      <c r="E131">
        <v>45807</v>
      </c>
      <c r="F131">
        <v>45867</v>
      </c>
      <c r="J131">
        <f>IFERROR(IF(TODAY()&gt;=E131,(TODAY()-E131)/I131,0),0)*0</f>
        <v>0</v>
      </c>
      <c r="K131">
        <v>380.62</v>
      </c>
      <c r="L131">
        <v>380.62</v>
      </c>
      <c r="M131">
        <f>K131-L131</f>
        <v>0</v>
      </c>
      <c r="N131">
        <v>4026.54</v>
      </c>
      <c r="O131">
        <v>4125.3</v>
      </c>
      <c r="P131">
        <f>O131-N131</f>
        <v>98.76000000000022</v>
      </c>
      <c r="Q131">
        <f>K131*N131</f>
        <v>1532581.6548</v>
      </c>
      <c r="R131">
        <f>L131*O131</f>
        <v>1570171.686</v>
      </c>
      <c r="S131">
        <f>R131-Q131</f>
        <v>37590.031200000085</v>
      </c>
      <c r="T131" t="str">
        <f>IF(R131&lt;= Q131,"No Monetizar","Monetizar")</f>
        <v>Monetizar</v>
      </c>
      <c r="V131">
        <v>45811</v>
      </c>
      <c r="W131" t="str">
        <v>Alfonso Fonseca A</v>
      </c>
      <c r="X131" t="str">
        <v>Alfonso Fonseca A</v>
      </c>
      <c r="Y131" t="str">
        <v>Se monetiza ya que el valor ofrecido por el banco en cada divisa es superior al valor facturado</v>
      </c>
      <c r="Z131">
        <f>K131*O131</f>
        <v>1570171.686</v>
      </c>
      <c r="AA131">
        <f>Z131-Q131</f>
        <v>37590.031200000085</v>
      </c>
    </row>
    <row r="132">
      <c r="B132">
        <v>101</v>
      </c>
      <c r="C132" t="str">
        <v>Equus Global Expansion, LLC</v>
      </c>
      <c r="D132">
        <v>5978</v>
      </c>
      <c r="E132">
        <v>45807</v>
      </c>
      <c r="F132">
        <v>45867</v>
      </c>
      <c r="J132">
        <f>IFERROR(IF(TODAY()&gt;=E132,(TODAY()-E132)/I132,0),0)*0</f>
        <v>0</v>
      </c>
      <c r="K132">
        <v>1452.42</v>
      </c>
      <c r="L132">
        <v>1452.42</v>
      </c>
      <c r="M132">
        <f>K132-L132</f>
        <v>0</v>
      </c>
      <c r="N132">
        <v>4026.54</v>
      </c>
      <c r="O132">
        <v>4125.3</v>
      </c>
      <c r="P132">
        <f>O132-N132</f>
        <v>98.76000000000022</v>
      </c>
      <c r="Q132">
        <f>K132*N132</f>
        <v>5848227.2268</v>
      </c>
      <c r="R132">
        <f>L132*O132</f>
        <v>5991668.226000001</v>
      </c>
      <c r="S132">
        <f>R132-Q132</f>
        <v>143440.99920000043</v>
      </c>
      <c r="T132" t="str">
        <f>IF(R132&lt;= Q132,"No Monetizar","Monetizar")</f>
        <v>Monetizar</v>
      </c>
      <c r="V132">
        <v>45811</v>
      </c>
      <c r="W132" t="str">
        <v>Alfonso Fonseca A</v>
      </c>
      <c r="X132" t="str">
        <v>Alfonso Fonseca A</v>
      </c>
      <c r="Y132" t="str">
        <v>Se monetiza ya que el valor ofrecido por el banco en cada divisa es superior al valor facturado</v>
      </c>
      <c r="Z132">
        <f>K132*O132</f>
        <v>5991668.226000001</v>
      </c>
      <c r="AA132">
        <f>Z132-Q132</f>
        <v>143440.99920000043</v>
      </c>
    </row>
    <row r="133">
      <c r="B133">
        <v>102</v>
      </c>
      <c r="C133" t="str">
        <v>Hemmebarsch GMBH &amp; Co KG</v>
      </c>
      <c r="D133">
        <v>5865</v>
      </c>
      <c r="E133">
        <v>45799</v>
      </c>
      <c r="F133">
        <v>45859</v>
      </c>
      <c r="J133">
        <f>IFERROR(IF(TODAY()&gt;=E133,(TODAY()-E133)/I133,0),0)*0</f>
        <v>0</v>
      </c>
      <c r="K133">
        <v>1781.74</v>
      </c>
      <c r="L133">
        <v>1781.74</v>
      </c>
      <c r="M133">
        <f>K133-L133</f>
        <v>0</v>
      </c>
      <c r="N133">
        <v>4186.17</v>
      </c>
      <c r="O133">
        <v>4186.5</v>
      </c>
      <c r="P133">
        <f>O133-N133</f>
        <v>0.32999999999992724</v>
      </c>
      <c r="Q133">
        <f>K133*N133</f>
        <v>7458666.5358</v>
      </c>
      <c r="R133">
        <f>L133*O133</f>
        <v>7459254.51</v>
      </c>
      <c r="S133">
        <f>R133-Q133</f>
        <v>587.9742000000551</v>
      </c>
      <c r="T133" t="str">
        <f>IF(R133&lt;= Q133,"No Monetizar","Monetizar")</f>
        <v>Monetizar</v>
      </c>
      <c r="V133">
        <v>45818</v>
      </c>
      <c r="W133" t="str">
        <v>Alfonso Fonseca A</v>
      </c>
      <c r="X133" t="str">
        <v>Alfonso Fonseca A</v>
      </c>
      <c r="Y133" t="str">
        <v>Se monetiza ya que el valor ofrecido por el banco en cada divisa es superior al valor facturado</v>
      </c>
      <c r="Z133">
        <f>K133*O133</f>
        <v>7459254.51</v>
      </c>
      <c r="AA133">
        <f>Z133-Q133</f>
        <v>587.9742000000551</v>
      </c>
    </row>
    <row r="134">
      <c r="B134">
        <v>103</v>
      </c>
      <c r="C134" t="str">
        <v>Hemmebarsch GMBH &amp; Co KG</v>
      </c>
      <c r="D134">
        <v>5866</v>
      </c>
      <c r="E134">
        <v>45799</v>
      </c>
      <c r="F134">
        <v>45859</v>
      </c>
      <c r="J134">
        <f>IFERROR(IF(TODAY()&gt;=E134,(TODAY()-E134)/I134,0),0)*0</f>
        <v>0</v>
      </c>
      <c r="K134">
        <v>1113.69</v>
      </c>
      <c r="L134">
        <v>1113.69</v>
      </c>
      <c r="M134">
        <f>K134-L134</f>
        <v>0</v>
      </c>
      <c r="N134">
        <v>4186.17</v>
      </c>
      <c r="O134">
        <v>4186.5</v>
      </c>
      <c r="P134">
        <f>O134-N134</f>
        <v>0.32999999999992724</v>
      </c>
      <c r="Q134">
        <f>K134*N134</f>
        <v>4662095.6673</v>
      </c>
      <c r="R134">
        <f>L134*O134</f>
        <v>4662463.1850000005</v>
      </c>
      <c r="S134">
        <f>R134-Q134</f>
        <v>367.5177000006661</v>
      </c>
      <c r="T134" t="str">
        <f>IF(R134&lt;= Q134,"No Monetizar","Monetizar")</f>
        <v>Monetizar</v>
      </c>
      <c r="V134">
        <v>45818</v>
      </c>
      <c r="W134" t="str">
        <v>Alfonso Fonseca A</v>
      </c>
      <c r="X134" t="str">
        <v>Alfonso Fonseca A</v>
      </c>
      <c r="Y134" t="str">
        <v>Se monetiza ya que el valor ofrecido por el banco en cada divisa es superior al valor facturado</v>
      </c>
      <c r="Z134">
        <f>K134*O134</f>
        <v>4662463.1850000005</v>
      </c>
      <c r="AA134">
        <f>Z134-Q134</f>
        <v>367.5177000006661</v>
      </c>
    </row>
    <row r="135">
      <c r="B135">
        <v>104</v>
      </c>
      <c r="C135" t="str">
        <v>Insider</v>
      </c>
      <c r="D135">
        <v>5939</v>
      </c>
      <c r="E135">
        <v>45804</v>
      </c>
      <c r="F135">
        <v>45864</v>
      </c>
      <c r="J135">
        <f>IFERROR(IF(TODAY()&gt;=E135,(TODAY()-E135)/I135,0),0)*0</f>
        <v>0</v>
      </c>
      <c r="K135">
        <v>976</v>
      </c>
      <c r="L135">
        <v>971</v>
      </c>
      <c r="M135">
        <f>K135-L135</f>
        <v>5</v>
      </c>
      <c r="N135">
        <v>4160.25</v>
      </c>
      <c r="O135">
        <v>4187.5</v>
      </c>
      <c r="P135">
        <f>O135-N135</f>
        <v>27.25</v>
      </c>
      <c r="Q135">
        <f>K135*N135</f>
        <v>4060404</v>
      </c>
      <c r="R135">
        <f>L135*O135</f>
        <v>4066062.5</v>
      </c>
      <c r="S135">
        <f>R135-Q135</f>
        <v>5658.5</v>
      </c>
      <c r="T135" t="str">
        <f>IF(R135&lt;= Q135,"No Monetizar","Monetizar")</f>
        <v>Monetizar</v>
      </c>
      <c r="V135">
        <v>45818</v>
      </c>
      <c r="W135" t="str">
        <v>Alfonso Fonseca A</v>
      </c>
      <c r="X135" t="str">
        <v>Alfonso Fonseca A</v>
      </c>
      <c r="Y135" t="str">
        <v>Se monetiza ya que el valor ofrecido por el banco en cada divisa es superior al valor facturado</v>
      </c>
      <c r="Z135">
        <f>K135*O135</f>
        <v>4087000</v>
      </c>
      <c r="AA135">
        <f>Z135-Q135</f>
        <v>26596</v>
      </c>
    </row>
    <row r="136">
      <c r="B136">
        <v>105</v>
      </c>
      <c r="C136" t="str">
        <v>Safeguard Payroll LLC</v>
      </c>
      <c r="D136" t="str">
        <v>5828,5829,5830,5831,5832</v>
      </c>
      <c r="E136">
        <v>45814</v>
      </c>
      <c r="F136">
        <v>45874</v>
      </c>
      <c r="J136">
        <f>IFERROR(IF(TODAY()&gt;=E136,(TODAY()-E136)/I136,0),0)*0</f>
        <v>0</v>
      </c>
      <c r="K136">
        <v>10116.15</v>
      </c>
      <c r="L136">
        <v>10116.15</v>
      </c>
      <c r="M136">
        <f>K136-L136</f>
        <v>0</v>
      </c>
      <c r="N136">
        <v>4152.59</v>
      </c>
      <c r="O136">
        <v>4186.5</v>
      </c>
      <c r="P136">
        <f>O136-N136</f>
        <v>33.909999999999854</v>
      </c>
      <c r="Q136">
        <f>K136*N136</f>
        <v>42008223.3285</v>
      </c>
      <c r="R136">
        <f>L136*O136</f>
        <v>42351261.975</v>
      </c>
      <c r="S136">
        <f>R136-Q136</f>
        <v>343038.64649999887</v>
      </c>
      <c r="T136" t="str">
        <f>IF(R136&lt;= Q136,"No Monetizar","Monetizar")</f>
        <v>Monetizar</v>
      </c>
      <c r="V136">
        <v>45818</v>
      </c>
      <c r="W136" t="str">
        <v>Alfonso Fonseca A</v>
      </c>
      <c r="X136" t="str">
        <v>Alfonso Fonseca A</v>
      </c>
      <c r="Y136" t="str">
        <v>Se monetiza ya que el valor ofrecido por el banco en cada divisa es superior al valor facturado</v>
      </c>
      <c r="Z136">
        <f>K136*O136</f>
        <v>42351261.975</v>
      </c>
      <c r="AA136">
        <f>Z136-Q136</f>
        <v>343038.64649999887</v>
      </c>
    </row>
    <row r="137">
      <c r="B137">
        <v>106</v>
      </c>
      <c r="C137" t="str">
        <v>Remofirst</v>
      </c>
      <c r="D137">
        <v>5961</v>
      </c>
      <c r="E137">
        <v>45800</v>
      </c>
      <c r="F137">
        <v>45860</v>
      </c>
      <c r="J137">
        <f>IFERROR(IF(TODAY()&gt;=E137,(TODAY()-E137)/I137,0),0)*0</f>
        <v>0</v>
      </c>
      <c r="K137">
        <v>1569.4</v>
      </c>
      <c r="L137">
        <v>1569.4</v>
      </c>
      <c r="M137">
        <f>K137-L137</f>
        <v>0</v>
      </c>
      <c r="N137">
        <v>4186.79</v>
      </c>
      <c r="O137">
        <v>4193</v>
      </c>
      <c r="P137">
        <f>O137-N137</f>
        <v>6.210000000000036</v>
      </c>
      <c r="Q137">
        <f>K137*N137</f>
        <v>6570748.226000001</v>
      </c>
      <c r="R137">
        <f>L137*O137</f>
        <v>6580494.2</v>
      </c>
      <c r="S137">
        <f>R137-Q137</f>
        <v>9745.973999999464</v>
      </c>
      <c r="T137" t="str">
        <f>IF(R137&lt;= Q137,"No Monetizar","Monetizar")</f>
        <v>Monetizar</v>
      </c>
      <c r="V137">
        <v>45818</v>
      </c>
      <c r="W137" t="str">
        <v>Alfonso Fonseca A</v>
      </c>
      <c r="X137" t="str">
        <v>Alfonso Fonseca A</v>
      </c>
      <c r="Y137" t="str">
        <v>Se monetiza ya que el valor ofrecido por el banco en cada divisa es superior al valor facturado</v>
      </c>
      <c r="Z137">
        <f>K137*O137</f>
        <v>6580494.2</v>
      </c>
      <c r="AA137">
        <f>Z137-Q137</f>
        <v>9745.973999999464</v>
      </c>
    </row>
    <row r="138">
      <c r="B138">
        <v>107</v>
      </c>
      <c r="C138" t="str">
        <v>Bubble BPM</v>
      </c>
      <c r="D138">
        <v>5960</v>
      </c>
      <c r="E138">
        <v>45793</v>
      </c>
      <c r="F138">
        <v>45853</v>
      </c>
      <c r="J138">
        <f>IFERROR(IF(TODAY()&gt;=E138,(TODAY()-E138)/I138,0),0)*0</f>
        <v>0</v>
      </c>
      <c r="K138">
        <v>1203.69</v>
      </c>
      <c r="L138">
        <v>1173.69</v>
      </c>
      <c r="M138">
        <f>K138-L138</f>
        <v>30</v>
      </c>
      <c r="N138">
        <v>4094.18</v>
      </c>
      <c r="O138">
        <v>4200.1</v>
      </c>
      <c r="P138">
        <f>O138-N138</f>
        <v>105.92000000000053</v>
      </c>
      <c r="Q138">
        <f>K138*N138</f>
        <v>4928123.5242</v>
      </c>
      <c r="R138">
        <f>L138*O138</f>
        <v>4929615.369000001</v>
      </c>
      <c r="S138">
        <f>R138-Q138</f>
        <v>1491.8448000010103</v>
      </c>
      <c r="T138" t="str">
        <f>IF(R138&lt;= Q138,"No Monetizar","Monetizar")</f>
        <v>Monetizar</v>
      </c>
      <c r="V138">
        <v>45818</v>
      </c>
      <c r="W138" t="str">
        <v>Alfonso Fonseca A</v>
      </c>
      <c r="X138" t="str">
        <v>Alfonso Fonseca A</v>
      </c>
      <c r="Y138" t="str">
        <v>Se monetiza ya que el valor ofrecido por el banco en cada divisa es superior al valor facturado</v>
      </c>
      <c r="Z138">
        <f>K138*O138</f>
        <v>5055618.369000001</v>
      </c>
      <c r="AA138">
        <f>Z138-Q138</f>
        <v>127494.84480000101</v>
      </c>
    </row>
    <row r="139">
      <c r="B139">
        <v>108</v>
      </c>
      <c r="C139" t="str">
        <v>Action</v>
      </c>
      <c r="D139">
        <v>6008</v>
      </c>
      <c r="E139">
        <v>45819</v>
      </c>
      <c r="F139">
        <v>45879</v>
      </c>
      <c r="J139">
        <f>IFERROR(IF(TODAY()&gt;=E139,(TODAY()-E139)/I139,0),0)*0</f>
        <v>0</v>
      </c>
      <c r="K139">
        <v>3491.88</v>
      </c>
      <c r="L139">
        <v>3491.88</v>
      </c>
      <c r="M139">
        <f>K139-L139</f>
        <v>0</v>
      </c>
      <c r="N139">
        <v>3977.66</v>
      </c>
      <c r="O139">
        <v>4173</v>
      </c>
      <c r="P139">
        <f>O139-N139</f>
        <v>195.34000000000015</v>
      </c>
      <c r="Q139">
        <f>K139*N139</f>
        <v>13889511.400799999</v>
      </c>
      <c r="R139">
        <f>L139*O139</f>
        <v>14571615.24</v>
      </c>
      <c r="S139">
        <f>R139-Q139</f>
        <v>682103.8392000012</v>
      </c>
      <c r="T139" t="str">
        <f>IF(R139&lt;= Q139,"No Monetizar","Monetizar")</f>
        <v>Monetizar</v>
      </c>
      <c r="V139">
        <v>45819</v>
      </c>
      <c r="W139" t="str">
        <v>Alfonso Fonseca A</v>
      </c>
      <c r="X139" t="str">
        <v>Alfonso Fonseca A</v>
      </c>
      <c r="Y139" t="str">
        <v>Se monetiza ya que el valor ofrecido por el banco en cada divisa es superior al valor facturado</v>
      </c>
      <c r="Z139">
        <f>K139*O139</f>
        <v>14571615.24</v>
      </c>
      <c r="AA139">
        <f>Z139-Q139</f>
        <v>682103.8392000012</v>
      </c>
    </row>
    <row r="140">
      <c r="B140">
        <v>109</v>
      </c>
      <c r="C140" t="str">
        <v>Remofirst</v>
      </c>
      <c r="D140">
        <v>6009</v>
      </c>
      <c r="E140">
        <v>45819</v>
      </c>
      <c r="F140">
        <v>45879</v>
      </c>
      <c r="J140">
        <f>IFERROR(IF(TODAY()&gt;=E140,(TODAY()-E140)/I140,0),0)*0</f>
        <v>0</v>
      </c>
      <c r="K140">
        <v>12826.45</v>
      </c>
      <c r="L140">
        <v>12826.45</v>
      </c>
      <c r="M140">
        <f>K140-L140</f>
        <v>0</v>
      </c>
      <c r="N140">
        <v>3957.85</v>
      </c>
      <c r="O140">
        <v>4140</v>
      </c>
      <c r="P140">
        <f>O140-N140</f>
        <v>182.1500000000001</v>
      </c>
      <c r="Q140">
        <f>K140*N140</f>
        <v>50765165.1325</v>
      </c>
      <c r="R140">
        <f>L140*O140</f>
        <v>53101503</v>
      </c>
      <c r="S140">
        <f>R140-Q140</f>
        <v>2336337.8674999997</v>
      </c>
      <c r="T140" t="str">
        <f>IF(R140&lt;= Q140,"No Monetizar","Monetizar")</f>
        <v>Monetizar</v>
      </c>
      <c r="V140">
        <v>45821</v>
      </c>
      <c r="W140" t="str">
        <v>Alfonso Fonseca A</v>
      </c>
      <c r="X140" t="str">
        <v>Alfonso Fonseca A</v>
      </c>
      <c r="Y140" t="str">
        <v>Se monetiza ya que el valor ofrecido por el banco en cada divisa es superior al valor facturado</v>
      </c>
      <c r="Z140">
        <f>K140*O140</f>
        <v>53101503</v>
      </c>
      <c r="AA140">
        <f>Z140-Q140</f>
        <v>2336337.8674999997</v>
      </c>
    </row>
    <row r="141">
      <c r="B141">
        <v>110</v>
      </c>
      <c r="C141" t="str">
        <v>Flexco</v>
      </c>
      <c r="D141">
        <v>6028</v>
      </c>
      <c r="E141">
        <v>45825</v>
      </c>
      <c r="F141">
        <v>45885</v>
      </c>
      <c r="J141">
        <f>IFERROR(IF(TODAY()&gt;=E141,(TODAY()-E141)/I141,0),0)*0</f>
        <v>0</v>
      </c>
      <c r="K141">
        <v>3758.59</v>
      </c>
      <c r="L141">
        <v>3748.59</v>
      </c>
      <c r="M141">
        <f>K141-L141</f>
        <v>10</v>
      </c>
      <c r="N141">
        <v>4049.13</v>
      </c>
      <c r="O141">
        <v>4065.2</v>
      </c>
      <c r="P141">
        <f>O141-N141</f>
        <v>16.06999999999971</v>
      </c>
      <c r="Q141">
        <f>K141*N141</f>
        <v>15219019.526700001</v>
      </c>
      <c r="R141">
        <f>L141*O141</f>
        <v>15238768.068</v>
      </c>
      <c r="S141">
        <f>R141-Q141</f>
        <v>19748.54129999876</v>
      </c>
      <c r="T141" t="str">
        <f>IF(R141&lt;= Q141,"No Monetizar","Monetizar")</f>
        <v>Monetizar</v>
      </c>
      <c r="V141">
        <v>45826</v>
      </c>
      <c r="W141" t="str">
        <v>Alfonso Fonseca A</v>
      </c>
      <c r="X141" t="str">
        <v>Alfonso Fonseca A</v>
      </c>
      <c r="Y141" t="str">
        <v>Se monetiza ya que el valor ofrecido por el banco en cada divisa es superior al valor facturado</v>
      </c>
      <c r="Z141">
        <f>K141*O141</f>
        <v>15279420.068</v>
      </c>
      <c r="AA141">
        <f>Z141-Q141</f>
        <v>60400.54129999876</v>
      </c>
    </row>
    <row r="142">
      <c r="B142">
        <v>111</v>
      </c>
      <c r="C142" t="str">
        <v>Marketing Doctors</v>
      </c>
      <c r="D142">
        <v>6027</v>
      </c>
      <c r="E142">
        <v>45825</v>
      </c>
      <c r="F142">
        <v>45885</v>
      </c>
      <c r="J142">
        <f>IFERROR(IF(TODAY()&gt;=E142,(TODAY()-E142)/I142,0),0)*0</f>
        <v>0</v>
      </c>
      <c r="K142">
        <v>2374.58</v>
      </c>
      <c r="L142">
        <v>2374.58</v>
      </c>
      <c r="M142">
        <f>K142-L142</f>
        <v>0</v>
      </c>
      <c r="N142">
        <v>4049.13</v>
      </c>
      <c r="O142">
        <v>4065.2</v>
      </c>
      <c r="P142">
        <f>O142-N142</f>
        <v>16.06999999999971</v>
      </c>
      <c r="Q142">
        <f>K142*N142</f>
        <v>9614983.1154</v>
      </c>
      <c r="R142">
        <f>L142*O142</f>
        <v>9653142.615999999</v>
      </c>
      <c r="S142">
        <f>R142-Q142</f>
        <v>38159.50059999898</v>
      </c>
      <c r="T142" t="str">
        <f>IF(R142&lt;= Q142,"No Monetizar","Monetizar")</f>
        <v>Monetizar</v>
      </c>
      <c r="V142">
        <v>45826</v>
      </c>
      <c r="W142" t="str">
        <v>Alfonso Fonseca A</v>
      </c>
      <c r="X142" t="str">
        <v>Alfonso Fonseca A</v>
      </c>
      <c r="Y142" t="str">
        <v>Se monetiza ya que el valor ofrecido por el banco en cada divisa es superior al valor facturado</v>
      </c>
      <c r="Z142">
        <f>K142*O142</f>
        <v>9653142.615999999</v>
      </c>
      <c r="AA142">
        <f>Z142-Q142</f>
        <v>38159.50059999898</v>
      </c>
    </row>
    <row r="143">
      <c r="B143">
        <v>112</v>
      </c>
      <c r="C143" t="str">
        <v xml:space="preserve">Neo </v>
      </c>
      <c r="D143">
        <v>6031</v>
      </c>
      <c r="E143">
        <v>45827</v>
      </c>
      <c r="F143">
        <v>45887</v>
      </c>
      <c r="J143">
        <f>IFERROR(IF(TODAY()&gt;=E143,(TODAY()-E143)/I143,0),0)*0</f>
        <v>0</v>
      </c>
      <c r="K143">
        <v>25064.35</v>
      </c>
      <c r="L143">
        <v>25018.35</v>
      </c>
      <c r="M143">
        <f>K143-L143</f>
        <v>46</v>
      </c>
      <c r="N143">
        <v>4019.13</v>
      </c>
      <c r="O143">
        <v>4051</v>
      </c>
      <c r="P143">
        <f>O143-N143</f>
        <v>31.86999999999989</v>
      </c>
      <c r="Q143">
        <f>K143*N143</f>
        <v>100736881.0155</v>
      </c>
      <c r="R143">
        <f>L143*O143</f>
        <v>101349335.85</v>
      </c>
      <c r="S143">
        <f>R143-Q143</f>
        <v>612454.8344999999</v>
      </c>
      <c r="T143" t="str">
        <f>IF(R143&lt;= Q143,"No Monetizar","Monetizar")</f>
        <v>Monetizar</v>
      </c>
      <c r="V143">
        <v>45828</v>
      </c>
      <c r="W143" t="str">
        <v>Alfonso Fonseca A</v>
      </c>
      <c r="X143" t="str">
        <v>Alfonso Fonseca A</v>
      </c>
      <c r="Y143" t="str">
        <v>Se monetiza ya que el valor ofrecido por el banco en cada divisa es superior al valor facturado</v>
      </c>
      <c r="Z143">
        <f>K143*O143</f>
        <v>101535681.85</v>
      </c>
      <c r="AA143">
        <f>Z143-Q143</f>
        <v>798800.8344999999</v>
      </c>
    </row>
    <row r="144">
      <c r="B144">
        <v>113</v>
      </c>
      <c r="C144" t="str">
        <v>Nazdar ink technologies</v>
      </c>
      <c r="D144">
        <v>6029</v>
      </c>
      <c r="E144">
        <v>45827</v>
      </c>
      <c r="F144">
        <v>45887</v>
      </c>
      <c r="J144">
        <f>IFERROR(IF(TODAY()&gt;=E144,(TODAY()-E144)/I144,0),0)*0</f>
        <v>0</v>
      </c>
      <c r="K144">
        <v>15808.63</v>
      </c>
      <c r="L144">
        <v>15793.63</v>
      </c>
      <c r="M144">
        <f>K144-L144</f>
        <v>15</v>
      </c>
      <c r="N144">
        <v>4049.13</v>
      </c>
      <c r="O144">
        <v>4066</v>
      </c>
      <c r="P144">
        <f>O144-N144</f>
        <v>16.86999999999989</v>
      </c>
      <c r="Q144">
        <f>K144*N144</f>
        <v>64011197.9919</v>
      </c>
      <c r="R144">
        <f>L144*O144</f>
        <v>64216899.58</v>
      </c>
      <c r="S144">
        <f>R144-Q144</f>
        <v>205701.58810000122</v>
      </c>
      <c r="T144" t="str">
        <f>IF(R144&lt;= Q144,"No Monetizar","Monetizar")</f>
        <v>Monetizar</v>
      </c>
      <c r="V144">
        <v>45828</v>
      </c>
      <c r="W144" t="str">
        <v>Alfonso Fonseca A</v>
      </c>
      <c r="X144" t="str">
        <v>Alfonso Fonseca A</v>
      </c>
      <c r="Y144" t="str">
        <v>Se monetiza ya que el valor ofrecido por el banco en cada divisa es superior al valor facturado</v>
      </c>
      <c r="Z144">
        <f>K144*O144</f>
        <v>64277889.58</v>
      </c>
      <c r="AA144">
        <f>Z144-Q144</f>
        <v>266691.5881000012</v>
      </c>
    </row>
    <row r="145">
      <c r="B145">
        <v>114</v>
      </c>
      <c r="C145" t="str">
        <v>Equus Global Expansion, LLC</v>
      </c>
      <c r="D145">
        <v>6026</v>
      </c>
      <c r="E145">
        <v>45826</v>
      </c>
      <c r="F145">
        <v>45886</v>
      </c>
      <c r="J145">
        <f>IFERROR(IF(TODAY()&gt;=E145,(TODAY()-E145)/I145,0),0)*0</f>
        <v>0</v>
      </c>
      <c r="K145">
        <v>1446.97</v>
      </c>
      <c r="L145">
        <v>1446.97</v>
      </c>
      <c r="M145">
        <f>K145-L145</f>
        <v>0</v>
      </c>
      <c r="N145">
        <v>4049.13</v>
      </c>
      <c r="O145">
        <v>4066.2</v>
      </c>
      <c r="P145">
        <f>O145-N145</f>
        <v>17.06999999999971</v>
      </c>
      <c r="Q145">
        <f>K145*N145</f>
        <v>5858969.636100001</v>
      </c>
      <c r="R145">
        <f>L145*O145</f>
        <v>5883669.414</v>
      </c>
      <c r="S145">
        <f>R145-Q145</f>
        <v>24699.77789999917</v>
      </c>
      <c r="T145" t="str">
        <f>IF(R145&lt;= Q145,"No Monetizar","Monetizar")</f>
        <v>Monetizar</v>
      </c>
      <c r="V145">
        <v>45828</v>
      </c>
      <c r="W145" t="str">
        <v>Alfonso Fonseca A</v>
      </c>
      <c r="X145" t="str">
        <v>Alfonso Fonseca A</v>
      </c>
      <c r="Y145" t="str">
        <v>Se monetiza ya que el valor ofrecido por el banco en cada divisa es superior al valor facturado</v>
      </c>
      <c r="Z145">
        <f>K145*O145</f>
        <v>5883669.414</v>
      </c>
      <c r="AA145">
        <f>Z145-Q145</f>
        <v>24699.77789999917</v>
      </c>
    </row>
    <row r="146" xml:space="preserve">
      <c r="B146">
        <v>115</v>
      </c>
      <c r="C146" t="str">
        <v>Bubble BPM</v>
      </c>
      <c r="D146">
        <v>5873</v>
      </c>
      <c r="E146">
        <v>45771</v>
      </c>
      <c r="F146">
        <v>45828</v>
      </c>
      <c r="J146">
        <f>IFERROR(IF(TODAY()&gt;=E146,(TODAY()-E146)/I146,0),0)*0</f>
        <v>0</v>
      </c>
      <c r="K146">
        <v>758.25</v>
      </c>
      <c r="L146">
        <v>745.3208029487492</v>
      </c>
      <c r="M146">
        <f>K146-L146</f>
        <v>12.929197051250753</v>
      </c>
      <c r="N146">
        <v>4097.73</v>
      </c>
      <c r="O146">
        <v>4062.1</v>
      </c>
      <c r="P146">
        <f>O146-N146</f>
        <v>-35.629999999999654</v>
      </c>
      <c r="Q146">
        <f>K146*N146</f>
        <v>3107103.7724999995</v>
      </c>
      <c r="R146">
        <f>L146*O146</f>
        <v>3027567.6336581144</v>
      </c>
      <c r="S146">
        <f>R146-Q146</f>
        <v>-79536.13884188514</v>
      </c>
      <c r="T146" t="str">
        <f>IF(R146&lt;= Q146,"No Monetizar","Monetizar")</f>
        <v>No Monetizar</v>
      </c>
      <c r="V146">
        <v>45828</v>
      </c>
      <c r="W146" t="str">
        <v>Alfonso Fonseca A</v>
      </c>
      <c r="X146" t="str">
        <v>Alfonso Fonseca A</v>
      </c>
      <c r="Y146" t="str" xml:space="preserve">
        <v xml:space="preserve">Se ha decidido monetizar estas divisas a pesar de que el valor recibido está por debajo del monto facturado, considerando que la fecha límite para su devolución vencía el próximo lunes festivo 23 de Junio._x000d_
_x000d_
Adicionalmente, al momento del cobro, la TRM se encontraba en $4.097,73, mientras que en la actualidad la divisa ha registrado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46">
        <f>K146*O146</f>
        <v>3080087.3249999997</v>
      </c>
      <c r="AA146">
        <f>Z146-Q146</f>
        <v>-27016.447499999776</v>
      </c>
    </row>
    <row r="147" xml:space="preserve">
      <c r="B147">
        <v>116</v>
      </c>
      <c r="C147" t="str">
        <v>Bubble BPM</v>
      </c>
      <c r="D147">
        <v>5881</v>
      </c>
      <c r="E147">
        <v>45771</v>
      </c>
      <c r="F147">
        <v>45828</v>
      </c>
      <c r="J147">
        <f>IFERROR(IF(TODAY()&gt;=E147,(TODAY()-E147)/I147,0),0)*0</f>
        <v>0</v>
      </c>
      <c r="K147">
        <v>1001.14</v>
      </c>
      <c r="L147">
        <v>984.0691970512507</v>
      </c>
      <c r="M147">
        <f>K147-L147</f>
        <v>17.070802948749247</v>
      </c>
      <c r="N147">
        <v>4357.39</v>
      </c>
      <c r="O147">
        <v>4062.1</v>
      </c>
      <c r="P147">
        <f>O147-N147</f>
        <v>-295.2900000000004</v>
      </c>
      <c r="Q147">
        <f>K147*N147</f>
        <v>4362357.4246000005</v>
      </c>
      <c r="R147">
        <f>L147*O147</f>
        <v>3997387.4853418856</v>
      </c>
      <c r="S147">
        <f>R147-Q147</f>
        <v>-364969.9392581149</v>
      </c>
      <c r="T147" t="str">
        <f>IF(R147&lt;= Q147,"No Monetizar","Monetizar")</f>
        <v>No Monetizar</v>
      </c>
      <c r="V147">
        <v>45828</v>
      </c>
      <c r="W147" t="str">
        <v>Alfonso Fonseca A</v>
      </c>
      <c r="X147" t="str">
        <v>Alfonso Fonseca A</v>
      </c>
      <c r="Y147" t="str" xml:space="preserve">
        <v xml:space="preserve">Se ha decidido monetizar estas divisas a pesar de que el valor recibido está por debajo del monto facturado, considerando que la fecha límite para su devolución vencía el próximo lunes festivo 23 de Junio._x000d_
_x000d_
Adicionalmente, al momento del cobro, la TRM se encontraba en $4.357,39, mientras que en la actualidad la divisa ha registrado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47">
        <f>K147*O147</f>
        <v>4066730.7939999998</v>
      </c>
      <c r="AA147">
        <f>Z147-Q147</f>
        <v>-295626.63060000073</v>
      </c>
    </row>
    <row r="148">
      <c r="B148">
        <v>117</v>
      </c>
      <c r="C148" t="str">
        <v>Remofisrt</v>
      </c>
      <c r="D148">
        <v>6015</v>
      </c>
      <c r="E148">
        <v>45831</v>
      </c>
      <c r="F148">
        <v>45891</v>
      </c>
      <c r="J148">
        <f>IFERROR(IF(TODAY()&gt;=E148,(TODAY()-E148)/I148,0),0)*0</f>
        <v>0</v>
      </c>
      <c r="K148">
        <v>261338.74</v>
      </c>
      <c r="L148">
        <v>261338.74</v>
      </c>
      <c r="M148">
        <f>K148-L148</f>
        <v>0</v>
      </c>
      <c r="N148">
        <v>3957.85</v>
      </c>
      <c r="O148">
        <v>4074</v>
      </c>
      <c r="P148">
        <f>O148-N148</f>
        <v>116.15000000000009</v>
      </c>
      <c r="Q148">
        <f>K148*N148</f>
        <v>1034339532.109</v>
      </c>
      <c r="R148">
        <f>L148*O148</f>
        <v>1064694026.76</v>
      </c>
      <c r="S148">
        <f>R148-Q148</f>
        <v>30354494.651000023</v>
      </c>
      <c r="T148" t="str">
        <f>IF(R148&lt;= Q148,"No Monetizar","Monetizar")</f>
        <v>Monetizar</v>
      </c>
      <c r="V148">
        <v>45832</v>
      </c>
      <c r="W148" t="str">
        <v>Alfonso Fonseca A</v>
      </c>
      <c r="X148" t="str">
        <v>Alfonso Fonseca A</v>
      </c>
      <c r="Y148" t="str">
        <v>Se monetiza ya que el valor ofrecido por el banco en cada divisa es superior al valor facturado</v>
      </c>
      <c r="Z148">
        <f>K148*O148</f>
        <v>1064694026.76</v>
      </c>
      <c r="AA148">
        <f>Z148-Q148</f>
        <v>30354494.651000023</v>
      </c>
    </row>
    <row r="149">
      <c r="B149">
        <v>118</v>
      </c>
      <c r="C149" t="str">
        <v>Oncehub</v>
      </c>
      <c r="D149">
        <v>6030</v>
      </c>
      <c r="E149">
        <v>45831</v>
      </c>
      <c r="F149">
        <v>45891</v>
      </c>
      <c r="J149">
        <f>IFERROR(IF(TODAY()&gt;=E149,(TODAY()-E149)/I149,0),0)*0</f>
        <v>0</v>
      </c>
      <c r="K149">
        <v>4351.06</v>
      </c>
      <c r="L149">
        <v>4331.06</v>
      </c>
      <c r="M149">
        <f>K149-L149</f>
        <v>20</v>
      </c>
      <c r="N149">
        <v>4049.13</v>
      </c>
      <c r="O149">
        <v>4073.5</v>
      </c>
      <c r="P149">
        <f>O149-N149</f>
        <v>24.36999999999989</v>
      </c>
      <c r="Q149">
        <f>K149*N149</f>
        <v>17618007.577800002</v>
      </c>
      <c r="R149">
        <f>L149*O149</f>
        <v>17642572.91</v>
      </c>
      <c r="S149">
        <f>R149-Q149</f>
        <v>24565.3321999982</v>
      </c>
      <c r="T149" t="str">
        <f>IF(R149&lt;= Q149,"No Monetizar","Monetizar")</f>
        <v>Monetizar</v>
      </c>
      <c r="V149">
        <v>45832</v>
      </c>
      <c r="W149" t="str">
        <v>Alfonso Fonseca A</v>
      </c>
      <c r="X149" t="str">
        <v>Alfonso Fonseca A</v>
      </c>
      <c r="Y149" t="str">
        <v>Se monetiza ya que el valor ofrecido por el banco en cada divisa es superior al valor facturado</v>
      </c>
      <c r="Z149">
        <f>K149*O149</f>
        <v>17724042.91</v>
      </c>
      <c r="AA149">
        <f>Z149-Q149</f>
        <v>106035.3321999982</v>
      </c>
    </row>
    <row r="150">
      <c r="B150">
        <v>119</v>
      </c>
      <c r="C150" t="str">
        <v>Endrington</v>
      </c>
      <c r="D150">
        <v>6051</v>
      </c>
      <c r="E150">
        <v>45832</v>
      </c>
      <c r="F150">
        <v>45892</v>
      </c>
      <c r="J150">
        <f>IFERROR(IF(TODAY()&gt;=E150,(TODAY()-E150)/I150,0),0)*0</f>
        <v>0</v>
      </c>
      <c r="K150">
        <v>19530.17</v>
      </c>
      <c r="L150">
        <v>19530.17</v>
      </c>
      <c r="M150">
        <f>K150-L150</f>
        <v>0</v>
      </c>
      <c r="N150">
        <v>3956.32</v>
      </c>
      <c r="O150">
        <v>4063</v>
      </c>
      <c r="P150">
        <f>O150-N150</f>
        <v>106.67999999999984</v>
      </c>
      <c r="Q150">
        <f>K150*N150</f>
        <v>77267602.1744</v>
      </c>
      <c r="R150">
        <f>L150*O150</f>
        <v>79351080.71</v>
      </c>
      <c r="S150">
        <f>R150-Q150</f>
        <v>2083478.5355999917</v>
      </c>
      <c r="T150" t="str">
        <f>IF(R150&lt;= Q150,"No Monetizar","Monetizar")</f>
        <v>Monetizar</v>
      </c>
      <c r="V150">
        <v>45832</v>
      </c>
      <c r="W150" t="str">
        <v>Alfonso Fonseca A</v>
      </c>
      <c r="X150" t="str">
        <v>Alfonso Fonseca A</v>
      </c>
      <c r="Y150" t="str">
        <v>Se monetiza ya que el valor ofrecido por el banco en cada divisa es superior al valor facturado</v>
      </c>
      <c r="Z150">
        <f>K150*O150</f>
        <v>79351080.71</v>
      </c>
      <c r="AA150">
        <f>Z150-Q150</f>
        <v>2083478.5355999917</v>
      </c>
    </row>
    <row r="151" xml:space="preserve">
      <c r="B151">
        <v>120</v>
      </c>
      <c r="C151" t="str">
        <v>Oncehub</v>
      </c>
      <c r="D151">
        <v>5886</v>
      </c>
      <c r="E151">
        <v>45776</v>
      </c>
      <c r="F151">
        <v>45835</v>
      </c>
      <c r="J151">
        <f>IFERROR(IF(TODAY()&gt;=E151,(TODAY()-E151)/I151,0),0)*0</f>
        <v>0</v>
      </c>
      <c r="K151">
        <v>3192.8100000000004</v>
      </c>
      <c r="L151">
        <v>3172.81</v>
      </c>
      <c r="M151">
        <f>K151-L151</f>
        <v>20.000000000000455</v>
      </c>
      <c r="N151">
        <v>4286.17</v>
      </c>
      <c r="O151">
        <v>4021.6</v>
      </c>
      <c r="P151">
        <f>O151-N151</f>
        <v>-264.57000000000016</v>
      </c>
      <c r="Q151">
        <f>K151*N151</f>
        <v>13684926.437700002</v>
      </c>
      <c r="R151">
        <f>L151*O151</f>
        <v>12759772.695999999</v>
      </c>
      <c r="S151">
        <f>R151-Q151</f>
        <v>-925153.7417000029</v>
      </c>
      <c r="T151" t="str">
        <f>IF(R151&lt;= Q151,"No Monetizar","Monetizar")</f>
        <v>No Monetizar</v>
      </c>
      <c r="V151">
        <v>45835</v>
      </c>
      <c r="W151" t="str">
        <v>Alfonso Fonseca A</v>
      </c>
      <c r="X151" t="str">
        <v>Alfonso Fonseca A</v>
      </c>
      <c r="Y151" t="str" xml:space="preserve">
        <v xml:space="preserve">Se ha decidido monetizar estas divisas a pesar de que el valor recibido está por debajo del monto facturado, considerando que la fecha límite para su devolución vencía el Sabado28 de Junio._x000d_
_x000d_
Adicionalmente, al momento del cobro, la TRM se encontraba en $4.021,60, mientras que en la actualidad la divisa ha registrado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51">
        <f>K151*O151</f>
        <v>12840204.696</v>
      </c>
      <c r="AA151">
        <f>Z151-Q151</f>
        <v>-844721.7417000011</v>
      </c>
    </row>
    <row r="152">
      <c r="B152">
        <v>121</v>
      </c>
      <c r="C152" t="str">
        <v>Hong kong yonyou xinfushe cloud technology co</v>
      </c>
      <c r="D152">
        <v>6035</v>
      </c>
      <c r="E152">
        <v>45833</v>
      </c>
      <c r="F152">
        <v>45893</v>
      </c>
      <c r="J152">
        <f>IFERROR(IF(TODAY()&gt;=E152,(TODAY()-E152)/I152,0),0)*0</f>
        <v>0</v>
      </c>
      <c r="K152">
        <v>12099.32</v>
      </c>
      <c r="L152">
        <v>12099.32</v>
      </c>
      <c r="M152">
        <f>K152-L152</f>
        <v>0</v>
      </c>
      <c r="N152">
        <v>4049.13</v>
      </c>
      <c r="O152">
        <v>4057</v>
      </c>
      <c r="P152">
        <f>O152-N152</f>
        <v>7.869999999999891</v>
      </c>
      <c r="Q152">
        <f>K152*N152</f>
        <v>48991719.5916</v>
      </c>
      <c r="R152">
        <f>L152*O152</f>
        <v>49086941.24</v>
      </c>
      <c r="S152">
        <f>R152-Q152</f>
        <v>95221.64840000123</v>
      </c>
      <c r="T152" t="str">
        <f>IF(R152&lt;= Q152,"No Monetizar","Monetizar")</f>
        <v>Monetizar</v>
      </c>
      <c r="V152">
        <v>45835</v>
      </c>
      <c r="W152" t="str">
        <v>Alfonso Fonseca A</v>
      </c>
      <c r="X152" t="str">
        <v>Alfonso Fonseca A</v>
      </c>
      <c r="Y152" t="str">
        <v>Se monetiza ya que el valor ofrecido por el banco en cada divisa es superior al valor facturado</v>
      </c>
      <c r="Z152">
        <f>K152*O152</f>
        <v>49086941.24</v>
      </c>
      <c r="AA152">
        <f>Z152-Q152</f>
        <v>95221.64840000123</v>
      </c>
    </row>
    <row r="153">
      <c r="B153">
        <v>122</v>
      </c>
      <c r="C153" t="str">
        <v>Hong kong yonyou xinfushe cloud technology co</v>
      </c>
      <c r="D153">
        <v>6053</v>
      </c>
      <c r="E153">
        <v>45833</v>
      </c>
      <c r="F153">
        <v>45893</v>
      </c>
      <c r="J153">
        <f>IFERROR(IF(TODAY()&gt;=E153,(TODAY()-E153)/I153,0),0)*0</f>
        <v>0</v>
      </c>
      <c r="K153">
        <v>4672.13</v>
      </c>
      <c r="L153">
        <v>4672.13</v>
      </c>
      <c r="M153">
        <f>K153-L153</f>
        <v>0</v>
      </c>
      <c r="N153">
        <v>4049.13</v>
      </c>
      <c r="O153">
        <v>4057</v>
      </c>
      <c r="P153">
        <f>O153-N153</f>
        <v>7.869999999999891</v>
      </c>
      <c r="Q153">
        <f>K153*N153</f>
        <v>18918061.7469</v>
      </c>
      <c r="R153">
        <f>L153*O153</f>
        <v>18954831.41</v>
      </c>
      <c r="S153">
        <f>R153-Q153</f>
        <v>36769.66310000047</v>
      </c>
      <c r="T153" t="str">
        <f>IF(R153&lt;= Q153,"No Monetizar","Monetizar")</f>
        <v>Monetizar</v>
      </c>
      <c r="V153">
        <v>45835</v>
      </c>
      <c r="W153" t="str">
        <v>Alfonso Fonseca A</v>
      </c>
      <c r="X153" t="str">
        <v>Alfonso Fonseca A</v>
      </c>
      <c r="Y153" t="str">
        <v>Se monetiza ya que el valor ofrecido por el banco en cada divisa es superior al valor facturado</v>
      </c>
      <c r="Z153">
        <f>K153*O153</f>
        <v>18954831.41</v>
      </c>
      <c r="AA153">
        <f>Z153-Q153</f>
        <v>36769.66310000047</v>
      </c>
    </row>
    <row r="154">
      <c r="B154">
        <v>123</v>
      </c>
      <c r="C154" t="str">
        <v>Safeguard</v>
      </c>
      <c r="D154">
        <v>6073</v>
      </c>
      <c r="E154">
        <v>45839</v>
      </c>
      <c r="F154">
        <v>45899</v>
      </c>
      <c r="J154">
        <f>IFERROR(IF(TODAY()&gt;=E154,(TODAY()-E154)/I154,0),0)*0</f>
        <v>0</v>
      </c>
      <c r="K154">
        <v>15438.05</v>
      </c>
      <c r="L154">
        <v>15438.05</v>
      </c>
      <c r="M154">
        <f>K154-L154</f>
        <v>0</v>
      </c>
      <c r="N154">
        <v>3956.32</v>
      </c>
      <c r="O154">
        <v>4046.58</v>
      </c>
      <c r="P154">
        <f>O154-N154</f>
        <v>90.25999999999976</v>
      </c>
      <c r="Q154">
        <f>K154*N154</f>
        <v>61077865.975999996</v>
      </c>
      <c r="R154">
        <f>L154*O154</f>
        <v>62471304.368999995</v>
      </c>
      <c r="S154">
        <f>R154-Q154</f>
        <v>1393438.3929999992</v>
      </c>
      <c r="T154" t="str">
        <f>IF(R154&lt;= Q154,"No Monetizar","Monetizar")</f>
        <v>Monetizar</v>
      </c>
      <c r="V154">
        <v>45835</v>
      </c>
      <c r="W154" t="str">
        <v>Alfonso Fonseca A</v>
      </c>
      <c r="X154" t="str">
        <v>Alfonso Fonseca A</v>
      </c>
      <c r="Y154" t="str">
        <v>Se monetiza ya que el valor ofrecido por el banco en cada divisa es superior al valor facturado</v>
      </c>
      <c r="Z154">
        <f>K154*O154</f>
        <v>62471304.368999995</v>
      </c>
      <c r="AA154">
        <f>Z154-Q154</f>
        <v>1393438.3929999992</v>
      </c>
    </row>
    <row r="155">
      <c r="B155">
        <v>124</v>
      </c>
      <c r="C155" t="str">
        <v>Insider</v>
      </c>
      <c r="D155">
        <v>6094</v>
      </c>
      <c r="E155" t="str">
        <v>07/07/202</v>
      </c>
      <c r="F155">
        <v>45905</v>
      </c>
      <c r="J155">
        <f>IFERROR(IF(TODAY()&gt;=E155,(TODAY()-E155)/I155,0),0)*0</f>
        <v>0</v>
      </c>
      <c r="K155">
        <f>421.75</f>
        <v>421.75</v>
      </c>
      <c r="L155">
        <v>416.75</v>
      </c>
      <c r="M155">
        <f>K155-L155</f>
        <v>5</v>
      </c>
      <c r="N155">
        <v>3997.71</v>
      </c>
      <c r="O155">
        <v>4023.1</v>
      </c>
      <c r="P155">
        <f>O155-N155</f>
        <v>25.389999999999873</v>
      </c>
      <c r="Q155">
        <f>K155*N155</f>
        <v>1686034.1925000001</v>
      </c>
      <c r="R155">
        <f>L155*O155</f>
        <v>1676626.925</v>
      </c>
      <c r="S155">
        <f>R155-Q155</f>
        <v>-9407.267500000075</v>
      </c>
      <c r="T155" t="str">
        <f>IF(R155&lt;= Q155,"No Monetizar","Monetizar")</f>
        <v>No Monetizar</v>
      </c>
      <c r="V155">
        <v>45845</v>
      </c>
      <c r="W155" t="str">
        <v>Alfonso Fonseca A</v>
      </c>
      <c r="X155" t="str">
        <v>Alfonso Fonseca A</v>
      </c>
      <c r="Y155" t="str">
        <v>Se monetiza ya que el valor ofrecido por el banco en cada divisa es superior al valor facturado</v>
      </c>
      <c r="Z155">
        <f>K155*O155</f>
        <v>1696742.425</v>
      </c>
      <c r="AA155">
        <f>Z155-Q155</f>
        <v>10708.232499999925</v>
      </c>
    </row>
    <row r="156">
      <c r="B156">
        <v>125</v>
      </c>
      <c r="C156" t="str">
        <v>Insider</v>
      </c>
      <c r="D156">
        <v>6072</v>
      </c>
      <c r="E156">
        <v>45839</v>
      </c>
      <c r="F156">
        <v>45899</v>
      </c>
      <c r="J156">
        <f>IFERROR(IF(TODAY()&gt;=E156,(TODAY()-E156)/I156,0),0)*0</f>
        <v>0</v>
      </c>
      <c r="K156">
        <v>117303.06</v>
      </c>
      <c r="L156">
        <v>117288.06</v>
      </c>
      <c r="M156">
        <f>K156-L156</f>
        <v>15</v>
      </c>
      <c r="N156">
        <v>4047.64</v>
      </c>
      <c r="O156">
        <v>4051</v>
      </c>
      <c r="P156">
        <f>O156-N156</f>
        <v>3.3600000000001273</v>
      </c>
      <c r="Q156">
        <f>K156*N156</f>
        <v>474800557.7784</v>
      </c>
      <c r="R156">
        <f>L156*O156</f>
        <v>475133931.06</v>
      </c>
      <c r="S156">
        <f>R156-Q156</f>
        <v>333373.2815999985</v>
      </c>
      <c r="T156" t="str">
        <f>IF(R156&lt;= Q156,"No Monetizar","Monetizar")</f>
        <v>Monetizar</v>
      </c>
      <c r="V156">
        <v>45845</v>
      </c>
      <c r="W156" t="str">
        <v>Alfonso Fonseca A</v>
      </c>
      <c r="X156" t="str">
        <v>Alfonso Fonseca A</v>
      </c>
      <c r="Y156" t="str">
        <v>Se monetiza ya que el valor ofrecido por el banco en cada divisa es superior al valor facturado</v>
      </c>
      <c r="Z156">
        <f>K156*O156</f>
        <v>475194696.06</v>
      </c>
      <c r="AA156">
        <f>Z156-Q156</f>
        <v>394138.2815999985</v>
      </c>
    </row>
    <row r="157">
      <c r="B157">
        <v>126</v>
      </c>
      <c r="C157" t="str">
        <v>Hemmebarsch GMBH &amp; Co KG</v>
      </c>
      <c r="D157">
        <v>6034</v>
      </c>
      <c r="E157">
        <v>45847</v>
      </c>
      <c r="F157">
        <v>45907</v>
      </c>
      <c r="J157">
        <f>IFERROR(IF(TODAY()&gt;=E157,(TODAY()-E157)/I157,0),0)*0</f>
        <v>0</v>
      </c>
      <c r="K157">
        <v>1162.82</v>
      </c>
      <c r="L157">
        <v>1162.82</v>
      </c>
      <c r="M157">
        <f>K157-L157</f>
        <v>0</v>
      </c>
      <c r="N157">
        <v>4019.13</v>
      </c>
      <c r="O157">
        <v>4019.99</v>
      </c>
      <c r="P157">
        <f>O157-N157</f>
        <v>0.8599999999996726</v>
      </c>
      <c r="Q157">
        <f>K157*N157</f>
        <v>4673524.7466</v>
      </c>
      <c r="R157">
        <f>L157*O157</f>
        <v>4674524.771799999</v>
      </c>
      <c r="S157">
        <f>R157-Q157</f>
        <v>1000.0251999991015</v>
      </c>
      <c r="T157" t="str">
        <f>IF(R157&lt;= Q157,"No Monetizar","Monetizar")</f>
        <v>Monetizar</v>
      </c>
      <c r="V157">
        <v>45845</v>
      </c>
      <c r="W157" t="str">
        <v>Alfonso Fonseca A</v>
      </c>
      <c r="X157" t="str">
        <v>Alfonso Fonseca A</v>
      </c>
      <c r="Y157" t="str">
        <v>Se monetiza ya que el valor ofrecido por el banco en cada divisa es superior al valor facturado</v>
      </c>
      <c r="Z157">
        <f>K157*O157</f>
        <v>4674524.771799999</v>
      </c>
      <c r="AA157">
        <f>Z157-Q157</f>
        <v>1000.0251999991015</v>
      </c>
    </row>
    <row r="158" xml:space="preserve">
      <c r="B158">
        <v>127</v>
      </c>
      <c r="C158" t="str">
        <v>Remofirst</v>
      </c>
      <c r="D158">
        <v>5926</v>
      </c>
      <c r="E158">
        <v>45789</v>
      </c>
      <c r="F158">
        <v>45849</v>
      </c>
      <c r="J158">
        <f>IFERROR(IF(TODAY()&gt;=E158,(TODAY()-E158)/I158,0),0)*0</f>
        <v>0</v>
      </c>
      <c r="K158">
        <v>14453.63</v>
      </c>
      <c r="L158">
        <v>14453.63</v>
      </c>
      <c r="M158">
        <f>K158-L158</f>
        <v>0</v>
      </c>
      <c r="N158">
        <v>4237.98</v>
      </c>
      <c r="O158">
        <v>3988</v>
      </c>
      <c r="P158">
        <f>O158-N158</f>
        <v>-249.97999999999956</v>
      </c>
      <c r="Q158">
        <f>K158*N158</f>
        <v>61254194.86739999</v>
      </c>
      <c r="R158">
        <f>L158*O158</f>
        <v>57641076.44</v>
      </c>
      <c r="S158">
        <f>R158-Q158</f>
        <v>-3613118.427399993</v>
      </c>
      <c r="T158" t="str">
        <f>IF(R158&lt;= Q158,"No Monetizar","Monetizar")</f>
        <v>No Monetizar</v>
      </c>
      <c r="V158">
        <v>45849</v>
      </c>
      <c r="W158" t="str">
        <v>Alfonso Fonseca A</v>
      </c>
      <c r="X158" t="str">
        <v>Alfonso Fonseca A</v>
      </c>
      <c r="Y158" t="str" xml:space="preserve">
        <v xml:space="preserve">Se ha decidido monetizar estas divisas a pesar de que el valor recibido está por debajo del monto facturado, considerando que la fecha límite para su devolución vencía el hoy viernes 11 de julio_x000d_
_x000d_
Adicionalmente, al momento del cobro, fue  $4.237,90 y la trm no ha estado por encima de ese valor desde el pasado 09 de mayo. el dinero llego el 11 de junio a partir de esa fecha no ha llegado a estos niveles y se han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58">
        <f>K158*O158</f>
        <v>57641076.44</v>
      </c>
      <c r="AA158">
        <f>Z158-Q158</f>
        <v>-3613118.427399993</v>
      </c>
    </row>
    <row r="159">
      <c r="B159">
        <v>128</v>
      </c>
      <c r="C159" t="str">
        <v>Action</v>
      </c>
      <c r="D159">
        <v>6100</v>
      </c>
      <c r="E159">
        <v>45853</v>
      </c>
      <c r="F159">
        <v>45913</v>
      </c>
      <c r="J159">
        <f>IFERROR(IF(TODAY()&gt;=E159,(TODAY()-E159)/I159,0),0)*0</f>
        <v>0</v>
      </c>
      <c r="K159">
        <v>3311.68</v>
      </c>
      <c r="L159">
        <v>3311.68</v>
      </c>
      <c r="M159">
        <f>K159-L159</f>
        <v>0</v>
      </c>
      <c r="N159">
        <v>3924.37</v>
      </c>
      <c r="O159">
        <v>3981.3</v>
      </c>
      <c r="P159">
        <f>O159-N159</f>
        <v>56.93000000000029</v>
      </c>
      <c r="Q159">
        <f>K159*N159</f>
        <v>12996257.6416</v>
      </c>
      <c r="R159">
        <f>L159*O159</f>
        <v>13184791.584</v>
      </c>
      <c r="S159">
        <f>R159-Q159</f>
        <v>188533.942400001</v>
      </c>
      <c r="T159" t="str">
        <f>IF(R159&lt;= Q159,"No Monetizar","Monetizar")</f>
        <v>Monetizar</v>
      </c>
      <c r="V159">
        <v>45853</v>
      </c>
      <c r="W159" t="str">
        <v>Alfonso Fonseca A</v>
      </c>
      <c r="X159" t="str">
        <v>Alfonso Fonseca A</v>
      </c>
      <c r="Y159" t="str">
        <v>Se monetiza ya que el valor ofrecido por el banco en cada divisa es superior al valor facturado</v>
      </c>
      <c r="Z159">
        <f>K159*O159</f>
        <v>13184791.584</v>
      </c>
      <c r="AA159">
        <f>Z159-Q159</f>
        <v>188533.942400001</v>
      </c>
    </row>
    <row r="160">
      <c r="B160">
        <v>129</v>
      </c>
      <c r="C160" t="str">
        <v>Insider</v>
      </c>
      <c r="D160">
        <v>6101</v>
      </c>
      <c r="E160">
        <v>45849</v>
      </c>
      <c r="F160">
        <v>45909</v>
      </c>
      <c r="J160">
        <f>IFERROR(IF(TODAY()&gt;=E160,(TODAY()-E160)/I160,0),0)*0</f>
        <v>0</v>
      </c>
      <c r="K160">
        <v>5443.41</v>
      </c>
      <c r="L160">
        <v>5433.41</v>
      </c>
      <c r="M160">
        <f>K160-L160</f>
        <v>10</v>
      </c>
      <c r="N160">
        <v>3997.71</v>
      </c>
      <c r="O160">
        <v>4010.2</v>
      </c>
      <c r="P160">
        <f>O160-N160</f>
        <v>12.489999999999782</v>
      </c>
      <c r="Q160">
        <f>K160*N160</f>
        <v>21761174.5911</v>
      </c>
      <c r="R160">
        <f>L160*O160</f>
        <v>21789060.781999998</v>
      </c>
      <c r="S160">
        <f>R160-Q160</f>
        <v>27886.19089999795</v>
      </c>
      <c r="T160" t="str">
        <f>IF(R160&lt;= Q160,"No Monetizar","Monetizar")</f>
        <v>Monetizar</v>
      </c>
      <c r="V160">
        <v>45853</v>
      </c>
      <c r="W160" t="str">
        <v>Alfonso Fonseca A</v>
      </c>
      <c r="X160" t="str">
        <v>Alfonso Fonseca A</v>
      </c>
      <c r="Y160" t="str">
        <v>Se monetiza ya que el valor ofrecido por el banco en cada divisa es superior al valor facturado</v>
      </c>
      <c r="Z160">
        <f>K160*O160</f>
        <v>21829162.781999998</v>
      </c>
      <c r="AA160">
        <f>Z160-Q160</f>
        <v>67988.19089999795</v>
      </c>
    </row>
    <row r="161">
      <c r="B161">
        <v>130</v>
      </c>
      <c r="C161" t="str">
        <v>Flexco</v>
      </c>
      <c r="D161">
        <v>6137</v>
      </c>
      <c r="E161">
        <v>45856</v>
      </c>
      <c r="F161">
        <v>45916</v>
      </c>
      <c r="J161">
        <f>IFERROR(IF(TODAY()&gt;=E161,(TODAY()-E161)/I161,0),0)*0</f>
        <v>0</v>
      </c>
      <c r="K161">
        <v>5179.43</v>
      </c>
      <c r="L161">
        <v>5169.43</v>
      </c>
      <c r="M161">
        <f>K161-L161</f>
        <v>10</v>
      </c>
      <c r="N161">
        <v>3833.9</v>
      </c>
      <c r="O161">
        <v>3991</v>
      </c>
      <c r="P161">
        <f>O161-N161</f>
        <v>157.0999999999999</v>
      </c>
      <c r="Q161">
        <f>K161*N161</f>
        <v>19857416.677</v>
      </c>
      <c r="R161">
        <f>L161*O161</f>
        <v>20631195.130000003</v>
      </c>
      <c r="S161">
        <f>R161-Q161</f>
        <v>773778.4530000016</v>
      </c>
      <c r="T161" t="str">
        <f>IF(R161&lt;= Q161,"No Monetizar","Monetizar")</f>
        <v>Monetizar</v>
      </c>
      <c r="V161">
        <v>45859</v>
      </c>
      <c r="W161" t="str">
        <v>Alfonso Fonseca A</v>
      </c>
      <c r="X161" t="str">
        <v>Alfonso Fonseca A</v>
      </c>
      <c r="Y161" t="str">
        <v>Se monetiza ya que el valor ofrecido por el banco en cada divisa es superior al valor facturado</v>
      </c>
      <c r="Z161">
        <f>K161*O161</f>
        <v>20671105.130000003</v>
      </c>
      <c r="AA161">
        <f>Z161-Q161</f>
        <v>813688.4530000016</v>
      </c>
    </row>
    <row r="162">
      <c r="B162">
        <v>131</v>
      </c>
      <c r="C162" t="str">
        <v>Equus Global Expansion, LLC</v>
      </c>
      <c r="D162">
        <v>6122</v>
      </c>
      <c r="E162">
        <v>45856</v>
      </c>
      <c r="F162">
        <v>45916</v>
      </c>
      <c r="J162">
        <f>IFERROR(IF(TODAY()&gt;=E162,(TODAY()-E162)/I162,0),0)*0</f>
        <v>0</v>
      </c>
      <c r="K162">
        <v>1519.92</v>
      </c>
      <c r="L162">
        <v>1519.92</v>
      </c>
      <c r="M162">
        <f>K162-L162</f>
        <v>0</v>
      </c>
      <c r="N162">
        <v>3833.9</v>
      </c>
      <c r="O162">
        <v>3995</v>
      </c>
      <c r="P162">
        <f>O162-N162</f>
        <v>161.0999999999999</v>
      </c>
      <c r="Q162">
        <f>K162*N162</f>
        <v>5827221.288000001</v>
      </c>
      <c r="R162">
        <f>L162*O162</f>
        <v>6072080.4</v>
      </c>
      <c r="S162">
        <f>R162-Q162</f>
        <v>244859.11199999973</v>
      </c>
      <c r="T162" t="str">
        <f>IF(R162&lt;= Q162,"No Monetizar","Monetizar")</f>
        <v>Monetizar</v>
      </c>
      <c r="V162">
        <v>45859</v>
      </c>
      <c r="W162" t="str">
        <v>Alfonso Fonseca A</v>
      </c>
      <c r="X162" t="str">
        <v>Alfonso Fonseca A</v>
      </c>
      <c r="Y162" t="str">
        <v>Se monetiza ya que el valor ofrecido por el banco en cada divisa es superior al valor facturado</v>
      </c>
      <c r="Z162">
        <f>K162*O162</f>
        <v>6072080.4</v>
      </c>
      <c r="AA162">
        <f>Z162-Q162</f>
        <v>244859.11199999973</v>
      </c>
    </row>
    <row r="163" xml:space="preserve">
      <c r="B163">
        <v>132</v>
      </c>
      <c r="C163" t="str">
        <v>Oncehub</v>
      </c>
      <c r="D163">
        <v>5949</v>
      </c>
      <c r="E163">
        <v>45799</v>
      </c>
      <c r="F163">
        <v>45859</v>
      </c>
      <c r="J163">
        <f>IFERROR(IF(TODAY()&gt;=E163,(TODAY()-E163)/I163,0),0)*0</f>
        <v>0</v>
      </c>
      <c r="K163">
        <v>3089.27</v>
      </c>
      <c r="L163">
        <v>3069.27</v>
      </c>
      <c r="M163">
        <f>K163-L163</f>
        <v>20</v>
      </c>
      <c r="N163">
        <v>4188.6</v>
      </c>
      <c r="O163">
        <v>4006</v>
      </c>
      <c r="P163">
        <f>O163-N163</f>
        <v>-182.60000000000036</v>
      </c>
      <c r="Q163">
        <f>K163*N163</f>
        <v>12939716.322</v>
      </c>
      <c r="R163">
        <f>L163*O163</f>
        <v>12295495.62</v>
      </c>
      <c r="S163">
        <f>R163-Q163</f>
        <v>-644220.7020000014</v>
      </c>
      <c r="T163" t="str">
        <f>IF(R163&lt;= Q163,"No Monetizar","Monetizar")</f>
        <v>No Monetizar</v>
      </c>
      <c r="V163">
        <v>45859</v>
      </c>
      <c r="W163" t="str">
        <v>Alfonso Fonseca A</v>
      </c>
      <c r="X163" t="str">
        <v>Alfonso Fonseca A</v>
      </c>
      <c r="Y163" t="str" xml:space="preserve">
        <v xml:space="preserve">Se ha decidido monetizar estas divisas a pesar de que el valor recibido está por debajo del monto facturado, considerando que la fecha límite para su devolución vencía el hoy lunes 21 de julio_x000d_
_x000d_
Adicionalmente, al momento del cobro, fue  $4188.60  y la trm no ha estado por encima de ese valor desde el pasado 09 de mayo. el dinero llego el 22 de mayo a partir de esa fecha no ha llegado a estos niveles y se han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63">
        <f>K163*O163</f>
        <v>12375615.62</v>
      </c>
      <c r="AA163">
        <f>Z163-Q163</f>
        <v>-564100.7020000014</v>
      </c>
    </row>
    <row r="164">
      <c r="B164">
        <v>133</v>
      </c>
      <c r="C164" t="str">
        <v xml:space="preserve">Neo </v>
      </c>
      <c r="D164">
        <v>6115</v>
      </c>
      <c r="E164">
        <v>45861</v>
      </c>
      <c r="F164">
        <v>45921</v>
      </c>
      <c r="J164">
        <f>IFERROR(IF(TODAY()&gt;=E164,(TODAY()-E164)/I164,0),0)*0</f>
        <v>0</v>
      </c>
      <c r="K164">
        <v>24966.19</v>
      </c>
      <c r="L164">
        <v>24905.19</v>
      </c>
      <c r="M164">
        <f>K164-L164</f>
        <v>61</v>
      </c>
      <c r="N164">
        <v>3853.9</v>
      </c>
      <c r="O164">
        <v>4049.1</v>
      </c>
      <c r="P164">
        <f>O164-N164</f>
        <v>195.19999999999982</v>
      </c>
      <c r="Q164">
        <f>K164*N164</f>
        <v>96217199.641</v>
      </c>
      <c r="R164">
        <f>L164*O164</f>
        <v>100843604.829</v>
      </c>
      <c r="S164">
        <f>R164-Q164</f>
        <v>4626405.187999994</v>
      </c>
      <c r="T164" t="str">
        <f>IF(R164&lt;= Q164,"No Monetizar","Monetizar")</f>
        <v>Monetizar</v>
      </c>
      <c r="V164">
        <v>45861</v>
      </c>
      <c r="W164" t="str">
        <v>Alfonso Fonseca A</v>
      </c>
      <c r="X164" t="str">
        <v>Alfonso Fonseca A</v>
      </c>
      <c r="Y164" t="str">
        <v>Se monetiza ya que el valor ofrecido por el banco en cada divisa es superior al valor facturado</v>
      </c>
      <c r="Z164">
        <f>K164*O164</f>
        <v>101090599.92899999</v>
      </c>
      <c r="AA164">
        <f>Z164-Q164</f>
        <v>4873400.287999988</v>
      </c>
    </row>
    <row r="165">
      <c r="B165">
        <v>134</v>
      </c>
      <c r="C165" t="str">
        <v>Endrington</v>
      </c>
      <c r="D165">
        <v>6120</v>
      </c>
      <c r="E165">
        <v>45861</v>
      </c>
      <c r="F165">
        <v>45921</v>
      </c>
      <c r="J165">
        <f>IFERROR(IF(TODAY()&gt;=E165,(TODAY()-E165)/I165,0),0)*0</f>
        <v>0</v>
      </c>
      <c r="K165">
        <v>19418.03</v>
      </c>
      <c r="L165">
        <v>19418.03</v>
      </c>
      <c r="M165">
        <f>K165-L165</f>
        <v>0</v>
      </c>
      <c r="N165">
        <v>3853.9</v>
      </c>
      <c r="O165">
        <v>4053.61</v>
      </c>
      <c r="P165">
        <f>O165-N165</f>
        <v>199.71000000000004</v>
      </c>
      <c r="Q165">
        <f>K165*N165</f>
        <v>74835145.817</v>
      </c>
      <c r="R165">
        <f>L165*O165</f>
        <v>78713120.5883</v>
      </c>
      <c r="S165">
        <f>R165-Q165</f>
        <v>3877974.771300003</v>
      </c>
      <c r="T165" t="str">
        <f>IF(R165&lt;= Q165,"No Monetizar","Monetizar")</f>
        <v>Monetizar</v>
      </c>
      <c r="V165">
        <v>45861</v>
      </c>
      <c r="W165" t="str">
        <v>Alfonso Fonseca A</v>
      </c>
      <c r="X165" t="str">
        <v>Alfonso Fonseca A</v>
      </c>
      <c r="Y165" t="str">
        <v>Se monetiza ya que el valor ofrecido por el banco en cada divisa es superior al valor facturado</v>
      </c>
      <c r="Z165">
        <f>K165*O165</f>
        <v>78713120.5883</v>
      </c>
      <c r="AA165">
        <f>Z165-Q165</f>
        <v>3877974.771300003</v>
      </c>
    </row>
    <row r="166">
      <c r="B166">
        <v>135</v>
      </c>
      <c r="C166" t="str">
        <v>Hong kong yonyou xinfushe cloud technology co</v>
      </c>
      <c r="D166">
        <v>6119</v>
      </c>
      <c r="E166">
        <v>45861</v>
      </c>
      <c r="F166">
        <v>45921</v>
      </c>
      <c r="J166">
        <f>IFERROR(IF(TODAY()&gt;=E166,(TODAY()-E166)/I166,0),0)*0</f>
        <v>0</v>
      </c>
      <c r="K166">
        <v>14850.72</v>
      </c>
      <c r="L166">
        <v>14850.72</v>
      </c>
      <c r="M166">
        <f>K166-L166</f>
        <v>0</v>
      </c>
      <c r="N166">
        <v>3853.9</v>
      </c>
      <c r="O166">
        <v>4053</v>
      </c>
      <c r="P166">
        <f>O166-N166</f>
        <v>199.0999999999999</v>
      </c>
      <c r="Q166">
        <f>K166*N166</f>
        <v>57233189.808</v>
      </c>
      <c r="R166">
        <f>L166*O166</f>
        <v>60189968.16</v>
      </c>
      <c r="S166">
        <f>R166-Q166</f>
        <v>2956778.351999998</v>
      </c>
      <c r="T166" t="str">
        <f>IF(R166&lt;= Q166,"No Monetizar","Monetizar")</f>
        <v>Monetizar</v>
      </c>
      <c r="V166">
        <v>45861</v>
      </c>
      <c r="W166" t="str">
        <v>Alfonso Fonseca A</v>
      </c>
      <c r="X166" t="str">
        <v>Alfonso Fonseca A</v>
      </c>
      <c r="Y166" t="str">
        <v>Se monetiza ya que el valor ofrecido por el banco en cada divisa es superior al valor facturado</v>
      </c>
      <c r="Z166">
        <f>K166*O166</f>
        <v>60189968.16</v>
      </c>
      <c r="AA166">
        <f>Z166-Q166</f>
        <v>2956778.351999998</v>
      </c>
    </row>
    <row r="167">
      <c r="B167">
        <v>136</v>
      </c>
      <c r="C167" t="str">
        <v>Oncehub</v>
      </c>
      <c r="D167">
        <v>6114</v>
      </c>
      <c r="E167">
        <v>45861</v>
      </c>
      <c r="F167">
        <v>45921</v>
      </c>
      <c r="J167">
        <f>IFERROR(IF(TODAY()&gt;=E167,(TODAY()-E167)/I167,0),0)*0</f>
        <v>0</v>
      </c>
      <c r="K167">
        <f>3332.43-55.49</f>
        <v>3276.94</v>
      </c>
      <c r="L167">
        <v>3256.94</v>
      </c>
      <c r="M167">
        <f>K167-L167</f>
        <v>20</v>
      </c>
      <c r="N167">
        <v>3853.9</v>
      </c>
      <c r="O167">
        <v>4054.25</v>
      </c>
      <c r="P167">
        <f>O167-N167</f>
        <v>200.3499999999999</v>
      </c>
      <c r="Q167">
        <f>K167*N167</f>
        <v>12628999.066</v>
      </c>
      <c r="R167">
        <f>L167*O167</f>
        <v>13204448.995000001</v>
      </c>
      <c r="S167">
        <f>R167-Q167</f>
        <v>575449.9290000014</v>
      </c>
      <c r="T167" t="str">
        <f>IF(R167&lt;= Q167,"No Monetizar","Monetizar")</f>
        <v>Monetizar</v>
      </c>
      <c r="V167">
        <v>45861</v>
      </c>
      <c r="W167" t="str">
        <v>Alfonso Fonseca A</v>
      </c>
      <c r="X167" t="str">
        <v>Alfonso Fonseca A</v>
      </c>
      <c r="Y167" t="str">
        <v>Se monetiza ya que el valor ofrecido por el banco en cada divisa es superior al valor facturado</v>
      </c>
      <c r="Z167">
        <f>K167*O167</f>
        <v>13285533.995000001</v>
      </c>
      <c r="AA167">
        <f>Z167-Q167</f>
        <v>656534.9290000014</v>
      </c>
    </row>
    <row r="168">
      <c r="B168">
        <v>137</v>
      </c>
      <c r="C168" t="str">
        <v>Nazdar ink technologies</v>
      </c>
      <c r="D168">
        <v>6113</v>
      </c>
      <c r="E168">
        <v>45862</v>
      </c>
      <c r="F168">
        <v>45922</v>
      </c>
      <c r="J168">
        <f>IFERROR(IF(TODAY()&gt;=E168,(TODAY()-E168)/I168,0),0)*0</f>
        <v>0</v>
      </c>
      <c r="K168">
        <v>16593.32</v>
      </c>
      <c r="L168">
        <v>16578.32</v>
      </c>
      <c r="M168">
        <f>K168-L168</f>
        <v>15</v>
      </c>
      <c r="N168">
        <v>3833.9</v>
      </c>
      <c r="O168">
        <v>4068.12</v>
      </c>
      <c r="P168">
        <f>O168-N168</f>
        <v>234.2199999999998</v>
      </c>
      <c r="Q168">
        <f>K168*N168</f>
        <v>63617129.548</v>
      </c>
      <c r="R168">
        <f>L168*O168</f>
        <v>67442595.1584</v>
      </c>
      <c r="S168">
        <f>R168-Q168</f>
        <v>3825465.6103999987</v>
      </c>
      <c r="T168" t="str">
        <f>IF(R168&lt;= Q168,"No Monetizar","Monetizar")</f>
        <v>Monetizar</v>
      </c>
      <c r="V168">
        <v>45863</v>
      </c>
      <c r="W168" t="str">
        <v>Alfonso Fonseca A</v>
      </c>
      <c r="X168" t="str">
        <v>Alfonso Fonseca A</v>
      </c>
      <c r="Y168" t="str">
        <v>Se monetiza ya que el valor ofrecido por el banco en cada divisa es superior al valor facturado</v>
      </c>
      <c r="Z168">
        <f>K168*O168</f>
        <v>67503616.9584</v>
      </c>
      <c r="AA168">
        <f>Z168-Q168</f>
        <v>3886487.4103999957</v>
      </c>
    </row>
    <row r="169">
      <c r="B169">
        <v>138</v>
      </c>
      <c r="C169" t="str">
        <v>Marketing Doctors</v>
      </c>
      <c r="D169">
        <v>6111</v>
      </c>
      <c r="E169">
        <v>45862</v>
      </c>
      <c r="F169">
        <v>45922</v>
      </c>
      <c r="J169">
        <f>IFERROR(IF(TODAY()&gt;=E169,(TODAY()-E169)/I169,0),0)*0</f>
        <v>0</v>
      </c>
      <c r="K169">
        <v>2628.18</v>
      </c>
      <c r="L169">
        <v>2628.18</v>
      </c>
      <c r="M169">
        <f>K169-L169</f>
        <v>0</v>
      </c>
      <c r="N169">
        <v>3853.9</v>
      </c>
      <c r="O169">
        <v>4065</v>
      </c>
      <c r="P169">
        <f>O169-N169</f>
        <v>211.0999999999999</v>
      </c>
      <c r="Q169">
        <f>K169*N169</f>
        <v>10128742.901999999</v>
      </c>
      <c r="R169">
        <f>L169*O169</f>
        <v>10683551.7</v>
      </c>
      <c r="S169">
        <f>R169-Q169</f>
        <v>554808.7980000004</v>
      </c>
      <c r="T169" t="str">
        <f>IF(R169&lt;= Q169,"No Monetizar","Monetizar")</f>
        <v>Monetizar</v>
      </c>
      <c r="V169">
        <v>45863</v>
      </c>
      <c r="W169" t="str">
        <v>Alfonso Fonseca A</v>
      </c>
      <c r="X169" t="str">
        <v>Alfonso Fonseca A</v>
      </c>
      <c r="Y169" t="str">
        <v>Se monetiza ya que el valor ofrecido por el banco en cada divisa es superior al valor facturado</v>
      </c>
      <c r="Z169">
        <f>K169*O169</f>
        <v>10683551.7</v>
      </c>
      <c r="AA169">
        <f>Z169-Q169</f>
        <v>554808.7980000004</v>
      </c>
    </row>
    <row r="170">
      <c r="B170">
        <v>139</v>
      </c>
      <c r="C170" t="str">
        <v>Remofirst</v>
      </c>
      <c r="D170">
        <v>6109</v>
      </c>
      <c r="E170">
        <v>45862</v>
      </c>
      <c r="F170">
        <v>45922</v>
      </c>
      <c r="J170">
        <f>IFERROR(IF(TODAY()&gt;=E170,(TODAY()-E170)/I170,0),0)*0</f>
        <v>0</v>
      </c>
      <c r="K170">
        <v>278812.97</v>
      </c>
      <c r="L170">
        <v>278812.97</v>
      </c>
      <c r="M170">
        <f>K170-L170</f>
        <v>0</v>
      </c>
      <c r="N170">
        <v>3847.71</v>
      </c>
      <c r="O170">
        <v>4070</v>
      </c>
      <c r="P170">
        <f>O170-N170</f>
        <v>222.28999999999996</v>
      </c>
      <c r="Q170">
        <f>K170*N170</f>
        <v>1072791452.7986999</v>
      </c>
      <c r="R170">
        <f>L170*O170</f>
        <v>1134768787.8999999</v>
      </c>
      <c r="S170">
        <f>R170-Q170</f>
        <v>61977335.1013</v>
      </c>
      <c r="T170" t="str">
        <f>IF(R170&lt;= Q170,"No Monetizar","Monetizar")</f>
        <v>Monetizar</v>
      </c>
      <c r="V170">
        <v>45863</v>
      </c>
      <c r="W170" t="str">
        <v>Alfonso Fonseca A</v>
      </c>
      <c r="X170" t="str">
        <v>Alfonso Fonseca A</v>
      </c>
      <c r="Y170" t="str">
        <v>Se monetiza ya que el valor ofrecido por el banco en cada divisa es superior al valor facturado</v>
      </c>
      <c r="Z170">
        <f>K170*O170</f>
        <v>1134768787.8999999</v>
      </c>
      <c r="AA170">
        <f>Z170-Q170</f>
        <v>61977335.1013</v>
      </c>
    </row>
    <row r="171">
      <c r="B171">
        <v>140</v>
      </c>
      <c r="C171" t="str">
        <v>Hemmebarsch GMBH &amp; Co KG</v>
      </c>
      <c r="D171">
        <v>6033</v>
      </c>
      <c r="E171">
        <v>45862</v>
      </c>
      <c r="F171">
        <v>45922</v>
      </c>
      <c r="J171">
        <f>IFERROR(IF(TODAY()&gt;=E171,(TODAY()-E171)/I171,0),0)*0</f>
        <v>0</v>
      </c>
      <c r="K171">
        <v>1730.49</v>
      </c>
      <c r="L171">
        <v>1730.49</v>
      </c>
      <c r="M171">
        <f>K171-L171</f>
        <v>0</v>
      </c>
      <c r="N171">
        <v>4019.13</v>
      </c>
      <c r="O171">
        <v>4066.21</v>
      </c>
      <c r="P171">
        <f>O171-N171</f>
        <v>47.07999999999993</v>
      </c>
      <c r="Q171">
        <f>K171*N171</f>
        <v>6955064.2737</v>
      </c>
      <c r="R171">
        <f>L171*O171</f>
        <v>7036535.7429</v>
      </c>
      <c r="S171">
        <f>R171-Q171</f>
        <v>81471.46920000017</v>
      </c>
      <c r="T171" t="str">
        <f>IF(R171&lt;= Q171,"No Monetizar","Monetizar")</f>
        <v>Monetizar</v>
      </c>
      <c r="V171">
        <v>45863</v>
      </c>
      <c r="W171" t="str">
        <v>Alfonso Fonseca A</v>
      </c>
      <c r="X171" t="str">
        <v>Alfonso Fonseca A</v>
      </c>
      <c r="Y171" t="str">
        <v>Se monetiza ya que el valor ofrecido por el banco en cada divisa es superior al valor facturado</v>
      </c>
      <c r="Z171">
        <f>K171*O171</f>
        <v>7036535.7429</v>
      </c>
      <c r="AA171">
        <f>Z171-Q171</f>
        <v>81471.46920000017</v>
      </c>
    </row>
    <row r="172">
      <c r="B172">
        <v>141</v>
      </c>
      <c r="C172" t="str">
        <v>Bubble BPM</v>
      </c>
      <c r="D172">
        <v>6121</v>
      </c>
      <c r="E172">
        <v>45863</v>
      </c>
      <c r="F172">
        <v>45923</v>
      </c>
      <c r="J172">
        <f>IFERROR(IF(TODAY()&gt;=E172,(TODAY()-E172)/I172,0),0)*0</f>
        <v>0</v>
      </c>
      <c r="K172">
        <v>1009.29</v>
      </c>
      <c r="L172">
        <v>979.29</v>
      </c>
      <c r="M172">
        <f>K172-L172</f>
        <v>30</v>
      </c>
      <c r="N172">
        <v>3853.9</v>
      </c>
      <c r="O172">
        <v>4121.5</v>
      </c>
      <c r="P172">
        <f>O172-N172</f>
        <v>267.5999999999999</v>
      </c>
      <c r="Q172">
        <f>K172*N172</f>
        <v>3889702.731</v>
      </c>
      <c r="R172">
        <f>L172*O172</f>
        <v>4036143.735</v>
      </c>
      <c r="S172">
        <f>R172-Q172</f>
        <v>146441.00399999972</v>
      </c>
      <c r="T172" t="str">
        <f>IF(R172&lt;= Q172,"No Monetizar","Monetizar")</f>
        <v>Monetizar</v>
      </c>
      <c r="V172">
        <v>45863</v>
      </c>
      <c r="W172" t="str">
        <v>Alfonso Fonseca A</v>
      </c>
      <c r="X172" t="str">
        <v>Alfonso Fonseca A</v>
      </c>
      <c r="Y172" t="str">
        <v>Se monetiza ya que el valor ofrecido por el banco en cada divisa es superior al valor facturado</v>
      </c>
      <c r="Z172">
        <f>K172*O172</f>
        <v>4159788.735</v>
      </c>
      <c r="AA172">
        <f>Z172-Q172</f>
        <v>270086.0039999997</v>
      </c>
    </row>
    <row r="173">
      <c r="B173">
        <v>142</v>
      </c>
      <c r="C173" t="str">
        <v>Insider</v>
      </c>
      <c r="D173">
        <v>6037</v>
      </c>
      <c r="E173">
        <v>45825</v>
      </c>
      <c r="F173">
        <v>45885</v>
      </c>
      <c r="J173">
        <f>IFERROR(IF(TODAY()&gt;=E173,(TODAY()-E173)/I173,0),0)*0</f>
        <v>0</v>
      </c>
      <c r="K173">
        <v>110.32</v>
      </c>
      <c r="L173">
        <v>110.32</v>
      </c>
      <c r="M173">
        <f>K173-L173</f>
        <v>0</v>
      </c>
      <c r="N173">
        <v>4099.13</v>
      </c>
      <c r="O173">
        <v>4122.05</v>
      </c>
      <c r="P173">
        <f>O173-N173</f>
        <v>22.920000000000073</v>
      </c>
      <c r="Q173">
        <f>K173*N173</f>
        <v>452216.0216</v>
      </c>
      <c r="R173">
        <f>L173*O173</f>
        <v>454744.556</v>
      </c>
      <c r="S173">
        <f>R173-Q173</f>
        <v>2528.534400000004</v>
      </c>
      <c r="T173" t="str">
        <f>IF(R173&lt;= Q173,"No Monetizar","Monetizar")</f>
        <v>Monetizar</v>
      </c>
      <c r="V173">
        <v>45863</v>
      </c>
      <c r="W173" t="str">
        <v>Alfonso Fonseca A</v>
      </c>
      <c r="X173" t="str">
        <v>Alfonso Fonseca A</v>
      </c>
      <c r="Y173" t="str">
        <v>Se monetiza ya que el valor ofrecido por el banco en cada divisa es superior al valor facturado</v>
      </c>
      <c r="Z173">
        <f>K173*O173</f>
        <v>454744.556</v>
      </c>
      <c r="AA173">
        <f>Z173-Q173</f>
        <v>2528.534400000004</v>
      </c>
    </row>
    <row r="174">
      <c r="B174">
        <v>143</v>
      </c>
      <c r="C174" t="str">
        <v>Remofirst</v>
      </c>
      <c r="D174">
        <v>6098</v>
      </c>
      <c r="E174">
        <v>45863</v>
      </c>
      <c r="F174">
        <v>45923</v>
      </c>
      <c r="J174">
        <f>IFERROR(IF(TODAY()&gt;=E174,(TODAY()-E174)/I174,0),0)*0</f>
        <v>0</v>
      </c>
      <c r="K174">
        <f>6840.47-1658.25</f>
        <v>5182.22</v>
      </c>
      <c r="L174">
        <v>5182.22</v>
      </c>
      <c r="M174">
        <f>K174-L174</f>
        <v>0</v>
      </c>
      <c r="N174">
        <v>3847.71</v>
      </c>
      <c r="O174">
        <v>4121.5</v>
      </c>
      <c r="P174">
        <f>O174-N174</f>
        <v>273.78999999999996</v>
      </c>
      <c r="Q174">
        <f>K174*N174</f>
        <v>19939679.7162</v>
      </c>
      <c r="R174">
        <f>L174*O174</f>
        <v>21358519.73</v>
      </c>
      <c r="S174">
        <f>R174-Q174</f>
        <v>1418840.013799999</v>
      </c>
      <c r="T174" t="str">
        <f>IF(R174&lt;= Q174,"No Monetizar","Monetizar")</f>
        <v>Monetizar</v>
      </c>
      <c r="V174">
        <v>45863</v>
      </c>
      <c r="W174" t="str">
        <v>Alfonso Fonseca A</v>
      </c>
      <c r="X174" t="str">
        <v>Alfonso Fonseca A</v>
      </c>
      <c r="Y174" t="str">
        <v>Se monetiza ya que el valor ofrecido por el banco en cada divisa es superior al valor facturado</v>
      </c>
      <c r="Z174">
        <f>K174*O174</f>
        <v>21358519.73</v>
      </c>
      <c r="AA174">
        <f>Z174-Q174</f>
        <v>1418840.013799999</v>
      </c>
    </row>
    <row r="175">
      <c r="B175">
        <v>144</v>
      </c>
      <c r="C175" t="str">
        <v>Remofirst</v>
      </c>
      <c r="D175">
        <v>6099</v>
      </c>
      <c r="E175">
        <v>45863</v>
      </c>
      <c r="F175">
        <v>45923</v>
      </c>
      <c r="J175">
        <f>IFERROR(IF(TODAY()&gt;=E175,(TODAY()-E175)/I175,0),0)*0</f>
        <v>0</v>
      </c>
      <c r="K175">
        <f>429.66-292.46</f>
        <v>137.20000000000005</v>
      </c>
      <c r="L175">
        <v>137.2</v>
      </c>
      <c r="M175">
        <f>K175-L175</f>
        <v>0</v>
      </c>
      <c r="N175">
        <v>3847.71</v>
      </c>
      <c r="O175">
        <v>4121.5</v>
      </c>
      <c r="P175">
        <f>O175-N175</f>
        <v>273.78999999999996</v>
      </c>
      <c r="Q175">
        <f>K175*N175</f>
        <v>527905.8120000002</v>
      </c>
      <c r="R175">
        <f>L175*O175</f>
        <v>565469.7999999999</v>
      </c>
      <c r="S175">
        <f>R175-Q175</f>
        <v>37563.98799999978</v>
      </c>
      <c r="T175" t="str">
        <f>IF(R175&lt;= Q175,"No Monetizar","Monetizar")</f>
        <v>Monetizar</v>
      </c>
      <c r="V175">
        <v>45863</v>
      </c>
      <c r="W175" t="str">
        <v>Alfonso Fonseca A</v>
      </c>
      <c r="X175" t="str">
        <v>Alfonso Fonseca A</v>
      </c>
      <c r="Y175" t="str">
        <v>Se monetiza ya que el valor ofrecido por el banco en cada divisa es superior al valor facturado</v>
      </c>
      <c r="Z175">
        <f>K175*O175</f>
        <v>565469.8000000002</v>
      </c>
      <c r="AA175">
        <f>Z175-Q175</f>
        <v>37563.98800000001</v>
      </c>
    </row>
    <row r="176">
      <c r="B176">
        <v>145</v>
      </c>
      <c r="C176" t="str">
        <v>Bubble BPM</v>
      </c>
      <c r="D176">
        <v>6025</v>
      </c>
      <c r="E176">
        <v>45821</v>
      </c>
      <c r="F176">
        <v>45881</v>
      </c>
      <c r="J176">
        <f>IFERROR(IF(TODAY()&gt;=E176,(TODAY()-E176)/I176,0),0)*0</f>
        <v>0</v>
      </c>
      <c r="K176">
        <v>949.72</v>
      </c>
      <c r="L176">
        <v>924.72</v>
      </c>
      <c r="M176">
        <f>K176-L176</f>
        <v>25</v>
      </c>
      <c r="N176">
        <v>4049.13</v>
      </c>
      <c r="O176">
        <v>4175.2</v>
      </c>
      <c r="P176">
        <f>O176-N176</f>
        <v>126.06999999999971</v>
      </c>
      <c r="Q176">
        <f>K176*N176</f>
        <v>3845539.7436</v>
      </c>
      <c r="R176">
        <f>L176*O176</f>
        <v>3860890.944</v>
      </c>
      <c r="S176">
        <f>R176-Q176</f>
        <v>15351.200399999972</v>
      </c>
      <c r="T176" t="str">
        <f>IF(R176&lt;= Q176,"No Monetizar","Monetizar")</f>
        <v>Monetizar</v>
      </c>
      <c r="V176">
        <v>45868</v>
      </c>
      <c r="W176" t="str">
        <v>Alfonso Fonseca A</v>
      </c>
      <c r="X176" t="str">
        <v>Alfonso Fonseca A</v>
      </c>
      <c r="Y176" t="str">
        <v>Se monetiza ya que el valor ofrecido por el banco en cada divisa es superior al valor facturado</v>
      </c>
      <c r="Z176">
        <f>K176*O176</f>
        <v>3965270.944</v>
      </c>
      <c r="AA176">
        <f>Z176-Q176</f>
        <v>119731.20039999997</v>
      </c>
    </row>
    <row r="177">
      <c r="B177">
        <v>146</v>
      </c>
      <c r="C177" t="str">
        <v>Insider</v>
      </c>
      <c r="D177">
        <v>6164</v>
      </c>
      <c r="E177">
        <v>45870</v>
      </c>
      <c r="F177">
        <v>45930</v>
      </c>
      <c r="J177">
        <f>IFERROR(IF(TODAY()&gt;=E177,(TODAY()-E177)/I177,0),0)*0</f>
        <v>0</v>
      </c>
      <c r="K177">
        <v>147790.31</v>
      </c>
      <c r="L177">
        <v>147775.31</v>
      </c>
      <c r="M177">
        <f>K177-L177</f>
        <v>15</v>
      </c>
      <c r="N177">
        <v>4090.48</v>
      </c>
      <c r="O177">
        <v>4112.5</v>
      </c>
      <c r="P177">
        <f>O177-N177</f>
        <v>22.019999999999982</v>
      </c>
      <c r="Q177">
        <f>K177*N177</f>
        <v>604533307.2488</v>
      </c>
      <c r="R177">
        <f>L177*O177</f>
        <v>607725962.375</v>
      </c>
      <c r="S177">
        <f>R177-Q177</f>
        <v>3192655.1261999607</v>
      </c>
      <c r="T177" t="str">
        <f>IF(R177&lt;= Q177,"No Monetizar","Monetizar")</f>
        <v>Monetizar</v>
      </c>
      <c r="V177">
        <v>45870</v>
      </c>
      <c r="W177" t="str">
        <v>Alfonso Fonseca A</v>
      </c>
      <c r="X177" t="str">
        <v>Alfonso Fonseca A</v>
      </c>
      <c r="Y177" t="str">
        <v>Se monetiza ya que el valor ofrecido por el banco en cada divisa es superior al valor facturado</v>
      </c>
      <c r="Z177">
        <f>K177*O177</f>
        <v>607787649.875</v>
      </c>
      <c r="AA177">
        <f>Z177-Q177</f>
        <v>3254342.6261999607</v>
      </c>
    </row>
    <row r="178" xml:space="preserve">
      <c r="B178">
        <v>147</v>
      </c>
      <c r="C178" t="str">
        <v>Equus Global Expansion, LLC</v>
      </c>
      <c r="D178">
        <v>5874</v>
      </c>
      <c r="E178">
        <v>45819</v>
      </c>
      <c r="F178">
        <v>45879</v>
      </c>
      <c r="J178">
        <f>IFERROR(IF(TODAY()&gt;=E178,(TODAY()-E178)/I178,0),0)*0</f>
        <v>0</v>
      </c>
      <c r="K178">
        <v>924.37</v>
      </c>
      <c r="L178">
        <v>924.37</v>
      </c>
      <c r="M178">
        <f>K178-L178</f>
        <v>0</v>
      </c>
      <c r="N178">
        <v>4229.9</v>
      </c>
      <c r="O178">
        <v>4010.5</v>
      </c>
      <c r="P178">
        <f>O178-N178</f>
        <v>-219.39999999999964</v>
      </c>
      <c r="Q178">
        <f>K178*N178</f>
        <v>3909992.6629999997</v>
      </c>
      <c r="R178">
        <f>L178*O178</f>
        <v>3707185.8850000002</v>
      </c>
      <c r="S178">
        <f>R178-Q178</f>
        <v>-202806.77799999947</v>
      </c>
      <c r="T178" t="str">
        <f>IF(R178&lt;= Q178,"No Monetizar","Monetizar")</f>
        <v>No Monetizar</v>
      </c>
      <c r="V178">
        <v>45877</v>
      </c>
      <c r="W178" t="str">
        <v>Alfonso Fonseca A</v>
      </c>
      <c r="X178" t="str">
        <v>Alfonso Fonseca A</v>
      </c>
      <c r="Y178" t="str" xml:space="preserve">
        <v xml:space="preserve">Se ha decidido monetizar estas divisas a pesar de que el valor recibido está por debajo del monto facturado, considerando que la fecha límite para su devolución vencía el domingo 10 de agosto_x000d_
_x000d_
Adicionalmente, al momento del cobro, fue  $ 4,229,90  y la trm no ha estado por encima de ese valor desde el pasado 09 de mayo. el dinero llego el 16  de junio a partir de esa fecha no ha llegado a estos niveles y se han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78">
        <f>K178*O178</f>
        <v>3707185.8850000002</v>
      </c>
      <c r="AA178">
        <f>Z178-Q178</f>
        <v>-202806.77799999947</v>
      </c>
    </row>
    <row r="179">
      <c r="B179">
        <v>148</v>
      </c>
      <c r="C179" t="str">
        <v>Hemmebarsch GMBH &amp; Co KG</v>
      </c>
      <c r="D179">
        <v>6118</v>
      </c>
      <c r="E179">
        <v>45876</v>
      </c>
      <c r="F179">
        <v>45936</v>
      </c>
      <c r="J179">
        <f>IFERROR(IF(TODAY()&gt;=E179,(TODAY()-E179)/I179,0),0)*0</f>
        <v>0</v>
      </c>
      <c r="K179">
        <v>1214.16</v>
      </c>
      <c r="L179">
        <v>1214.16</v>
      </c>
      <c r="M179">
        <f>K179-L179</f>
        <v>0</v>
      </c>
      <c r="N179">
        <v>3853.9</v>
      </c>
      <c r="O179">
        <v>4010</v>
      </c>
      <c r="P179">
        <f>O179-N179</f>
        <v>156.0999999999999</v>
      </c>
      <c r="Q179">
        <f>K179*N179</f>
        <v>4679251.224</v>
      </c>
      <c r="R179">
        <f>L179*O179</f>
        <v>4868781.600000001</v>
      </c>
      <c r="S179">
        <f>R179-Q179</f>
        <v>189530.37600000016</v>
      </c>
      <c r="T179" t="str">
        <f>IF(R179&lt;= Q179,"No Monetizar","Monetizar")</f>
        <v>Monetizar</v>
      </c>
      <c r="V179">
        <v>45870</v>
      </c>
      <c r="W179" t="str">
        <v>Alfonso Fonseca A</v>
      </c>
      <c r="X179" t="str">
        <v>Alfonso Fonseca A</v>
      </c>
      <c r="Y179" t="str">
        <v>Se monetiza ya que el valor ofrecido por el banco en cada divisa es superior al valor facturado</v>
      </c>
      <c r="Z179">
        <f>K179*O179</f>
        <v>4868781.600000001</v>
      </c>
      <c r="AA179">
        <f>Z179-Q179</f>
        <v>189530.37600000016</v>
      </c>
    </row>
    <row r="180" xml:space="preserve">
      <c r="B180">
        <v>149</v>
      </c>
      <c r="C180" t="str">
        <v>Remofirst</v>
      </c>
      <c r="D180">
        <v>5988</v>
      </c>
      <c r="E180">
        <v>45820</v>
      </c>
      <c r="F180">
        <v>45880</v>
      </c>
      <c r="J180">
        <f>IFERROR(IF(TODAY()&gt;=E180,(TODAY()-E180)/I180,0),0)*0</f>
        <v>0</v>
      </c>
      <c r="K180">
        <v>16433.2</v>
      </c>
      <c r="L180">
        <v>16433.2</v>
      </c>
      <c r="M180">
        <f>K180-L180</f>
        <v>0</v>
      </c>
      <c r="N180">
        <v>4186.79</v>
      </c>
      <c r="O180">
        <v>4051.1</v>
      </c>
      <c r="P180">
        <f>O180-N180</f>
        <v>-135.69000000000005</v>
      </c>
      <c r="Q180">
        <f>K180*N180</f>
        <v>68802357.428</v>
      </c>
      <c r="R180">
        <f>L180*O180</f>
        <v>66572536.52</v>
      </c>
      <c r="S180">
        <f>R180-Q180</f>
        <v>-2229820.908</v>
      </c>
      <c r="T180" t="str">
        <f>IF(R180&lt;= Q180,"No Monetizar","Monetizar")</f>
        <v>No Monetizar</v>
      </c>
      <c r="V180">
        <v>45880</v>
      </c>
      <c r="W180" t="str">
        <v>Alfonso Fonseca A</v>
      </c>
      <c r="X180" t="str">
        <v>Alfonso Fonseca A</v>
      </c>
      <c r="Y180" t="str" xml:space="preserve">
        <v xml:space="preserve">Se ha decidido monetizar estas divisas a pesar de que el valor recibido está por debajo del monto facturado, considerando que la fecha límite para su devolución vencía el hoy lunes 11 de agosto_x000d_
_x000d_
Adicionalmente, al momento del cobro, fue  $ 4,186.79  y la trm no ha estado por encima de ese valor desde el pasado 11 de julio. el dinero llego el 12  de junio en horas de la tarde cuando comercio exterior ya estaba cerrado a partir de esa fecha no ha llegado a estos niveles y se han disminuciones sustanciales, sin alcanzar en punto de equilibrio para ingresar los recursos, solo se alcanzo una valor similar el 01 de agosto con una TRM 4,186,71 pero el banco para ese día tenia la página caida lo que no permitio negociar ninguna divisa,._x000d_
_x000d_
Esta situación fue presentada al Director General el día lunes 08 de agosto en reunión de revisión de los flujos de caja  y se evaluó el escenario y determinó que, pese a la pérdida por diferencia en cambio, no había opción de alcanzar el valor de la divisa facturado , adicional que existía una alta probabilidad de que los recursos tuvieran que ser devueltos al cliente.</v>
      </c>
      <c r="Z180">
        <f>K180*O180</f>
        <v>66572536.52</v>
      </c>
      <c r="AA180">
        <f>Z180-Q180</f>
        <v>-2229820.908</v>
      </c>
    </row>
    <row r="181" xml:space="preserve">
      <c r="B181">
        <v>150</v>
      </c>
      <c r="C181" t="str">
        <v>Remofirst</v>
      </c>
      <c r="D181">
        <v>5989</v>
      </c>
      <c r="E181">
        <v>45820</v>
      </c>
      <c r="F181">
        <v>45880</v>
      </c>
      <c r="J181">
        <f>IFERROR(IF(TODAY()&gt;=E181,(TODAY()-E181)/I181,0),0)*0</f>
        <v>0</v>
      </c>
      <c r="K181">
        <v>2166</v>
      </c>
      <c r="L181">
        <v>2166</v>
      </c>
      <c r="M181">
        <f>K181-L181</f>
        <v>0</v>
      </c>
      <c r="N181">
        <v>4186.79</v>
      </c>
      <c r="O181">
        <v>4051.1</v>
      </c>
      <c r="P181">
        <f>O181-N181</f>
        <v>-135.69000000000005</v>
      </c>
      <c r="Q181">
        <f>K181*N181</f>
        <v>9068587.14</v>
      </c>
      <c r="R181">
        <f>L181*O181</f>
        <v>8774682.6</v>
      </c>
      <c r="S181">
        <f>R181-Q181</f>
        <v>-293904.54000000097</v>
      </c>
      <c r="T181" t="str">
        <f>IF(R181&lt;= Q181,"No Monetizar","Monetizar")</f>
        <v>No Monetizar</v>
      </c>
      <c r="V181">
        <v>45880</v>
      </c>
      <c r="W181" t="str">
        <v>Alfonso Fonseca A</v>
      </c>
      <c r="X181" t="str">
        <v>Alfonso Fonseca A</v>
      </c>
      <c r="Y181" t="str" xml:space="preserve">
        <v xml:space="preserve">Se ha decidido monetizar estas divisas a pesar de que el valor recibido está por debajo del monto facturado, considerando que la fecha límite para su devolución vencía el hoy lunes 11 de agosto_x000d_
_x000d_
Adicionalmente, al momento del cobro, fue  $ 4,186.79  y la trm no ha estado por encima de ese valor desde el pasado 11 de julio. el dinero llego el 12  de junio en horas de la tarde cuando comercio exterior ya estaba cerrado a partir de esa fecha no ha llegado a estos niveles y se han disminuciones sustanciales, sin alcanzar en punto de equilibrio para ingresar los recursos, solo se alcanzo una valor similar el 01 de agosto con una TRM 4,186,71 pero el banco para ese día tenia la página caida lo que no permitio negociar ninguna divisa,._x000d_
_x000d_
Esta situación fue presentada al Director General el día lunes 08 de agosto en reunión de revisión de los flujos de caja  y se evaluó el escenario y determinó que, pese a la pérdida por diferencia en cambio, no había opción de alcanzar el valor de la divisa facturado , adicional que existía una alta probabilidad de que los recursos tuvieran que ser devueltos al cliente.</v>
      </c>
      <c r="Z181">
        <f>K181*O181</f>
        <v>8774682.6</v>
      </c>
      <c r="AA181">
        <f>Z181-Q181</f>
        <v>-293904.54000000097</v>
      </c>
    </row>
    <row r="182" xml:space="preserve">
      <c r="B182">
        <v>151</v>
      </c>
      <c r="C182" t="str">
        <v>Global Project</v>
      </c>
      <c r="D182">
        <v>5849</v>
      </c>
      <c r="E182">
        <v>45821</v>
      </c>
      <c r="F182">
        <v>45881</v>
      </c>
      <c r="J182">
        <f>IFERROR(IF(TODAY()&gt;=E182,(TODAY()-E182)/I182,0),0)*0</f>
        <v>0</v>
      </c>
      <c r="K182">
        <v>1316.4</v>
      </c>
      <c r="L182">
        <f>1316.4-8</f>
        <v>1308.4</v>
      </c>
      <c r="M182">
        <f>K182-L182</f>
        <v>8</v>
      </c>
      <c r="N182">
        <v>4351.55</v>
      </c>
      <c r="O182">
        <v>4008.59</v>
      </c>
      <c r="P182">
        <f>O182-N182</f>
        <v>-342.96000000000004</v>
      </c>
      <c r="Q182">
        <f>K182*N182</f>
        <v>5728380.420000001</v>
      </c>
      <c r="R182">
        <f>L182*O182</f>
        <v>5244839.156</v>
      </c>
      <c r="S182">
        <f>R182-Q182</f>
        <v>-483541.26400000043</v>
      </c>
      <c r="T182" t="str">
        <f>IF(R182&lt;= Q182,"No Monetizar","Monetizar")</f>
        <v>No Monetizar</v>
      </c>
      <c r="V182">
        <v>45881</v>
      </c>
      <c r="W182" t="str">
        <v>Alfonso Fonseca A</v>
      </c>
      <c r="X182" t="str">
        <v>Alfonso Fonseca A</v>
      </c>
      <c r="Y182" t="str" xml:space="preserve">
        <v xml:space="preserve">Se ha decidido monetizar estas divisas a pesar de que el valor recibido está por debajo del monto facturado, considerando que la fecha límite para su devolución vencía el hoy martes 12 de agosto_x000d_
_x000d_
Adicionalmente, al momento del cobro, fue  $ 4,186.79  y la trm no ha estado por encima de ese valor desde el pasado 07 de enero. el dinero llego el 13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82">
        <f>K182*O182</f>
        <v>5276907.876</v>
      </c>
      <c r="AA182">
        <f>Z182-Q182</f>
        <v>-451472.5440000007</v>
      </c>
    </row>
    <row r="183" xml:space="preserve">
      <c r="B183">
        <v>152</v>
      </c>
      <c r="C183" t="str">
        <v>Global Project</v>
      </c>
      <c r="D183">
        <v>5887</v>
      </c>
      <c r="E183">
        <v>45821</v>
      </c>
      <c r="F183">
        <v>45881</v>
      </c>
      <c r="J183">
        <f>IFERROR(IF(TODAY()&gt;=E183,(TODAY()-E183)/I183,0),0)*0</f>
        <v>0</v>
      </c>
      <c r="K183">
        <v>650</v>
      </c>
      <c r="L183">
        <f>650-2</f>
        <v>648</v>
      </c>
      <c r="M183">
        <f>K183-L183</f>
        <v>2</v>
      </c>
      <c r="N183">
        <v>4283.22</v>
      </c>
      <c r="O183">
        <v>4008.59</v>
      </c>
      <c r="P183">
        <f>O183-N183</f>
        <v>-274.6300000000001</v>
      </c>
      <c r="Q183">
        <f>K183*N183</f>
        <v>2784093</v>
      </c>
      <c r="R183">
        <f>L183*O183</f>
        <v>2597566.3200000003</v>
      </c>
      <c r="S183">
        <f>R183-Q183</f>
        <v>-186526.6799999997</v>
      </c>
      <c r="T183" t="str">
        <f>IF(R183&lt;= Q183,"No Monetizar","Monetizar")</f>
        <v>No Monetizar</v>
      </c>
      <c r="V183">
        <v>45881</v>
      </c>
      <c r="W183" t="str">
        <v>Alfonso Fonseca A</v>
      </c>
      <c r="X183" t="str">
        <v>Alfonso Fonseca A</v>
      </c>
      <c r="Y183" t="str" xml:space="preserve">
        <v xml:space="preserve">Se ha decidido monetizar estas divisas a pesar de que el valor recibido está por debajo del monto facturado, considerando que la fecha límite para su devolución vencía el hoy martes 12 de agosto_x000d_
_x000d_
Adicionalmente, al momento del cobro, fue  $ 4,186.79  y la trm no ha estado por encima de ese valor desde el pasado 06 de mayo. el dinero llego el 13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83">
        <f>K183*O183</f>
        <v>2605583.5</v>
      </c>
      <c r="AA183">
        <f>Z183-Q183</f>
        <v>-178509.5</v>
      </c>
    </row>
    <row r="184" xml:space="preserve">
      <c r="B184">
        <v>153</v>
      </c>
      <c r="C184" t="str">
        <v>Advancio</v>
      </c>
      <c r="D184">
        <v>5899</v>
      </c>
      <c r="E184">
        <v>45823</v>
      </c>
      <c r="F184">
        <v>45883</v>
      </c>
      <c r="J184">
        <f>IFERROR(IF(TODAY()&gt;=E184,(TODAY()-E184)/I184,0),0)*0</f>
        <v>0</v>
      </c>
      <c r="K184">
        <v>320</v>
      </c>
      <c r="L184">
        <v>320</v>
      </c>
      <c r="M184">
        <f>K184-L184</f>
        <v>0</v>
      </c>
      <c r="N184">
        <v>4188.31</v>
      </c>
      <c r="O184">
        <v>4020</v>
      </c>
      <c r="P184">
        <f>O184-N184</f>
        <v>-168.3100000000004</v>
      </c>
      <c r="Q184">
        <f>K184*N184</f>
        <v>1340259.2000000002</v>
      </c>
      <c r="R184">
        <f>L184*O184</f>
        <v>1286400</v>
      </c>
      <c r="S184">
        <f>R184-Q184</f>
        <v>-53859.200000000186</v>
      </c>
      <c r="T184" t="str">
        <f>IF(R184&lt;= Q184,"No Monetizar","Monetizar")</f>
        <v>No Monetizar</v>
      </c>
      <c r="V184">
        <v>45881</v>
      </c>
      <c r="W184" t="str">
        <v>Alfonso Fonseca A</v>
      </c>
      <c r="X184" t="str">
        <v>Alfonso Fonseca A</v>
      </c>
      <c r="Y184" t="str" xml:space="preserve">
        <v xml:space="preserve">Se ha decidido monetizar estas divisas a pesar de que el valor recibido está por debajo del monto facturado, considerando que la fecha límite para su devolución vencía el hoy viernes 15 de agosto_x000d_
_x000d_
Adicionalmente, al momento del cobro, fue  $ 4,188.31  y la trm no ha estado por encima de ese valor desde el pasado 06 de mayo. el dinero llego el 15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84">
        <f>K184*O184</f>
        <v>1286400</v>
      </c>
      <c r="AA184">
        <f>Z184-Q184</f>
        <v>-53859.200000000186</v>
      </c>
    </row>
    <row r="185">
      <c r="B185">
        <v>154</v>
      </c>
      <c r="C185" t="str">
        <v>Flexco</v>
      </c>
      <c r="D185">
        <v>6112</v>
      </c>
      <c r="E185">
        <v>45883</v>
      </c>
      <c r="F185">
        <v>45943</v>
      </c>
      <c r="J185">
        <f>IFERROR(IF(TODAY()&gt;=E185,(TODAY()-E185)/I185,0),0)*0</f>
        <v>0</v>
      </c>
      <c r="K185">
        <v>3974.29</v>
      </c>
      <c r="L185">
        <v>3964.29</v>
      </c>
      <c r="M185">
        <f>K185-L185</f>
        <v>10</v>
      </c>
      <c r="N185">
        <v>3899.9</v>
      </c>
      <c r="O185">
        <v>4017.51</v>
      </c>
      <c r="P185">
        <f>O185-N185</f>
        <v>117.61000000000013</v>
      </c>
      <c r="Q185">
        <f>K185*N185</f>
        <v>15499333.571</v>
      </c>
      <c r="R185">
        <f>L185*O185</f>
        <v>15926574.7179</v>
      </c>
      <c r="S185">
        <f>R185-Q185</f>
        <v>427241.14690000005</v>
      </c>
      <c r="T185" t="str">
        <f>IF(R185&lt;= Q185,"No Monetizar","Monetizar")</f>
        <v>Monetizar</v>
      </c>
      <c r="V185">
        <v>45888</v>
      </c>
      <c r="W185" t="str">
        <v>Alfonso Fonseca A</v>
      </c>
      <c r="X185" t="str">
        <v>Alfonso Fonseca A</v>
      </c>
      <c r="Y185" t="str">
        <v>Se monetiza ya que el valor ofrecido por el banco en cada divisa es superior al valor facturado</v>
      </c>
      <c r="Z185">
        <f>K185*O185</f>
        <v>15966749.8179</v>
      </c>
      <c r="AA185">
        <f>Z185-Q185</f>
        <v>467416.2468999997</v>
      </c>
    </row>
    <row r="186">
      <c r="B186">
        <v>155</v>
      </c>
      <c r="C186" t="str">
        <v>Equus Global Expansion, LLC</v>
      </c>
      <c r="D186">
        <v>6207</v>
      </c>
      <c r="E186">
        <v>45888</v>
      </c>
      <c r="F186">
        <v>45948</v>
      </c>
      <c r="J186">
        <f>IFERROR(IF(TODAY()&gt;=E186,(TODAY()-E186)/I186,0),0)*0</f>
        <v>0</v>
      </c>
      <c r="K186">
        <v>178.5</v>
      </c>
      <c r="L186">
        <v>178.5</v>
      </c>
      <c r="M186">
        <f>K186-L186</f>
        <v>0</v>
      </c>
      <c r="N186">
        <v>3917.12</v>
      </c>
      <c r="O186">
        <v>4021.3</v>
      </c>
      <c r="P186">
        <f>O186-N186</f>
        <v>104.18000000000029</v>
      </c>
      <c r="Q186">
        <f>K186*N186</f>
        <v>699205.9199999999</v>
      </c>
      <c r="R186">
        <f>L186*O186</f>
        <v>717802.05</v>
      </c>
      <c r="S186">
        <f>R186-Q186</f>
        <v>18596.13000000012</v>
      </c>
      <c r="T186" t="str">
        <f>IF(R186&lt;= Q186,"No Monetizar","Monetizar")</f>
        <v>Monetizar</v>
      </c>
      <c r="V186">
        <v>45890</v>
      </c>
      <c r="W186" t="str">
        <v>Alfonso Fonseca A</v>
      </c>
      <c r="X186" t="str">
        <v>Alfonso Fonseca A</v>
      </c>
      <c r="Y186" t="str">
        <v>Se monetiza ya que el valor ofrecido por el banco en cada divisa es superior al valor facturado</v>
      </c>
      <c r="Z186">
        <f>K186*O186</f>
        <v>717802.05</v>
      </c>
      <c r="AA186">
        <f>Z186-Q186</f>
        <v>18596.13000000012</v>
      </c>
    </row>
    <row r="187">
      <c r="B187">
        <v>156</v>
      </c>
      <c r="C187" t="str">
        <v>Equus Global Expansion, LLC</v>
      </c>
      <c r="D187" t="str">
        <v>FV-5-15</v>
      </c>
      <c r="E187">
        <v>45888</v>
      </c>
      <c r="F187">
        <v>45948</v>
      </c>
      <c r="J187">
        <f>IFERROR(IF(TODAY()&gt;=E187,(TODAY()-E187)/I187,0),0)*0</f>
        <v>0</v>
      </c>
      <c r="K187">
        <v>1227</v>
      </c>
      <c r="L187">
        <v>1227</v>
      </c>
      <c r="M187">
        <f>K187-L187</f>
        <v>0</v>
      </c>
      <c r="N187">
        <v>3917.12</v>
      </c>
      <c r="O187">
        <v>4021.3</v>
      </c>
      <c r="P187">
        <f>O187-N187</f>
        <v>104.18000000000029</v>
      </c>
      <c r="Q187">
        <f>K187*N187</f>
        <v>4806306.24</v>
      </c>
      <c r="R187">
        <f>L187*O187</f>
        <v>4934135.100000001</v>
      </c>
      <c r="S187">
        <f>R187-Q187</f>
        <v>127828.86000000034</v>
      </c>
      <c r="T187" t="str">
        <f>IF(R187&lt;= Q187,"No Monetizar","Monetizar")</f>
        <v>Monetizar</v>
      </c>
      <c r="V187">
        <v>45890</v>
      </c>
      <c r="W187" t="str">
        <v>Alfonso Fonseca A</v>
      </c>
      <c r="X187" t="str">
        <v>Alfonso Fonseca A</v>
      </c>
      <c r="Y187" t="str">
        <v>Se monetiza ya que el valor ofrecido por el banco en cada divisa es superior al valor facturado</v>
      </c>
      <c r="Z187">
        <f>K187*O187</f>
        <v>4934135.100000001</v>
      </c>
      <c r="AA187">
        <f>Z187-Q187</f>
        <v>127828.86000000034</v>
      </c>
    </row>
    <row r="188">
      <c r="B188">
        <v>157</v>
      </c>
      <c r="C188" t="str">
        <v>Marketing Doctors</v>
      </c>
      <c r="D188">
        <v>6194</v>
      </c>
      <c r="E188">
        <v>45888</v>
      </c>
      <c r="F188">
        <v>45948</v>
      </c>
      <c r="J188">
        <f>IFERROR(IF(TODAY()&gt;=E188,(TODAY()-E188)/I188,0),0)*0</f>
        <v>0</v>
      </c>
      <c r="K188">
        <v>128.17</v>
      </c>
      <c r="L188">
        <v>128.17</v>
      </c>
      <c r="M188">
        <f>K188-L188</f>
        <v>0</v>
      </c>
      <c r="N188">
        <v>3937.12</v>
      </c>
      <c r="O188">
        <v>4022</v>
      </c>
      <c r="P188">
        <f>O188-N188</f>
        <v>84.88000000000011</v>
      </c>
      <c r="Q188">
        <f>K188*N188</f>
        <v>504620.67039999994</v>
      </c>
      <c r="R188">
        <f>L188*O188</f>
        <v>515499.73999999993</v>
      </c>
      <c r="S188">
        <f>R188-Q188</f>
        <v>10879.069599999988</v>
      </c>
      <c r="T188" t="str">
        <f>IF(R188&lt;= Q188,"No Monetizar","Monetizar")</f>
        <v>Monetizar</v>
      </c>
      <c r="V188">
        <v>45890</v>
      </c>
      <c r="W188" t="str">
        <v>Alfonso Fonseca A</v>
      </c>
      <c r="X188" t="str">
        <v>Alfonso Fonseca A</v>
      </c>
      <c r="Y188" t="str">
        <v>Se monetiza ya que el valor ofrecido por el banco en cada divisa es superior al valor facturado</v>
      </c>
      <c r="Z188">
        <f>K188*O188</f>
        <v>515499.73999999993</v>
      </c>
      <c r="AA188">
        <f>Z188-Q188</f>
        <v>10879.069599999988</v>
      </c>
    </row>
    <row r="189">
      <c r="B189">
        <v>158</v>
      </c>
      <c r="C189" t="str">
        <v>Marketing Doctors</v>
      </c>
      <c r="D189" t="str">
        <v>FV-5-3</v>
      </c>
      <c r="E189">
        <v>45888</v>
      </c>
      <c r="F189">
        <v>45948</v>
      </c>
      <c r="J189">
        <f>IFERROR(IF(TODAY()&gt;=E189,(TODAY()-E189)/I189,0),0)*0</f>
        <v>0</v>
      </c>
      <c r="K189">
        <v>1165.27</v>
      </c>
      <c r="L189">
        <v>1165.27</v>
      </c>
      <c r="M189">
        <f>K189-L189</f>
        <v>0</v>
      </c>
      <c r="N189">
        <v>3937.12</v>
      </c>
      <c r="O189">
        <v>4022</v>
      </c>
      <c r="P189">
        <f>O189-N189</f>
        <v>84.88000000000011</v>
      </c>
      <c r="Q189">
        <f>K189*N189</f>
        <v>4587807.8224</v>
      </c>
      <c r="R189">
        <f>L189*O189</f>
        <v>4686715.9399999995</v>
      </c>
      <c r="S189">
        <f>R189-Q189</f>
        <v>98908.11759999953</v>
      </c>
      <c r="T189" t="str">
        <f>IF(R189&lt;= Q189,"No Monetizar","Monetizar")</f>
        <v>Monetizar</v>
      </c>
      <c r="V189">
        <v>45890</v>
      </c>
      <c r="W189" t="str">
        <v>Alfonso Fonseca A</v>
      </c>
      <c r="X189" t="str">
        <v>Alfonso Fonseca A</v>
      </c>
      <c r="Y189" t="str">
        <v>Se monetiza ya que el valor ofrecido por el banco en cada divisa es superior al valor facturado</v>
      </c>
      <c r="Z189">
        <f>K189*O189</f>
        <v>4686715.9399999995</v>
      </c>
      <c r="AA189">
        <f>Z189-Q189</f>
        <v>98908.11759999953</v>
      </c>
    </row>
    <row r="190">
      <c r="B190">
        <v>159</v>
      </c>
      <c r="C190" t="str">
        <v>Oncehub</v>
      </c>
      <c r="D190">
        <v>6197</v>
      </c>
      <c r="E190">
        <v>45888</v>
      </c>
      <c r="F190">
        <v>45948</v>
      </c>
      <c r="J190">
        <f>IFERROR(IF(TODAY()&gt;=E190,(TODAY()-E190)/I190,0),0)*0</f>
        <v>0</v>
      </c>
      <c r="K190">
        <v>285.6</v>
      </c>
      <c r="L190">
        <v>283.8518852218196</v>
      </c>
      <c r="M190">
        <f>K190-L190</f>
        <v>1.7481147781804225</v>
      </c>
      <c r="N190">
        <v>3936.78</v>
      </c>
      <c r="O190">
        <v>4022.2</v>
      </c>
      <c r="P190">
        <f>O190-N190</f>
        <v>85.41999999999962</v>
      </c>
      <c r="Q190">
        <f>K190*N190</f>
        <v>1124344.3680000002</v>
      </c>
      <c r="R190">
        <f>L190*O190</f>
        <v>1141709.0527392027</v>
      </c>
      <c r="S190">
        <f>R190-Q190</f>
        <v>17364.684739202494</v>
      </c>
      <c r="T190" t="str">
        <f>IF(R190&lt;= Q190,"No Monetizar","Monetizar")</f>
        <v>Monetizar</v>
      </c>
      <c r="V190">
        <v>45890</v>
      </c>
      <c r="W190" t="str">
        <v>Alfonso Fonseca A</v>
      </c>
      <c r="X190" t="str">
        <v>Alfonso Fonseca A</v>
      </c>
      <c r="Y190" t="str">
        <v>Se monetiza ya que el valor ofrecido por el banco en cada divisa es superior al valor facturado</v>
      </c>
      <c r="Z190">
        <f>K190*O190</f>
        <v>1148740.32</v>
      </c>
      <c r="AA190">
        <f>Z190-Q190</f>
        <v>24395.951999999816</v>
      </c>
    </row>
    <row r="191">
      <c r="B191">
        <v>160</v>
      </c>
      <c r="C191" t="str">
        <v>Oncehub</v>
      </c>
      <c r="D191" t="str">
        <v>FV-5-6</v>
      </c>
      <c r="E191">
        <v>45888</v>
      </c>
      <c r="F191">
        <v>45948</v>
      </c>
      <c r="J191">
        <f>IFERROR(IF(TODAY()&gt;=E191,(TODAY()-E191)/I191,0),0)*0</f>
        <v>0</v>
      </c>
      <c r="K191">
        <v>2981.92</v>
      </c>
      <c r="L191">
        <v>2963.66811477818</v>
      </c>
      <c r="M191">
        <f>K191-L191</f>
        <v>18.251885221819975</v>
      </c>
      <c r="N191">
        <v>3936.78</v>
      </c>
      <c r="O191">
        <v>4022.2</v>
      </c>
      <c r="P191">
        <f>O191-N191</f>
        <v>85.41999999999962</v>
      </c>
      <c r="Q191">
        <f>K191*N191</f>
        <v>11739163.017600002</v>
      </c>
      <c r="R191">
        <f>L191*O191</f>
        <v>11920465.891260795</v>
      </c>
      <c r="S191">
        <f>R191-Q191</f>
        <v>181302.87366079353</v>
      </c>
      <c r="T191" t="str">
        <f>IF(R191&lt;= Q191,"No Monetizar","Monetizar")</f>
        <v>Monetizar</v>
      </c>
      <c r="V191">
        <v>45890</v>
      </c>
      <c r="W191" t="str">
        <v>Alfonso Fonseca A</v>
      </c>
      <c r="X191" t="str">
        <v>Alfonso Fonseca A</v>
      </c>
      <c r="Y191" t="str">
        <v>Se monetiza ya que el valor ofrecido por el banco en cada divisa es superior al valor facturado</v>
      </c>
      <c r="Z191">
        <f>K191*O191</f>
        <v>11993878.624</v>
      </c>
      <c r="AA191">
        <f>Z191-Q191</f>
        <v>254715.60639999807</v>
      </c>
    </row>
    <row r="192">
      <c r="B192">
        <v>161</v>
      </c>
      <c r="C192" t="str">
        <v>Action</v>
      </c>
      <c r="D192">
        <v>6183</v>
      </c>
      <c r="E192">
        <v>45888</v>
      </c>
      <c r="F192">
        <v>45948</v>
      </c>
      <c r="J192">
        <f>IFERROR(IF(TODAY()&gt;=E192,(TODAY()-E192)/I192,0),0)*0</f>
        <v>0</v>
      </c>
      <c r="K192">
        <v>369.22</v>
      </c>
      <c r="L192">
        <v>369.22</v>
      </c>
      <c r="M192">
        <f>K192-L192</f>
        <v>0</v>
      </c>
      <c r="N192">
        <v>4004.74</v>
      </c>
      <c r="O192">
        <v>4016.5</v>
      </c>
      <c r="P192">
        <f>O192-N192</f>
        <v>11.760000000000218</v>
      </c>
      <c r="Q192">
        <f>K192*N192</f>
        <v>1478630.1028</v>
      </c>
      <c r="R192">
        <f>L192*O192</f>
        <v>1482972.1300000001</v>
      </c>
      <c r="S192">
        <f>R192-Q192</f>
        <v>4342.027200000128</v>
      </c>
      <c r="T192" t="str">
        <f>IF(R192&lt;= Q192,"No Monetizar","Monetizar")</f>
        <v>Monetizar</v>
      </c>
      <c r="V192">
        <v>45890</v>
      </c>
      <c r="W192" t="str">
        <v>Alfonso Fonseca A</v>
      </c>
      <c r="X192" t="str">
        <v>Alfonso Fonseca A</v>
      </c>
      <c r="Y192" t="str">
        <v>Se monetiza ya que el valor ofrecido por el banco en cada divisa es superior al valor facturado</v>
      </c>
      <c r="Z192">
        <f>K192*O192</f>
        <v>1482972.1300000001</v>
      </c>
      <c r="AA192">
        <f>Z192-Q192</f>
        <v>4342.027200000128</v>
      </c>
    </row>
    <row r="193">
      <c r="B193">
        <v>162</v>
      </c>
      <c r="C193" t="str">
        <v>Action</v>
      </c>
      <c r="D193" t="str">
        <v>FV-5-X</v>
      </c>
      <c r="E193">
        <v>45888</v>
      </c>
      <c r="F193">
        <v>45948</v>
      </c>
      <c r="J193">
        <f>IFERROR(IF(TODAY()&gt;=E193,(TODAY()-E193)/I193,0),0)*0</f>
        <v>0</v>
      </c>
      <c r="K193">
        <v>3356.56</v>
      </c>
      <c r="L193">
        <v>3356.56</v>
      </c>
      <c r="M193">
        <f>K193-L193</f>
        <v>0</v>
      </c>
      <c r="N193">
        <v>4004.74</v>
      </c>
      <c r="O193">
        <v>4016.5</v>
      </c>
      <c r="P193">
        <f>O193-N193</f>
        <v>11.760000000000218</v>
      </c>
      <c r="Q193">
        <f>K193*N193</f>
        <v>13442150.0944</v>
      </c>
      <c r="R193">
        <f>L193*O193</f>
        <v>13481623.24</v>
      </c>
      <c r="S193">
        <f>R193-Q193</f>
        <v>39473.1456000004</v>
      </c>
      <c r="T193" t="str">
        <f>IF(R193&lt;= Q193,"No Monetizar","Monetizar")</f>
        <v>Monetizar</v>
      </c>
      <c r="V193">
        <v>45890</v>
      </c>
      <c r="W193" t="str">
        <v>Alfonso Fonseca A</v>
      </c>
      <c r="X193" t="str">
        <v>Alfonso Fonseca A</v>
      </c>
      <c r="Y193" t="str">
        <v>Se monetiza ya que el valor ofrecido por el banco en cada divisa es superior al valor facturado</v>
      </c>
      <c r="Z193">
        <f>K193*O193</f>
        <v>13481623.24</v>
      </c>
      <c r="AA193">
        <f>Z193-Q193</f>
        <v>39473.1456000004</v>
      </c>
    </row>
    <row r="194" xml:space="preserve">
      <c r="B194">
        <v>163</v>
      </c>
      <c r="C194" t="str">
        <v>Insider</v>
      </c>
      <c r="D194" t="str">
        <v>FV-5-20</v>
      </c>
      <c r="E194">
        <v>45891</v>
      </c>
      <c r="F194">
        <v>45950</v>
      </c>
      <c r="J194">
        <f>IFERROR(IF(TODAY()&gt;=E194,(TODAY()-E194)/I194,0),0)*0</f>
        <v>0</v>
      </c>
      <c r="K194">
        <v>1052.67</v>
      </c>
      <c r="L194">
        <v>1042.67</v>
      </c>
      <c r="M194">
        <f>K194-L194</f>
        <v>10</v>
      </c>
      <c r="N194">
        <v>3999.24</v>
      </c>
      <c r="O194">
        <v>3988.3</v>
      </c>
      <c r="P194">
        <f>O194-N194</f>
        <v>-10.9399999999996</v>
      </c>
      <c r="Q194">
        <f>K194*N194</f>
        <v>4209879.9708</v>
      </c>
      <c r="R194">
        <f>L194*O194</f>
        <v>4158480.7610000004</v>
      </c>
      <c r="S194">
        <f>R194-Q194</f>
        <v>-51399.20979999984</v>
      </c>
      <c r="T194" t="str">
        <f>IF(R194&lt;= Q194,"No Monetizar","Monetizar")</f>
        <v>No Monetizar</v>
      </c>
      <c r="V194">
        <v>45890</v>
      </c>
      <c r="W194" t="str">
        <v>Alfonso Fonseca A</v>
      </c>
      <c r="X194" t="str">
        <v>Alfonso Fonseca A</v>
      </c>
      <c r="Y194" t="str" xml:space="preserve">
        <v xml:space="preserve">Se ha decidido monetizar estas divisas a pesar de que el valor recibido está por debajo del monto facturado, considerando que la fecha límite para su devolución vencía el hoy viernes 15 de agosto_x000d_
_x000d_
Adicionalmente, al momento del cobro, fue  $ 4,188.31  y la trm no ha estado por encima de ese valor desde el pasado 06 de mayo. el dinero llego el 15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94">
        <f>K194*O194</f>
        <v>4198363.761000001</v>
      </c>
      <c r="AA194">
        <f>Z194-Q194</f>
        <v>-11516.209799999371</v>
      </c>
    </row>
    <row r="195">
      <c r="B195">
        <v>164</v>
      </c>
      <c r="C195" t="str">
        <v>Flexco</v>
      </c>
      <c r="D195" t="str">
        <v>FV-4-6195</v>
      </c>
      <c r="E195">
        <v>45891</v>
      </c>
      <c r="F195">
        <v>45950</v>
      </c>
      <c r="J195">
        <f>IFERROR(IF(TODAY()&gt;=E195,(TODAY()-E195)/I195,0),0)*0</f>
        <v>0</v>
      </c>
      <c r="K195">
        <v>321.91</v>
      </c>
      <c r="L195">
        <v>321.0843102793766</v>
      </c>
      <c r="M195">
        <f>K195-L195</f>
        <v>0.8256897206234157</v>
      </c>
      <c r="N195">
        <v>3917.12</v>
      </c>
      <c r="O195">
        <v>3995.5</v>
      </c>
      <c r="P195">
        <f>O195-N195</f>
        <v>78.38000000000011</v>
      </c>
      <c r="Q195">
        <f>K195*N195</f>
        <v>1260960.0992</v>
      </c>
      <c r="R195">
        <f>L195*O195</f>
        <v>1282892.3617212493</v>
      </c>
      <c r="S195">
        <f>R195-Q195</f>
        <v>21932.262521249242</v>
      </c>
      <c r="T195" t="str">
        <f>IF(R195&lt;= Q195,"No Monetizar","Monetizar")</f>
        <v>Monetizar</v>
      </c>
      <c r="V195">
        <v>45891</v>
      </c>
      <c r="W195" t="str">
        <v>Alfonso Fonseca A</v>
      </c>
      <c r="X195" t="str">
        <v>Alfonso Fonseca A</v>
      </c>
      <c r="Y195" t="str">
        <v>Se monetiza ya que el valor ofrecido por el banco en cada divisa es superior al valor facturado</v>
      </c>
      <c r="Z195">
        <f>K195*O195</f>
        <v>1286191.405</v>
      </c>
      <c r="AA195">
        <f>Z195-Q195</f>
        <v>25231.305799999973</v>
      </c>
    </row>
    <row r="196">
      <c r="B196">
        <v>165</v>
      </c>
      <c r="C196" t="str">
        <v>Flexco</v>
      </c>
      <c r="D196" t="str">
        <v>FV-5-4</v>
      </c>
      <c r="E196">
        <v>45891</v>
      </c>
      <c r="F196">
        <v>45950</v>
      </c>
      <c r="J196">
        <f>IFERROR(IF(TODAY()&gt;=E196,(TODAY()-E196)/I196,0),0)*0</f>
        <v>0</v>
      </c>
      <c r="K196">
        <v>3576.77</v>
      </c>
      <c r="L196">
        <v>3567.5956897206233</v>
      </c>
      <c r="M196">
        <f>K196-L196</f>
        <v>9.174310279376641</v>
      </c>
      <c r="N196">
        <v>3917.12</v>
      </c>
      <c r="O196">
        <v>3995.5</v>
      </c>
      <c r="P196">
        <f>O196-N196</f>
        <v>78.38000000000011</v>
      </c>
      <c r="Q196">
        <f>K196*N196</f>
        <v>14010637.3024</v>
      </c>
      <c r="R196">
        <f>L196*O196</f>
        <v>14254328.57827875</v>
      </c>
      <c r="S196">
        <f>R196-Q196</f>
        <v>243691.2758787498</v>
      </c>
      <c r="T196" t="str">
        <f>IF(R196&lt;= Q196,"No Monetizar","Monetizar")</f>
        <v>Monetizar</v>
      </c>
      <c r="V196">
        <v>45891</v>
      </c>
      <c r="W196" t="str">
        <v>Alfonso Fonseca A</v>
      </c>
      <c r="X196" t="str">
        <v>Alfonso Fonseca A</v>
      </c>
      <c r="Y196" t="str">
        <v>Se monetiza ya que el valor ofrecido por el banco en cada divisa es superior al valor facturado</v>
      </c>
      <c r="Z196">
        <f>K196*O196</f>
        <v>14290984.535</v>
      </c>
      <c r="AA196">
        <f>Z196-Q196</f>
        <v>280347.23259999976</v>
      </c>
    </row>
    <row r="197">
      <c r="B197">
        <v>166</v>
      </c>
      <c r="C197" t="str">
        <v>Neo</v>
      </c>
      <c r="D197">
        <v>6198</v>
      </c>
      <c r="E197">
        <v>45894</v>
      </c>
      <c r="F197">
        <v>45954</v>
      </c>
      <c r="J197">
        <f>IFERROR(IF(TODAY()&gt;=E197,(TODAY()-E197)/I197,0),0)*0</f>
        <v>0</v>
      </c>
      <c r="K197">
        <v>1783.2</v>
      </c>
      <c r="L197">
        <v>1778.6814777274958</v>
      </c>
      <c r="M197">
        <f>K197-L197</f>
        <v>4.518522272504242</v>
      </c>
      <c r="N197">
        <v>3897.12</v>
      </c>
      <c r="O197">
        <v>3985.35</v>
      </c>
      <c r="P197">
        <f>O197-N197</f>
        <v>88.23000000000002</v>
      </c>
      <c r="Q197">
        <f>K197*N197</f>
        <v>6949344.384</v>
      </c>
      <c r="R197">
        <f>L197*O197</f>
        <v>7088668.227261275</v>
      </c>
      <c r="S197">
        <f>R197-Q197</f>
        <v>139323.84326127544</v>
      </c>
      <c r="T197" t="str">
        <f>IF(R197&lt;= Q197,"No Monetizar","Monetizar")</f>
        <v>Monetizar</v>
      </c>
      <c r="V197">
        <v>45894</v>
      </c>
      <c r="W197" t="str">
        <v>Alfonso Fonseca A</v>
      </c>
      <c r="X197" t="str">
        <v>Alfonso Fonseca A</v>
      </c>
      <c r="Y197" t="str">
        <v>Se monetiza ya que el valor ofrecido por el banco en cada divisa es superior al valor facturado</v>
      </c>
      <c r="Z197">
        <f>K197*O197</f>
        <v>7106676.12</v>
      </c>
      <c r="AA197">
        <f>Z197-Q197</f>
        <v>157331.7360000005</v>
      </c>
    </row>
    <row r="198">
      <c r="B198">
        <v>167</v>
      </c>
      <c r="C198" t="str">
        <v>Neo</v>
      </c>
      <c r="D198" t="str">
        <v>FV-5-7</v>
      </c>
      <c r="E198">
        <v>45894</v>
      </c>
      <c r="F198">
        <v>45954</v>
      </c>
      <c r="J198">
        <f>IFERROR(IF(TODAY()&gt;=E198,(TODAY()-E198)/I198,0),0)*0</f>
        <v>0</v>
      </c>
      <c r="K198">
        <v>22289.98</v>
      </c>
      <c r="L198">
        <v>22233.498522272504</v>
      </c>
      <c r="M198">
        <f>K198-L198</f>
        <v>56.481477727495076</v>
      </c>
      <c r="N198">
        <v>3897.12</v>
      </c>
      <c r="O198">
        <v>3985.35</v>
      </c>
      <c r="P198">
        <f>O198-N198</f>
        <v>88.23000000000002</v>
      </c>
      <c r="Q198">
        <f>K198*N198</f>
        <v>86866726.85759999</v>
      </c>
      <c r="R198">
        <f>L198*O198</f>
        <v>88608273.33573872</v>
      </c>
      <c r="S198">
        <f>R198-Q198</f>
        <v>1741546.47813873</v>
      </c>
      <c r="T198" t="str">
        <f>IF(R198&lt;= Q198,"No Monetizar","Monetizar")</f>
        <v>Monetizar</v>
      </c>
      <c r="V198">
        <v>45894</v>
      </c>
      <c r="W198" t="str">
        <v>Alfonso Fonseca A</v>
      </c>
      <c r="X198" t="str">
        <v>Alfonso Fonseca A</v>
      </c>
      <c r="Y198" t="str">
        <v>Se monetiza ya que el valor ofrecido por el banco en cada divisa es superior al valor facturado</v>
      </c>
      <c r="Z198">
        <f>K198*O198</f>
        <v>88833371.793</v>
      </c>
      <c r="AA198">
        <f>Z198-Q198</f>
        <v>1966644.9354000092</v>
      </c>
    </row>
    <row r="199">
      <c r="B199">
        <v>168</v>
      </c>
      <c r="C199" t="str">
        <v>Rivermate</v>
      </c>
      <c r="D199">
        <v>6069</v>
      </c>
      <c r="E199">
        <v>45883</v>
      </c>
      <c r="F199">
        <v>45943</v>
      </c>
      <c r="J199">
        <f>IFERROR(IF(TODAY()&gt;=E199,(TODAY()-E199)/I199,0),0)*0</f>
        <v>0</v>
      </c>
      <c r="K199">
        <v>3977.79</v>
      </c>
      <c r="L199">
        <v>3961.1492465745314</v>
      </c>
      <c r="M199">
        <f>K199-L199</f>
        <v>16.640753425468574</v>
      </c>
      <c r="N199">
        <f>4680.3</f>
        <v>4680.3</v>
      </c>
      <c r="O199">
        <v>4010</v>
      </c>
      <c r="P199">
        <f>O199-N199</f>
        <v>-670.3000000000002</v>
      </c>
      <c r="Q199">
        <f>K199*N199</f>
        <v>18617250.537</v>
      </c>
      <c r="R199">
        <v>18217509.711168222</v>
      </c>
      <c r="S199">
        <f>R199-Q199</f>
        <v>-399740.82583177835</v>
      </c>
      <c r="T199" t="str">
        <f>IF(R199&lt;= Q199,"No Monetizar","Monetizar")</f>
        <v>No Monetizar</v>
      </c>
      <c r="V199">
        <v>45894</v>
      </c>
      <c r="W199" t="str">
        <v>Alfonso Fonseca A</v>
      </c>
      <c r="X199" t="str">
        <v>Alfonso Fonseca A</v>
      </c>
      <c r="Y199" t="str">
        <v>Se monetiza dentro a pesar que dice no monetizar pero el cliente envio el pago en un solo paquete</v>
      </c>
      <c r="Z199">
        <f>K199*O199</f>
        <v>15950937.9</v>
      </c>
      <c r="AA199">
        <f>Z199-Q199</f>
        <v>-2666312.637</v>
      </c>
    </row>
    <row r="200">
      <c r="B200">
        <v>169</v>
      </c>
      <c r="C200" t="str">
        <v>Rivermate</v>
      </c>
      <c r="D200">
        <v>6110</v>
      </c>
      <c r="E200">
        <v>45883</v>
      </c>
      <c r="F200">
        <v>45943</v>
      </c>
      <c r="J200">
        <f>IFERROR(IF(TODAY()&gt;=E200,(TODAY()-E200)/I200,0),0)*0</f>
        <v>0</v>
      </c>
      <c r="K200">
        <v>8691.28</v>
      </c>
      <c r="L200">
        <v>8654.92075342547</v>
      </c>
      <c r="M200">
        <f>K200-L200</f>
        <v>36.359246574531426</v>
      </c>
      <c r="N200">
        <f>4481.96</f>
        <v>4481.96</v>
      </c>
      <c r="O200">
        <v>4010</v>
      </c>
      <c r="P200">
        <f>O200-N200</f>
        <v>-471.96000000000004</v>
      </c>
      <c r="Q200">
        <f>K200*N200</f>
        <v>38953969.308800004</v>
      </c>
      <c r="R200">
        <v>39804383.28883178</v>
      </c>
      <c r="S200">
        <f>R200-Q200</f>
        <v>850413.9800317734</v>
      </c>
      <c r="T200" t="str">
        <f>IF(R200&lt;= Q200,"No Monetizar","Monetizar")</f>
        <v>Monetizar</v>
      </c>
      <c r="V200">
        <v>45894</v>
      </c>
      <c r="W200" t="str">
        <v>Alfonso Fonseca A</v>
      </c>
      <c r="X200" t="str">
        <v>Alfonso Fonseca A</v>
      </c>
      <c r="Y200" t="str">
        <v>Se monetiza ya que el valor ofrecido por el banco en cada divisa es superior al valor facturado</v>
      </c>
      <c r="Z200">
        <f>K200*O200</f>
        <v>34852032.800000004</v>
      </c>
      <c r="AA200">
        <f>Z200-Q200</f>
        <v>-4101936.5088</v>
      </c>
    </row>
    <row r="201">
      <c r="B201">
        <v>170</v>
      </c>
      <c r="C201" t="str">
        <v>Remofirst</v>
      </c>
      <c r="D201">
        <v>6189</v>
      </c>
      <c r="E201">
        <v>45890</v>
      </c>
      <c r="F201">
        <v>45950</v>
      </c>
      <c r="J201">
        <f>IFERROR(IF(TODAY()&gt;=E201,(TODAY()-E201)/I201,0),0)*0</f>
        <v>0</v>
      </c>
      <c r="K201">
        <f>272075-19391.52-502.91</f>
        <v>252180.57</v>
      </c>
      <c r="L201">
        <f>272075-19391.52-502.91</f>
        <v>252180.57</v>
      </c>
      <c r="M201">
        <f>K201-L201</f>
        <v>0</v>
      </c>
      <c r="N201">
        <v>4004.74</v>
      </c>
      <c r="O201">
        <v>4012.98</v>
      </c>
      <c r="P201">
        <f>O201-N201</f>
        <v>8.240000000000236</v>
      </c>
      <c r="Q201">
        <f>K201*N201</f>
        <v>1009917615.9017999</v>
      </c>
      <c r="R201">
        <f>L201*O201</f>
        <v>1011995583.7986001</v>
      </c>
      <c r="S201">
        <f>R201-Q201</f>
        <v>2077967.8968001604</v>
      </c>
      <c r="T201" t="str">
        <f>IF(R201&lt;= Q201,"No Monetizar","Monetizar")</f>
        <v>Monetizar</v>
      </c>
      <c r="V201">
        <v>45896</v>
      </c>
      <c r="W201" t="str">
        <v>Alfonso Fonseca A</v>
      </c>
      <c r="X201" t="str">
        <v>Alfonso Fonseca A</v>
      </c>
      <c r="Y201" t="str">
        <v>Se monetiza ya que el valor ofrecido por el banco en cada divisa es superior al valor facturado</v>
      </c>
      <c r="Z201">
        <f>K201*O201</f>
        <v>1011995583.7986001</v>
      </c>
      <c r="AA201">
        <f>Z201-Q201</f>
        <v>2077967.8968001604</v>
      </c>
    </row>
    <row r="202">
      <c r="B202">
        <v>171</v>
      </c>
      <c r="C202" t="str">
        <v>Remofirst</v>
      </c>
      <c r="D202">
        <v>6180</v>
      </c>
      <c r="E202">
        <v>45894</v>
      </c>
      <c r="F202">
        <v>45954</v>
      </c>
      <c r="J202">
        <f>IFERROR(IF(TODAY()&gt;=E202,(TODAY()-E202)/I202,0),0)*0</f>
        <v>0</v>
      </c>
      <c r="K202">
        <v>5489.93</v>
      </c>
      <c r="L202">
        <v>5489.93</v>
      </c>
      <c r="M202">
        <f>K202-L202</f>
        <v>0</v>
      </c>
      <c r="N202">
        <v>3847.71</v>
      </c>
      <c r="O202">
        <v>4012.98</v>
      </c>
      <c r="P202">
        <f>O202-N202</f>
        <v>165.26999999999998</v>
      </c>
      <c r="Q202">
        <f>K202*N202</f>
        <v>21123658.5603</v>
      </c>
      <c r="R202">
        <f>L202*O202</f>
        <v>22030979.2914</v>
      </c>
      <c r="S202">
        <f>R202-Q202</f>
        <v>907320.7311000004</v>
      </c>
      <c r="T202" t="str">
        <f>IF(R202&lt;= Q202,"No Monetizar","Monetizar")</f>
        <v>Monetizar</v>
      </c>
      <c r="V202">
        <v>45896</v>
      </c>
      <c r="W202" t="str">
        <v>Alfonso Fonseca A</v>
      </c>
      <c r="X202" t="str">
        <v>Alfonso Fonseca A</v>
      </c>
      <c r="Y202" t="str">
        <v>Se monetiza ya que el valor ofrecido por el banco en cada divisa es superior al valor facturado</v>
      </c>
      <c r="Z202">
        <f>K202*O202</f>
        <v>22030979.2914</v>
      </c>
      <c r="AA202">
        <f>Z202-Q202</f>
        <v>907320.7311000004</v>
      </c>
    </row>
    <row r="203">
      <c r="B203">
        <v>172</v>
      </c>
      <c r="C203" t="str">
        <v>Hong kong yonyou xinfushe cloud technology co</v>
      </c>
      <c r="D203">
        <v>6202</v>
      </c>
      <c r="E203">
        <v>45894</v>
      </c>
      <c r="F203">
        <v>45954</v>
      </c>
      <c r="J203">
        <f>IFERROR(IF(TODAY()&gt;=E203,(TODAY()-E203)/I203,0),0)*0</f>
        <v>0</v>
      </c>
      <c r="K203">
        <v>749.7</v>
      </c>
      <c r="L203">
        <v>749.7</v>
      </c>
      <c r="M203">
        <f>K203-L203</f>
        <v>0</v>
      </c>
      <c r="N203">
        <v>3917.12</v>
      </c>
      <c r="O203">
        <v>4012.98</v>
      </c>
      <c r="P203">
        <f>O203-N203</f>
        <v>95.86000000000013</v>
      </c>
      <c r="Q203">
        <f>K203*N203</f>
        <v>2936664.864</v>
      </c>
      <c r="R203">
        <f>L203*O203</f>
        <v>3008531.106</v>
      </c>
      <c r="S203">
        <f>R203-Q203</f>
        <v>71866.24200000009</v>
      </c>
      <c r="T203" t="str">
        <f>IF(R203&lt;= Q203,"No Monetizar","Monetizar")</f>
        <v>Monetizar</v>
      </c>
      <c r="V203">
        <v>45896</v>
      </c>
      <c r="W203" t="str">
        <v>Alfonso Fonseca A</v>
      </c>
      <c r="X203" t="str">
        <v>Alfonso Fonseca A</v>
      </c>
      <c r="Y203" t="str">
        <v>Se monetiza ya que el valor ofrecido por el banco en cada divisa es superior al valor facturado</v>
      </c>
      <c r="Z203">
        <f>K203*O203</f>
        <v>3008531.106</v>
      </c>
      <c r="AA203">
        <f>Z203-Q203</f>
        <v>71866.24200000009</v>
      </c>
    </row>
    <row r="204">
      <c r="B204">
        <v>173</v>
      </c>
      <c r="C204" t="str">
        <v>Hong kong yonyou xinfushe cloud technology co</v>
      </c>
      <c r="D204" t="str">
        <v>FV-5-7</v>
      </c>
      <c r="E204">
        <v>45894</v>
      </c>
      <c r="F204">
        <v>45954</v>
      </c>
      <c r="J204">
        <f>IFERROR(IF(TODAY()&gt;=E204,(TODAY()-E204)/I204,0),0)*0</f>
        <v>0</v>
      </c>
      <c r="K204">
        <v>11758.38</v>
      </c>
      <c r="L204">
        <v>11758.38</v>
      </c>
      <c r="M204">
        <f>K204-L204</f>
        <v>0</v>
      </c>
      <c r="N204">
        <v>3917.12</v>
      </c>
      <c r="O204">
        <v>4012.98</v>
      </c>
      <c r="P204">
        <f>O204-N204</f>
        <v>95.86000000000013</v>
      </c>
      <c r="Q204">
        <f>K204*N204</f>
        <v>46058985.4656</v>
      </c>
      <c r="R204">
        <f>L204*O204</f>
        <v>47186143.7724</v>
      </c>
      <c r="S204">
        <f>R204-Q204</f>
        <v>1127158.3068000004</v>
      </c>
      <c r="T204" t="str">
        <f>IF(R204&lt;= Q204,"No Monetizar","Monetizar")</f>
        <v>Monetizar</v>
      </c>
      <c r="V204">
        <v>45896</v>
      </c>
      <c r="W204" t="str">
        <v>Alfonso Fonseca A</v>
      </c>
      <c r="X204" t="str">
        <v>Alfonso Fonseca A</v>
      </c>
      <c r="Y204" t="str">
        <v>Se monetiza ya que el valor ofrecido por el banco en cada divisa es superior al valor facturado</v>
      </c>
      <c r="Z204">
        <f>K204*O204</f>
        <v>47186143.7724</v>
      </c>
      <c r="AA204">
        <f>Z204-Q204</f>
        <v>1127158.3068000004</v>
      </c>
    </row>
    <row r="205">
      <c r="B205">
        <v>174</v>
      </c>
      <c r="C205" t="str">
        <v>Hemmebarsch GMBH &amp; Co KG</v>
      </c>
      <c r="D205">
        <v>6117</v>
      </c>
      <c r="E205">
        <v>45896</v>
      </c>
      <c r="F205">
        <v>45956</v>
      </c>
      <c r="J205">
        <f>IFERROR(IF(TODAY()&gt;=E205,(TODAY()-E205)/I205,0),0)*0</f>
        <v>0</v>
      </c>
      <c r="K205">
        <v>1884.08</v>
      </c>
      <c r="L205">
        <v>1884.08</v>
      </c>
      <c r="M205">
        <f>K205-L205</f>
        <v>0</v>
      </c>
      <c r="N205">
        <v>3853.9</v>
      </c>
      <c r="O205">
        <v>4012.98</v>
      </c>
      <c r="P205">
        <f>O205-N205</f>
        <v>159.07999999999993</v>
      </c>
      <c r="Q205">
        <f>K205*N205</f>
        <v>7261055.912</v>
      </c>
      <c r="R205">
        <f>L205*O205</f>
        <v>7560775.358399999</v>
      </c>
      <c r="S205">
        <f>R205-Q205</f>
        <v>299719.4463999998</v>
      </c>
      <c r="T205" t="str">
        <f>IF(R205&lt;= Q205,"No Monetizar","Monetizar")</f>
        <v>Monetizar</v>
      </c>
      <c r="V205">
        <v>45896</v>
      </c>
      <c r="W205" t="str">
        <v>Alfonso Fonseca A</v>
      </c>
      <c r="X205" t="str">
        <v>Alfonso Fonseca A</v>
      </c>
      <c r="Y205" t="str">
        <v>Se monetiza ya que el valor ofrecido por el banco en cada divisa es superior al valor facturado</v>
      </c>
      <c r="Z205">
        <f>K205*O205</f>
        <v>7560775.358399999</v>
      </c>
      <c r="AA205">
        <f>Z205-Q205</f>
        <v>299719.4463999998</v>
      </c>
    </row>
    <row r="206">
      <c r="B206">
        <v>175</v>
      </c>
      <c r="C206" t="str">
        <v>Hemmebarsch GMBH &amp; Co KG</v>
      </c>
      <c r="D206">
        <v>6201</v>
      </c>
      <c r="E206">
        <v>45896</v>
      </c>
      <c r="F206">
        <v>45956</v>
      </c>
      <c r="J206">
        <f>IFERROR(IF(TODAY()&gt;=E206,(TODAY()-E206)/I206,0),0)*0</f>
        <v>0</v>
      </c>
      <c r="K206">
        <v>108.73</v>
      </c>
      <c r="L206">
        <v>108.73</v>
      </c>
      <c r="M206">
        <f>K206-L206</f>
        <v>0</v>
      </c>
      <c r="N206">
        <v>3917.12</v>
      </c>
      <c r="O206">
        <v>4012.98</v>
      </c>
      <c r="P206">
        <f>O206-N206</f>
        <v>95.86000000000013</v>
      </c>
      <c r="Q206">
        <f>K206*N206</f>
        <v>425908.4576</v>
      </c>
      <c r="R206">
        <f>L206*O206</f>
        <v>436331.3154</v>
      </c>
      <c r="S206">
        <f>R206-Q206</f>
        <v>10422.857799999998</v>
      </c>
      <c r="T206" t="str">
        <f>IF(R206&lt;= Q206,"No Monetizar","Monetizar")</f>
        <v>Monetizar</v>
      </c>
      <c r="V206">
        <v>45896</v>
      </c>
      <c r="W206" t="str">
        <v>Alfonso Fonseca A</v>
      </c>
      <c r="X206" t="str">
        <v>Alfonso Fonseca A</v>
      </c>
      <c r="Y206" t="str">
        <v>Se monetiza ya que el valor ofrecido por el banco en cada divisa es superior al valor facturado</v>
      </c>
      <c r="Z206">
        <f>K206*O206</f>
        <v>436331.3154</v>
      </c>
      <c r="AA206">
        <f>Z206-Q206</f>
        <v>10422.857799999998</v>
      </c>
    </row>
    <row r="207">
      <c r="B207">
        <v>176</v>
      </c>
      <c r="C207" t="str">
        <v>Hemmebarsch GMBH &amp; Co KG</v>
      </c>
      <c r="D207" t="str">
        <v>FV-5-10</v>
      </c>
      <c r="E207">
        <v>45896</v>
      </c>
      <c r="F207">
        <v>45956</v>
      </c>
      <c r="J207">
        <f>IFERROR(IF(TODAY()&gt;=E207,(TODAY()-E207)/I207,0),0)*0</f>
        <v>0</v>
      </c>
      <c r="K207">
        <v>1087.3</v>
      </c>
      <c r="L207">
        <v>1087.3</v>
      </c>
      <c r="M207">
        <f>K207-L207</f>
        <v>0</v>
      </c>
      <c r="N207">
        <v>3917.12</v>
      </c>
      <c r="O207">
        <v>4012.98</v>
      </c>
      <c r="P207">
        <f>O207-N207</f>
        <v>95.86000000000013</v>
      </c>
      <c r="Q207">
        <f>K207*N207</f>
        <v>4259084.575999999</v>
      </c>
      <c r="R207">
        <f>L207*O207</f>
        <v>4363313.154</v>
      </c>
      <c r="S207">
        <f>R207-Q207</f>
        <v>104228.57800000068</v>
      </c>
      <c r="T207" t="str">
        <f>IF(R207&lt;= Q207,"No Monetizar","Monetizar")</f>
        <v>Monetizar</v>
      </c>
      <c r="V207">
        <v>45896</v>
      </c>
      <c r="W207" t="str">
        <v>Alfonso Fonseca A</v>
      </c>
      <c r="X207" t="str">
        <v>Alfonso Fonseca A</v>
      </c>
      <c r="Y207" t="str">
        <v>Se monetiza ya que el valor ofrecido por el banco en cada divisa es superior al valor facturado</v>
      </c>
      <c r="Z207">
        <f>K207*O207</f>
        <v>4363313.154</v>
      </c>
      <c r="AA207">
        <f>Z207-Q207</f>
        <v>104228.57800000068</v>
      </c>
    </row>
    <row r="208">
      <c r="B208">
        <v>177</v>
      </c>
      <c r="C208" t="str">
        <v>Bubble BPM</v>
      </c>
      <c r="D208">
        <v>6204</v>
      </c>
      <c r="E208">
        <v>45896</v>
      </c>
      <c r="F208">
        <v>45956</v>
      </c>
      <c r="J208">
        <f>IFERROR(IF(TODAY()&gt;=E208,(TODAY()-E208)/I208,0),0)*0</f>
        <v>0</v>
      </c>
      <c r="K208">
        <v>113.26</v>
      </c>
      <c r="L208">
        <v>110.2873486028241</v>
      </c>
      <c r="M208">
        <f>K208-L208</f>
        <v>2.972651397175909</v>
      </c>
      <c r="N208">
        <v>3917.12</v>
      </c>
      <c r="O208">
        <v>3989.05</v>
      </c>
      <c r="P208">
        <f>O208-N208</f>
        <v>71.93000000000029</v>
      </c>
      <c r="Q208">
        <f>K208*N208</f>
        <v>443653.0112</v>
      </c>
      <c r="R208">
        <f>L208*O208</f>
        <v>439941.74794409546</v>
      </c>
      <c r="S208">
        <f>R208-Q208</f>
        <v>-3711.263255904545</v>
      </c>
      <c r="T208" t="str">
        <f>IF(R208&lt;= Q208,"No Monetizar","Monetizar")</f>
        <v>No Monetizar</v>
      </c>
      <c r="V208">
        <v>45897</v>
      </c>
      <c r="W208" t="str">
        <v>Alfonso Fonseca A</v>
      </c>
      <c r="X208" t="str">
        <v>Alfonso Fonseca A</v>
      </c>
      <c r="Y208" t="str">
        <v>Se monetiza ya que el valor ofrecido por el banco en cada divisa es superior al valor facturado</v>
      </c>
      <c r="Z208">
        <f>K208*O208</f>
        <v>451799.803</v>
      </c>
      <c r="AA208">
        <f>Z208-Q208</f>
        <v>8146.791800000006</v>
      </c>
    </row>
    <row r="209">
      <c r="B209">
        <v>178</v>
      </c>
      <c r="C209" t="str">
        <v>Bubble BPM</v>
      </c>
      <c r="D209" t="str">
        <v>FV-5-13</v>
      </c>
      <c r="E209">
        <v>45896</v>
      </c>
      <c r="F209">
        <v>45956</v>
      </c>
      <c r="J209">
        <f>IFERROR(IF(TODAY()&gt;=E209,(TODAY()-E209)/I209,0),0)*0</f>
        <v>0</v>
      </c>
      <c r="K209">
        <v>1029.76</v>
      </c>
      <c r="L209">
        <v>1002.7326513971759</v>
      </c>
      <c r="M209">
        <f>K209-L209</f>
        <v>27.027348602824077</v>
      </c>
      <c r="N209">
        <v>3917.12</v>
      </c>
      <c r="O209">
        <v>3989.05</v>
      </c>
      <c r="P209">
        <f>O209-N209</f>
        <v>71.93000000000029</v>
      </c>
      <c r="Q209">
        <f>K209*N209</f>
        <v>4033693.4912</v>
      </c>
      <c r="R209">
        <f>L209*O209</f>
        <v>3999950.6830559047</v>
      </c>
      <c r="S209">
        <f>R209-Q209</f>
        <v>-33742.808144095354</v>
      </c>
      <c r="T209" t="str">
        <f>IF(R209&lt;= Q209,"No Monetizar","Monetizar")</f>
        <v>No Monetizar</v>
      </c>
      <c r="V209">
        <v>45897</v>
      </c>
      <c r="W209" t="str">
        <v>Alfonso Fonseca A</v>
      </c>
      <c r="X209" t="str">
        <v>Alfonso Fonseca A</v>
      </c>
      <c r="Y209" t="str">
        <v>Se monetiza ya que el valor ofrecido por el banco en cada divisa es superior al valor facturado</v>
      </c>
      <c r="Z209">
        <f>K209*O209</f>
        <v>4107764.128</v>
      </c>
      <c r="AA209">
        <f>Z209-Q209</f>
        <v>74070.63679999998</v>
      </c>
    </row>
    <row r="210">
      <c r="B210">
        <v>179</v>
      </c>
      <c r="C210" t="str">
        <v>Endrington</v>
      </c>
      <c r="D210">
        <v>6203</v>
      </c>
      <c r="E210">
        <v>45897</v>
      </c>
      <c r="F210">
        <v>45957</v>
      </c>
      <c r="J210">
        <f>IFERROR(IF(TODAY()&gt;=E210,(TODAY()-E210)/I210,0),0)*0</f>
        <v>0</v>
      </c>
      <c r="K210">
        <v>704.56</v>
      </c>
      <c r="L210">
        <v>704.56</v>
      </c>
      <c r="M210">
        <f>K210-L210</f>
        <v>0</v>
      </c>
      <c r="N210">
        <v>3917.12</v>
      </c>
      <c r="O210">
        <v>4006.5</v>
      </c>
      <c r="P210">
        <f>O210-N210</f>
        <v>89.38000000000011</v>
      </c>
      <c r="Q210">
        <f>K210*N210</f>
        <v>2759846.0672</v>
      </c>
      <c r="R210">
        <f>L210*O210</f>
        <v>2822819.6399999997</v>
      </c>
      <c r="S210">
        <f>R210-Q210</f>
        <v>62973.57279999973</v>
      </c>
      <c r="T210" t="str">
        <f>IF(R210&lt;= Q210,"No Monetizar","Monetizar")</f>
        <v>Monetizar</v>
      </c>
      <c r="V210">
        <v>45897</v>
      </c>
      <c r="W210" t="str">
        <v>Alfonso Fonseca A</v>
      </c>
      <c r="X210" t="str">
        <v>Alfonso Fonseca A</v>
      </c>
      <c r="Y210" t="str">
        <v>Se monetiza ya que el valor ofrecido por el banco en cada divisa es superior al valor facturado</v>
      </c>
      <c r="Z210">
        <f>K210*O210</f>
        <v>2822819.6399999997</v>
      </c>
      <c r="AA210">
        <f>Z210-Q210</f>
        <v>62973.57279999973</v>
      </c>
    </row>
    <row r="211">
      <c r="B211">
        <v>180</v>
      </c>
      <c r="C211" t="str">
        <v>Endrington</v>
      </c>
      <c r="D211" t="str">
        <v>FV-5-12</v>
      </c>
      <c r="E211">
        <v>45897</v>
      </c>
      <c r="F211">
        <v>45957</v>
      </c>
      <c r="J211">
        <f>IFERROR(IF(TODAY()&gt;=E211,(TODAY()-E211)/I211,0),0)*0</f>
        <v>0</v>
      </c>
      <c r="K211">
        <v>12810.27</v>
      </c>
      <c r="L211">
        <v>12810.27</v>
      </c>
      <c r="M211">
        <f>K211-L211</f>
        <v>0</v>
      </c>
      <c r="N211">
        <v>3917.12</v>
      </c>
      <c r="O211">
        <v>4006.5</v>
      </c>
      <c r="P211">
        <f>O211-N211</f>
        <v>89.38000000000011</v>
      </c>
      <c r="Q211">
        <f>K211*N211</f>
        <v>50179364.8224</v>
      </c>
      <c r="R211">
        <f>L211*O211</f>
        <v>51324346.755</v>
      </c>
      <c r="S211">
        <f>R211-Q211</f>
        <v>1144981.932599999</v>
      </c>
      <c r="T211" t="str">
        <f>IF(R211&lt;= Q211,"No Monetizar","Monetizar")</f>
        <v>Monetizar</v>
      </c>
      <c r="V211">
        <v>45897</v>
      </c>
      <c r="W211" t="str">
        <v>Alfonso Fonseca A</v>
      </c>
      <c r="X211" t="str">
        <v>Alfonso Fonseca A</v>
      </c>
      <c r="Y211" t="str">
        <v>Se monetiza ya que el valor ofrecido por el banco en cada divisa es superior al valor facturado</v>
      </c>
      <c r="Z211">
        <f>K211*O211</f>
        <v>51324346.755</v>
      </c>
      <c r="AA211">
        <f>Z211-Q211</f>
        <v>1144981.932599999</v>
      </c>
    </row>
    <row r="212">
      <c r="B212">
        <v>181</v>
      </c>
      <c r="C212" t="str">
        <v>Endrington</v>
      </c>
      <c r="D212">
        <v>6211</v>
      </c>
      <c r="E212">
        <v>45897</v>
      </c>
      <c r="F212">
        <v>45957</v>
      </c>
      <c r="J212">
        <f>IFERROR(IF(TODAY()&gt;=E212,(TODAY()-E212)/I212,0),0)*0</f>
        <v>0</v>
      </c>
      <c r="K212">
        <v>884.77</v>
      </c>
      <c r="L212">
        <v>884.77</v>
      </c>
      <c r="M212">
        <f>K212-L212</f>
        <v>0</v>
      </c>
      <c r="N212">
        <v>3917.12</v>
      </c>
      <c r="O212">
        <v>4006.5</v>
      </c>
      <c r="P212">
        <f>O212-N212</f>
        <v>89.38000000000011</v>
      </c>
      <c r="Q212">
        <f>K212*N212</f>
        <v>3465750.2624</v>
      </c>
      <c r="R212">
        <f>L212*O212</f>
        <v>3544831.005</v>
      </c>
      <c r="S212">
        <f>R212-Q212</f>
        <v>79080.7426</v>
      </c>
      <c r="T212" t="str">
        <f>IF(R212&lt;= Q212,"No Monetizar","Monetizar")</f>
        <v>Monetizar</v>
      </c>
      <c r="V212">
        <v>45897</v>
      </c>
      <c r="W212" t="str">
        <v>Alfonso Fonseca A</v>
      </c>
      <c r="X212" t="str">
        <v>Alfonso Fonseca A</v>
      </c>
      <c r="Y212" t="str">
        <v>Se monetiza ya que el valor ofrecido por el banco en cada divisa es superior al valor facturado</v>
      </c>
      <c r="Z212">
        <f>K212*O212</f>
        <v>3544831.005</v>
      </c>
      <c r="AA212">
        <f>Z212-Q212</f>
        <v>79080.7426</v>
      </c>
    </row>
    <row r="213">
      <c r="B213">
        <v>182</v>
      </c>
      <c r="C213" t="str">
        <v>Endrington</v>
      </c>
      <c r="D213" t="str">
        <v>FV-5-19</v>
      </c>
      <c r="E213">
        <v>45897</v>
      </c>
      <c r="F213">
        <v>45957</v>
      </c>
      <c r="J213">
        <f>IFERROR(IF(TODAY()&gt;=E213,(TODAY()-E213)/I213,0),0)*0</f>
        <v>0</v>
      </c>
      <c r="K213">
        <v>16086.77</v>
      </c>
      <c r="L213">
        <v>16086.77</v>
      </c>
      <c r="M213">
        <f>K213-L213</f>
        <v>0</v>
      </c>
      <c r="N213">
        <v>3917.12</v>
      </c>
      <c r="O213">
        <v>4006.5</v>
      </c>
      <c r="P213">
        <f>O213-N213</f>
        <v>89.38000000000011</v>
      </c>
      <c r="Q213">
        <f>K213*N213</f>
        <v>63013808.5024</v>
      </c>
      <c r="R213">
        <f>L213*O213</f>
        <v>64451644.005</v>
      </c>
      <c r="S213">
        <f>R213-Q213</f>
        <v>1437835.5025999993</v>
      </c>
      <c r="T213" t="str">
        <f>IF(R213&lt;= Q213,"No Monetizar","Monetizar")</f>
        <v>Monetizar</v>
      </c>
      <c r="V213">
        <v>45897</v>
      </c>
      <c r="W213" t="str">
        <v>Alfonso Fonseca A</v>
      </c>
      <c r="X213" t="str">
        <v>Alfonso Fonseca A</v>
      </c>
      <c r="Y213" t="str">
        <v>Se monetiza ya que el valor ofrecido por el banco en cada divisa es superior al valor facturado</v>
      </c>
      <c r="Z213">
        <f>K213*O213</f>
        <v>64451644.005</v>
      </c>
      <c r="AA213">
        <f>Z213-Q213</f>
        <v>1437835.5025999993</v>
      </c>
    </row>
    <row r="214">
      <c r="B214">
        <v>183</v>
      </c>
      <c r="C214" t="str">
        <v>Insider</v>
      </c>
      <c r="D214">
        <v>6241</v>
      </c>
      <c r="E214">
        <v>45897</v>
      </c>
      <c r="F214">
        <v>45957</v>
      </c>
      <c r="J214">
        <f>IFERROR(IF(TODAY()&gt;=E214,(TODAY()-E214)/I214,0),0)*0</f>
        <v>0</v>
      </c>
      <c r="K214">
        <v>5200.3</v>
      </c>
      <c r="L214">
        <v>5199.692668388742</v>
      </c>
      <c r="M214">
        <f>K214-L214</f>
        <v>0.607331611257905</v>
      </c>
      <c r="N214">
        <v>4007.44</v>
      </c>
      <c r="O214">
        <v>4010.1</v>
      </c>
      <c r="P214">
        <f>O214-N214</f>
        <v>2.6599999999998545</v>
      </c>
      <c r="Q214">
        <f>K214*N214</f>
        <v>20839890.232</v>
      </c>
      <c r="R214">
        <f>L214*O214</f>
        <v>20851287.569505695</v>
      </c>
      <c r="S214">
        <f>R214-Q214</f>
        <v>11397.337505694479</v>
      </c>
      <c r="T214" t="str">
        <f>IF(R214&lt;= Q214,"No Monetizar","Monetizar")</f>
        <v>Monetizar</v>
      </c>
      <c r="V214">
        <v>45897</v>
      </c>
      <c r="W214" t="str">
        <v>Alfonso Fonseca A</v>
      </c>
      <c r="X214" t="str">
        <v>Alfonso Fonseca A</v>
      </c>
      <c r="Y214" t="str">
        <v>Se monetiza ya que el valor ofrecido por el banco en cada divisa es superior al valor facturado</v>
      </c>
      <c r="Z214">
        <f>K214*O214</f>
        <v>20853723.03</v>
      </c>
      <c r="AA214">
        <f>Z214-Q214</f>
        <v>13832.798000000417</v>
      </c>
    </row>
    <row r="215">
      <c r="B215">
        <v>184</v>
      </c>
      <c r="C215" t="str">
        <v>Insider</v>
      </c>
      <c r="D215" t="str">
        <v>FV-5-28</v>
      </c>
      <c r="E215">
        <v>45897</v>
      </c>
      <c r="F215">
        <v>45957</v>
      </c>
      <c r="J215">
        <f>IFERROR(IF(TODAY()&gt;=E215,(TODAY()-E215)/I215,0),0)*0</f>
        <v>0</v>
      </c>
      <c r="K215">
        <v>123237.77</v>
      </c>
      <c r="L215">
        <v>123223.37733161126</v>
      </c>
      <c r="M215">
        <f>K215-L215</f>
        <v>14.392668388740276</v>
      </c>
      <c r="N215">
        <v>4007.44</v>
      </c>
      <c r="O215">
        <v>4010.1</v>
      </c>
      <c r="P215">
        <f>O215-N215</f>
        <v>2.6599999999998545</v>
      </c>
      <c r="Q215">
        <f>K215*N215</f>
        <v>493867969.0088</v>
      </c>
      <c r="R215">
        <f>L215*O215</f>
        <v>494138065.43749434</v>
      </c>
      <c r="S215">
        <f>R215-Q215</f>
        <v>270096.4286943078</v>
      </c>
      <c r="T215" t="str">
        <f>IF(R215&lt;= Q215,"No Monetizar","Monetizar")</f>
        <v>Monetizar</v>
      </c>
      <c r="V215">
        <v>45897</v>
      </c>
      <c r="W215" t="str">
        <v>Alfonso Fonseca A</v>
      </c>
      <c r="X215" t="str">
        <v>Alfonso Fonseca A</v>
      </c>
      <c r="Y215" t="str">
        <v>Se monetiza ya que el valor ofrecido por el banco en cada divisa es superior al valor facturado</v>
      </c>
      <c r="Z215">
        <f>K215*O215</f>
        <v>494195781.477</v>
      </c>
      <c r="AA215">
        <f>Z215-Q215</f>
        <v>327812.46819996834</v>
      </c>
    </row>
    <row r="216">
      <c r="B216">
        <v>185</v>
      </c>
      <c r="C216" t="str">
        <v>Nazdar ink technologies</v>
      </c>
      <c r="D216">
        <v>6196</v>
      </c>
      <c r="E216">
        <v>45897</v>
      </c>
      <c r="F216">
        <v>45957</v>
      </c>
      <c r="J216">
        <f>IFERROR(IF(TODAY()&gt;=E216,(TODAY()-E216)/I216,0),0)*0</f>
        <v>0</v>
      </c>
      <c r="K216">
        <v>910.11</v>
      </c>
      <c r="L216">
        <v>909.260943924292</v>
      </c>
      <c r="M216">
        <f>K216-L216</f>
        <v>0.849056075708063</v>
      </c>
      <c r="N216">
        <v>3917.12</v>
      </c>
      <c r="O216">
        <v>3998.01</v>
      </c>
      <c r="P216">
        <f>O216-N216</f>
        <v>80.89000000000033</v>
      </c>
      <c r="Q216">
        <f>K216*N216</f>
        <v>3565010.0831999998</v>
      </c>
      <c r="R216">
        <f>L216*O216</f>
        <v>3635234.346418759</v>
      </c>
      <c r="S216">
        <f>R216-Q216</f>
        <v>70224.2632187591</v>
      </c>
      <c r="T216" t="str">
        <f>IF(R216&lt;= Q216,"No Monetizar","Monetizar")</f>
        <v>Monetizar</v>
      </c>
      <c r="V216">
        <v>45897</v>
      </c>
      <c r="W216" t="str">
        <v>Alfonso Fonseca A</v>
      </c>
      <c r="X216" t="str">
        <v>Alfonso Fonseca A</v>
      </c>
      <c r="Y216" t="str">
        <v>Se monetiza ya que el valor ofrecido por el banco en cada divisa es superior al valor facturado</v>
      </c>
      <c r="Z216">
        <f>K216*O216</f>
        <v>3638628.8811000003</v>
      </c>
      <c r="AA216">
        <f>Z216-Q216</f>
        <v>73618.79790000059</v>
      </c>
    </row>
    <row r="217">
      <c r="B217">
        <v>186</v>
      </c>
      <c r="C217" t="str">
        <v>Nazdar ink technologies</v>
      </c>
      <c r="D217" t="str">
        <v>FV-5-5</v>
      </c>
      <c r="E217">
        <v>45897</v>
      </c>
      <c r="F217">
        <v>45957</v>
      </c>
      <c r="J217">
        <f>IFERROR(IF(TODAY()&gt;=E217,(TODAY()-E217)/I217,0),0)*0</f>
        <v>0</v>
      </c>
      <c r="K217">
        <v>15168.51</v>
      </c>
      <c r="L217">
        <v>15154.35905607571</v>
      </c>
      <c r="M217">
        <f>K217-L217</f>
        <v>14.150943924290914</v>
      </c>
      <c r="N217">
        <v>3917.12</v>
      </c>
      <c r="O217">
        <v>3998.01</v>
      </c>
      <c r="P217">
        <f>O217-N217</f>
        <v>80.89000000000033</v>
      </c>
      <c r="Q217">
        <f>K217*N217</f>
        <v>59416873.8912</v>
      </c>
      <c r="R217">
        <f>L217*O217</f>
        <v>60587279.04978125</v>
      </c>
      <c r="S217">
        <f>R217-Q217</f>
        <v>1170405.1585812494</v>
      </c>
      <c r="T217" t="str">
        <f>IF(R217&lt;= Q217,"No Monetizar","Monetizar")</f>
        <v>Monetizar</v>
      </c>
      <c r="V217">
        <v>45897</v>
      </c>
      <c r="W217" t="str">
        <v>Alfonso Fonseca A</v>
      </c>
      <c r="X217" t="str">
        <v>Alfonso Fonseca A</v>
      </c>
      <c r="Y217" t="str">
        <v>Se monetiza ya que el valor ofrecido por el banco en cada divisa es superior al valor facturado</v>
      </c>
      <c r="Z217">
        <f>K217*O217</f>
        <v>60643854.6651</v>
      </c>
      <c r="AA217">
        <f>Z217-Q217</f>
        <v>1226980.7739000022</v>
      </c>
    </row>
    <row r="218" xml:space="preserve">
      <c r="B218">
        <v>187</v>
      </c>
      <c r="C218" t="str">
        <v>Safeguard Payroll LLC</v>
      </c>
      <c r="D218" t="str">
        <v>5817-2827</v>
      </c>
      <c r="E218">
        <v>45848</v>
      </c>
      <c r="F218">
        <v>45908</v>
      </c>
      <c r="J218">
        <f>IFERROR(IF(TODAY()&gt;=E218,(TODAY()-E218)/I218,0),0)*0</f>
        <v>0</v>
      </c>
      <c r="K218">
        <v>11864.11</v>
      </c>
      <c r="L218">
        <v>11864</v>
      </c>
      <c r="M218">
        <f>K218-L218</f>
        <v>0.11000000000058208</v>
      </c>
      <c r="N218">
        <v>4152.59</v>
      </c>
      <c r="O218">
        <v>3945.04</v>
      </c>
      <c r="P218">
        <f>O218-N218</f>
        <v>-207.55000000000018</v>
      </c>
      <c r="Q218">
        <f>K218*N218</f>
        <v>49266784.54490001</v>
      </c>
      <c r="R218">
        <f>O218*L218</f>
        <v>46803954.56</v>
      </c>
      <c r="S218">
        <f>R218-Q218</f>
        <v>-2462829.984900005</v>
      </c>
      <c r="T218" t="str">
        <f>IF(R218&lt;= Q218,"No Monetizar","Monetizar")</f>
        <v>No Monetizar</v>
      </c>
      <c r="V218">
        <v>45905</v>
      </c>
      <c r="W218" t="str">
        <v>Alfonso Fonseca A</v>
      </c>
      <c r="X218" t="str">
        <v>Alfonso Fonseca A</v>
      </c>
      <c r="Y218"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$ 4,188.31  y la trm no ha estado por encima de ese valor desde el pasado 27 de enero. el dinero llego el 09 de agosto y de  ese tiempo la divisano ha llegado al valor facturado_x000d_
_x000d_
</v>
      </c>
      <c r="Z218">
        <f>K218*O218</f>
        <v>46804388.514400005</v>
      </c>
      <c r="AA218">
        <f>Z218-Q218</f>
        <v>-2462396.030500002</v>
      </c>
    </row>
    <row r="219" xml:space="preserve">
      <c r="B219">
        <v>188</v>
      </c>
      <c r="C219" t="str">
        <v>Safeguard Payroll LLC</v>
      </c>
      <c r="D219" t="str">
        <v>5906-5916 y 5922</v>
      </c>
      <c r="E219">
        <v>45848</v>
      </c>
      <c r="F219">
        <v>45908</v>
      </c>
      <c r="J219">
        <f>IFERROR(IF(TODAY()&gt;=E219,(TODAY()-E219)/I219,0),0)*0</f>
        <v>0</v>
      </c>
      <c r="K219">
        <v>12175.220000000001</v>
      </c>
      <c r="L219">
        <v>12160.33</v>
      </c>
      <c r="M219">
        <f>K219-L219</f>
        <v>14.890000000001237</v>
      </c>
      <c r="N219">
        <v>4198.83</v>
      </c>
      <c r="O219">
        <v>3945.04</v>
      </c>
      <c r="P219">
        <f>O219-N219</f>
        <v>-253.78999999999996</v>
      </c>
      <c r="Q219">
        <f>K219*N219</f>
        <v>51121678.9926</v>
      </c>
      <c r="R219">
        <f>O219*L219</f>
        <v>47972988.2632</v>
      </c>
      <c r="S219">
        <f>R219-Q219</f>
        <v>-3148690.7294000015</v>
      </c>
      <c r="T219" t="str">
        <f>IF(R219&lt;= Q219,"No Monetizar","Monetizar")</f>
        <v>No Monetizar</v>
      </c>
      <c r="V219">
        <v>45905</v>
      </c>
      <c r="W219" t="str">
        <v>Alfonso Fonseca A</v>
      </c>
      <c r="X219" t="str">
        <v>Alfonso Fonseca A</v>
      </c>
      <c r="Y219"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$ 4,198.83  y la trm no ha estado por encima de ese valor desde el pasado 27 de enero. el dinero llego el 09 de agosto y de  ese tiempo la divisano ha llegado al valor facturado_x000d_
_x000d_
</v>
      </c>
      <c r="Z219">
        <f>K219*O219</f>
        <v>48031729.908800006</v>
      </c>
      <c r="AA219">
        <f>Z219-Q219</f>
        <v>-3089949.0837999955</v>
      </c>
    </row>
    <row r="220" xml:space="preserve">
      <c r="B220">
        <v>189</v>
      </c>
      <c r="C220" t="str">
        <v>Safeguard Payroll LTD</v>
      </c>
      <c r="D220" t="str">
        <v>5917-5921</v>
      </c>
      <c r="E220">
        <v>45848</v>
      </c>
      <c r="F220">
        <v>45908</v>
      </c>
      <c r="J220">
        <f>IFERROR(IF(TODAY()&gt;=E220,(TODAY()-E220)/I220,0),0)*0</f>
        <v>0</v>
      </c>
      <c r="K220">
        <v>10410.66</v>
      </c>
      <c r="L220">
        <v>10410.66</v>
      </c>
      <c r="M220">
        <f>K220-L220</f>
        <v>0</v>
      </c>
      <c r="N220">
        <v>4198.83</v>
      </c>
      <c r="O220">
        <v>3945.04</v>
      </c>
      <c r="P220">
        <f>O220-N220</f>
        <v>-253.78999999999996</v>
      </c>
      <c r="Q220">
        <f>K220*N220</f>
        <v>43712591.5278</v>
      </c>
      <c r="R220">
        <f>L220*O220</f>
        <v>41070470.1264</v>
      </c>
      <c r="S220">
        <f>R220-Q220</f>
        <v>-2642121.4014</v>
      </c>
      <c r="T220" t="str">
        <f>IF(R220&lt;= Q220,"No Monetizar","Monetizar")</f>
        <v>No Monetizar</v>
      </c>
      <c r="V220">
        <v>45905</v>
      </c>
      <c r="W220" t="str">
        <v>Alfonso Fonseca A</v>
      </c>
      <c r="X220" t="str">
        <v>Alfonso Fonseca A</v>
      </c>
      <c r="Y220"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$ 4,198.83  y la trm no ha estado por encima de ese valor desde el pasado 27 de enero. el dinero llego el 09 de agosto y de  ese tiempo la divisano ha llegado al valor facturado_x000d_
_x000d_
</v>
      </c>
      <c r="Z220">
        <f>K220*O220</f>
        <v>41070470.1264</v>
      </c>
      <c r="AA220">
        <f>Z220-Q220</f>
        <v>-2642121.4014</v>
      </c>
    </row>
    <row r="221" xml:space="preserve">
      <c r="B221">
        <v>190</v>
      </c>
      <c r="C221" t="str">
        <v>Global Project</v>
      </c>
      <c r="D221">
        <v>5904</v>
      </c>
      <c r="E221">
        <v>45848</v>
      </c>
      <c r="F221">
        <v>45908</v>
      </c>
      <c r="J221">
        <f>IFERROR(IF(TODAY()&gt;=E221,(TODAY()-E221)/I221,0),0)*0</f>
        <v>0</v>
      </c>
      <c r="K221">
        <v>650</v>
      </c>
      <c r="L221">
        <v>646.4385513122569</v>
      </c>
      <c r="M221">
        <f>K221-L221</f>
        <v>3.561448687743109</v>
      </c>
      <c r="N221">
        <v>4227.32</v>
      </c>
      <c r="O221">
        <v>3945.04</v>
      </c>
      <c r="P221">
        <f>O221-N221</f>
        <v>-282.27999999999975</v>
      </c>
      <c r="Q221">
        <f>K221*N221</f>
        <v>2747758</v>
      </c>
      <c r="R221">
        <f>L221*O221</f>
        <v>2550225.942468906</v>
      </c>
      <c r="S221">
        <f>R221-Q221</f>
        <v>-197532.05753109418</v>
      </c>
      <c r="T221" t="str">
        <f>IF(R221&lt;= Q221,"No Monetizar","Monetizar")</f>
        <v>No Monetizar</v>
      </c>
      <c r="V221">
        <v>45905</v>
      </c>
      <c r="W221" t="str">
        <v>Alfonso Fonseca A</v>
      </c>
      <c r="X221" t="str">
        <v>Alfonso Fonseca A</v>
      </c>
      <c r="Y221"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$ 4,227,32 y la trm no ha estado por encima de ese valor desde el pasado 27 de enero. el dinero llego el 09 de agosto y de  ese tiempo la divisa no ha llegado a esos valores facturados_x000d_
_x000d_
</v>
      </c>
      <c r="Z221">
        <f>K221*O221</f>
        <v>2564276</v>
      </c>
      <c r="AA221">
        <f>Z221-Q221</f>
        <v>-183482</v>
      </c>
    </row>
    <row r="222" xml:space="preserve">
      <c r="B222">
        <v>191</v>
      </c>
      <c r="C222" t="str">
        <v>Global Project</v>
      </c>
      <c r="D222">
        <v>5970</v>
      </c>
      <c r="E222">
        <v>45848</v>
      </c>
      <c r="F222">
        <v>45908</v>
      </c>
      <c r="J222">
        <f>IFERROR(IF(TODAY()&gt;=E222,(TODAY()-E222)/I222,0),0)*0</f>
        <v>0</v>
      </c>
      <c r="K222">
        <v>262.55</v>
      </c>
      <c r="L222">
        <v>261.1114486877431</v>
      </c>
      <c r="M222">
        <f>K222-L222</f>
        <v>1.438551312256891</v>
      </c>
      <c r="N222">
        <v>4176.54</v>
      </c>
      <c r="O222">
        <v>3945.04</v>
      </c>
      <c r="P222">
        <f>O222-N222</f>
        <v>-231.5</v>
      </c>
      <c r="Q222">
        <f>K222*N222</f>
        <v>1096550.577</v>
      </c>
      <c r="R222">
        <f>L222*O222</f>
        <v>1030095.1095310941</v>
      </c>
      <c r="S222">
        <f>R222-Q222</f>
        <v>-66455.46746890596</v>
      </c>
      <c r="T222" t="str">
        <f>IF(R222&lt;= Q222,"No Monetizar","Monetizar")</f>
        <v>No Monetizar</v>
      </c>
      <c r="V222">
        <v>45905</v>
      </c>
      <c r="W222" t="str">
        <v>Alfonso Fonseca A</v>
      </c>
      <c r="X222" t="str">
        <v>Alfonso Fonseca A</v>
      </c>
      <c r="Y222"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$ 4,227,32 y la trm no ha estado por encima de ese valor desde el pasado 27 de enero. el dinero llego el 09 de agosto y de  ese tiempo la divisa no ha llegado a esos valores facturados_x000d_
_x000d_
</v>
      </c>
      <c r="Z222">
        <f>K222*O222</f>
        <v>1035770.252</v>
      </c>
      <c r="AA222">
        <f>Z222-Q222</f>
        <v>-60780.32500000007</v>
      </c>
    </row>
    <row r="223" xml:space="preserve">
      <c r="B223">
        <v>192</v>
      </c>
      <c r="C223" t="str">
        <v>Insider</v>
      </c>
      <c r="D223" t="str">
        <v>FV-5-20</v>
      </c>
      <c r="E223">
        <v>45891</v>
      </c>
      <c r="F223">
        <v>45950</v>
      </c>
      <c r="J223">
        <f>IFERROR(IF(TODAY()&gt;=E223,(TODAY()-E223)/I223,0),0)*0</f>
        <v>0</v>
      </c>
      <c r="K223">
        <v>1052.67</v>
      </c>
      <c r="L223">
        <v>1042.67</v>
      </c>
      <c r="M223">
        <f>K223-L223</f>
        <v>10</v>
      </c>
      <c r="N223">
        <v>3999.24</v>
      </c>
      <c r="O223">
        <v>3945.04</v>
      </c>
      <c r="P223">
        <f>O223-N223</f>
        <v>-54.19999999999982</v>
      </c>
      <c r="Q223">
        <f>K223*N223</f>
        <v>4209879.9708</v>
      </c>
      <c r="R223">
        <f>L223*O223</f>
        <v>4113374.8568</v>
      </c>
      <c r="S223">
        <f>R223-Q223</f>
        <v>-96505.11400000006</v>
      </c>
      <c r="T223" t="str">
        <f>IF(R223&lt;= Q223,"No Monetizar","Monetizar")</f>
        <v>No Monetizar</v>
      </c>
      <c r="V223">
        <v>45905</v>
      </c>
      <c r="W223" t="str">
        <v>Alfonso Fonseca A</v>
      </c>
      <c r="X223" t="str">
        <v>Alfonso Fonseca A</v>
      </c>
      <c r="Y223"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$ 4,227,32 y la trm no ha estado por encima de ese valor desde el pasado 27 de enero. el dinero llego el 09 de agosto y de  ese tiempo la divisa no ha llegado a esos valores facturados_x000d_
_x000d_
</v>
      </c>
      <c r="Z223">
        <f>K223*O223</f>
        <v>4152825.2568</v>
      </c>
      <c r="AA223">
        <f>Z223-Q223</f>
        <v>-57054.71400000015</v>
      </c>
    </row>
    <row r="224">
      <c r="B224">
        <v>193</v>
      </c>
      <c r="C224" t="str">
        <v>Action</v>
      </c>
      <c r="D224">
        <v>6269</v>
      </c>
      <c r="E224">
        <v>45905</v>
      </c>
      <c r="F224">
        <v>45965</v>
      </c>
      <c r="J224">
        <f>IFERROR(IF(TODAY()&gt;=E224,(TODAY()-E224)/I224,0),0)*0</f>
        <v>0</v>
      </c>
      <c r="K224">
        <v>3310.17</v>
      </c>
      <c r="L224">
        <v>3310.17</v>
      </c>
      <c r="M224">
        <f>K224-L224</f>
        <v>0</v>
      </c>
      <c r="N224">
        <v>3932.86</v>
      </c>
      <c r="O224">
        <v>3944.35</v>
      </c>
      <c r="P224">
        <f>O224-N224</f>
        <v>11.489999999999782</v>
      </c>
      <c r="Q224">
        <f>K224*N224</f>
        <v>13018435.1862</v>
      </c>
      <c r="R224">
        <f>L224*O224</f>
        <v>13056469.0395</v>
      </c>
      <c r="S224">
        <f>R224-Q224</f>
        <v>38033.85329999961</v>
      </c>
      <c r="T224" t="str">
        <f>IF(R224&lt;= Q224,"No Monetizar","Monetizar")</f>
        <v>Monetizar</v>
      </c>
      <c r="V224">
        <v>45905</v>
      </c>
      <c r="W224" t="str">
        <v>Alfonso Fonseca A</v>
      </c>
      <c r="X224" t="str">
        <v>Alfonso Fonseca A</v>
      </c>
      <c r="Y224" t="str">
        <v>Se monetiza ya que el valor ofrecido por el banco en cada divisa es superior al valor facturado</v>
      </c>
      <c r="Z224">
        <f>K224*O224</f>
        <v>13056469.0395</v>
      </c>
      <c r="AA224">
        <f>Z224-Q224</f>
        <v>38033.85329999961</v>
      </c>
    </row>
    <row r="225">
      <c r="B225">
        <v>194</v>
      </c>
      <c r="C225" t="str">
        <v>Insider</v>
      </c>
      <c r="D225" t="str">
        <v>FV-5-34</v>
      </c>
      <c r="E225">
        <v>45908</v>
      </c>
      <c r="F225">
        <v>45968</v>
      </c>
      <c r="J225">
        <f>IFERROR(IF(TODAY()&gt;=E225,(TODAY()-E225)/I225,0),0)*0</f>
        <v>0</v>
      </c>
      <c r="K225">
        <v>415.02</v>
      </c>
      <c r="L225">
        <v>410.02</v>
      </c>
      <c r="M225">
        <f>K225-L225</f>
        <v>5</v>
      </c>
      <c r="N225">
        <v>3891.31</v>
      </c>
      <c r="O225">
        <v>3939.57</v>
      </c>
      <c r="P225">
        <f>O225-N225</f>
        <v>48.26000000000022</v>
      </c>
      <c r="Q225">
        <f>K225*N225</f>
        <v>1614971.4762</v>
      </c>
      <c r="R225">
        <f>L225*O225</f>
        <v>1615302.4914</v>
      </c>
      <c r="S225">
        <f>R225-Q225</f>
        <v>331.01520000002347</v>
      </c>
      <c r="T225" t="str">
        <f>IF(R225&lt;= Q225,"No Monetizar","Monetizar")</f>
        <v>Monetizar</v>
      </c>
      <c r="V225">
        <v>45909</v>
      </c>
      <c r="W225" t="str">
        <v>Alfonso Fonseca A</v>
      </c>
      <c r="X225" t="str">
        <v>Alfonso Fonseca A</v>
      </c>
      <c r="Y225" t="str">
        <v>Se monetiza ya que el valor ofrecido por el banco en cada divisa es superior al valor facturado</v>
      </c>
      <c r="Z225">
        <f>K225*O225</f>
        <v>1635000.3414</v>
      </c>
      <c r="AA225">
        <f>Z225-Q225</f>
        <v>20028.865200000117</v>
      </c>
    </row>
    <row r="226">
      <c r="B226">
        <v>195</v>
      </c>
      <c r="C226" t="str">
        <v>Marketing Doctors</v>
      </c>
      <c r="D226">
        <v>6284</v>
      </c>
      <c r="E226">
        <v>45917</v>
      </c>
      <c r="F226">
        <v>45977</v>
      </c>
      <c r="J226">
        <f>IFERROR(IF(TODAY()&gt;=E226,(TODAY()-E226)/I226,0),0)*0</f>
        <v>0</v>
      </c>
      <c r="K226">
        <v>133.35</v>
      </c>
      <c r="L226">
        <v>133.35</v>
      </c>
      <c r="M226">
        <f>K226-L226</f>
        <v>0</v>
      </c>
      <c r="N226">
        <v>3789.05</v>
      </c>
      <c r="O226">
        <v>3870</v>
      </c>
      <c r="P226">
        <f>O226-N226</f>
        <v>80.94999999999982</v>
      </c>
      <c r="Q226">
        <f>K226*N226</f>
        <v>505269.8175</v>
      </c>
      <c r="R226">
        <f>L226*O226</f>
        <v>516064.5</v>
      </c>
      <c r="S226">
        <f>R226-Q226</f>
        <v>10794.682499999995</v>
      </c>
      <c r="T226" t="str">
        <f>IF(R226&lt;= Q226,"No Monetizar","Monetizar")</f>
        <v>Monetizar</v>
      </c>
      <c r="V226">
        <v>45918</v>
      </c>
      <c r="W226" t="str">
        <v>Alfonso Fonseca A</v>
      </c>
      <c r="X226" t="str">
        <v>Alfonso Fonseca A</v>
      </c>
      <c r="Y226" t="str">
        <v>Se monetiza ya que el valor ofrecido por el banco en cada divisa es superior al valor facturado</v>
      </c>
      <c r="Z226">
        <f>K226*O226</f>
        <v>516064.5</v>
      </c>
      <c r="AA226">
        <f>Z226-Q226</f>
        <v>10794.682499999995</v>
      </c>
    </row>
    <row r="227">
      <c r="B227">
        <v>196</v>
      </c>
      <c r="C227" t="str">
        <v>Marketing Doctors</v>
      </c>
      <c r="D227" t="str">
        <v>FV-5-39</v>
      </c>
      <c r="E227">
        <v>45917</v>
      </c>
      <c r="F227">
        <v>45977</v>
      </c>
      <c r="J227">
        <f>IFERROR(IF(TODAY()&gt;=E227,(TODAY()-E227)/I227,0),0)*0</f>
        <v>0</v>
      </c>
      <c r="K227">
        <v>1212.25</v>
      </c>
      <c r="L227">
        <v>1212.25</v>
      </c>
      <c r="M227">
        <f>K227-L227</f>
        <v>0</v>
      </c>
      <c r="N227">
        <v>3789.05</v>
      </c>
      <c r="O227">
        <v>3870</v>
      </c>
      <c r="P227">
        <f>O227-N227</f>
        <v>80.94999999999982</v>
      </c>
      <c r="Q227">
        <f>K227*N227</f>
        <v>4593275.8625</v>
      </c>
      <c r="R227">
        <f>L227*O227</f>
        <v>4691407.5</v>
      </c>
      <c r="S227">
        <f>R227-Q227</f>
        <v>98131.63750000019</v>
      </c>
      <c r="T227" t="str">
        <f>IF(R227&lt;= Q227,"No Monetizar","Monetizar")</f>
        <v>Monetizar</v>
      </c>
      <c r="V227">
        <v>45918</v>
      </c>
      <c r="W227" t="str">
        <v>Alfonso Fonseca A</v>
      </c>
      <c r="X227" t="str">
        <v>Alfonso Fonseca A</v>
      </c>
      <c r="Y227" t="str">
        <v>Se monetiza ya que el valor ofrecido por el banco en cada divisa es superior al valor facturado</v>
      </c>
      <c r="Z227">
        <f>K227*O227</f>
        <v>4691407.5</v>
      </c>
      <c r="AA227">
        <f>Z227-Q227</f>
        <v>98131.63750000019</v>
      </c>
    </row>
    <row r="228">
      <c r="B228">
        <v>197</v>
      </c>
      <c r="C228" t="str">
        <v>Flexco</v>
      </c>
      <c r="D228">
        <v>6285</v>
      </c>
      <c r="E228">
        <v>45919</v>
      </c>
      <c r="F228">
        <v>45979</v>
      </c>
      <c r="J228">
        <f>IFERROR(IF(TODAY()&gt;=E228,(TODAY()-E228)/I228,0),0)*0</f>
        <v>0</v>
      </c>
      <c r="K228">
        <v>333.18</v>
      </c>
      <c r="L228">
        <v>333.18</v>
      </c>
      <c r="M228">
        <f>K228-L228</f>
        <v>0</v>
      </c>
      <c r="N228">
        <v>3789.05</v>
      </c>
      <c r="O228">
        <v>3837.52</v>
      </c>
      <c r="P228">
        <f>O228-N228</f>
        <v>48.4699999999998</v>
      </c>
      <c r="Q228">
        <f>K228*N228</f>
        <v>1262435.679</v>
      </c>
      <c r="R228">
        <f>L228*O228</f>
        <v>1278584.9136</v>
      </c>
      <c r="S228">
        <f>R228-Q228</f>
        <v>16149.234600000083</v>
      </c>
      <c r="T228" t="str">
        <f>IF(R228&lt;= Q228,"No Monetizar","Monetizar")</f>
        <v>Monetizar</v>
      </c>
      <c r="V228">
        <v>45922</v>
      </c>
      <c r="W228" t="str">
        <v>Alfonso Fonseca A</v>
      </c>
      <c r="X228" t="str">
        <v>Alfonso Fonseca A</v>
      </c>
      <c r="Y228" t="str">
        <v>Se monetiza ya que el valor ofrecido por el banco en cada divisa es superior al valor facturado</v>
      </c>
      <c r="Z228">
        <f>K228*O228</f>
        <v>1278584.9136</v>
      </c>
      <c r="AA228">
        <f>Z228-Q228</f>
        <v>16149.234600000083</v>
      </c>
    </row>
    <row r="229">
      <c r="B229">
        <v>198</v>
      </c>
      <c r="C229" t="str">
        <v>Flexco</v>
      </c>
      <c r="D229" t="str">
        <v>FV-5-40</v>
      </c>
      <c r="E229">
        <v>45919</v>
      </c>
      <c r="F229">
        <v>45979</v>
      </c>
      <c r="J229">
        <f>IFERROR(IF(TODAY()&gt;=E229,(TODAY()-E229)/I229,0),0)*0</f>
        <v>0</v>
      </c>
      <c r="K229">
        <v>3702</v>
      </c>
      <c r="L229">
        <f>3702-10</f>
        <v>3692</v>
      </c>
      <c r="M229">
        <f>K229-L229</f>
        <v>10</v>
      </c>
      <c r="N229">
        <v>3789.05</v>
      </c>
      <c r="O229">
        <v>3837.52</v>
      </c>
      <c r="P229">
        <f>O229-N229</f>
        <v>48.4699999999998</v>
      </c>
      <c r="Q229">
        <f>K229*N229</f>
        <v>14027063.100000001</v>
      </c>
      <c r="R229">
        <f>L229*O229</f>
        <v>14168123.84</v>
      </c>
      <c r="S229">
        <f>R229-Q229</f>
        <v>141060.73999999836</v>
      </c>
      <c r="T229" t="str">
        <f>IF(R229&lt;= Q229,"No Monetizar","Monetizar")</f>
        <v>Monetizar</v>
      </c>
      <c r="V229">
        <v>45922</v>
      </c>
      <c r="W229" t="str">
        <v>Alfonso Fonseca A</v>
      </c>
      <c r="X229" t="str">
        <v>Alfonso Fonseca A</v>
      </c>
      <c r="Y229" t="str">
        <v>Se monetiza ya que el valor ofrecido por el banco en cada divisa es superior al valor facturado</v>
      </c>
      <c r="Z229">
        <f>K229*O229</f>
        <v>14206499.04</v>
      </c>
      <c r="AA229">
        <f>Z229-Q229</f>
        <v>179435.93999999762</v>
      </c>
    </row>
    <row r="230">
      <c r="B230">
        <v>199</v>
      </c>
      <c r="C230" t="str">
        <v>Hong kong yonyou xinfushe cloud technology co</v>
      </c>
      <c r="D230">
        <v>6289</v>
      </c>
      <c r="E230">
        <v>45923</v>
      </c>
      <c r="F230">
        <v>45983</v>
      </c>
      <c r="J230">
        <f>IFERROR(IF(TODAY()&gt;=E230,(TODAY()-E230)/I230,0),0)*0</f>
        <v>0</v>
      </c>
      <c r="K230">
        <v>749.7</v>
      </c>
      <c r="L230">
        <v>749.7</v>
      </c>
      <c r="M230">
        <f>K230-L230</f>
        <v>0</v>
      </c>
      <c r="N230">
        <v>3789.05</v>
      </c>
      <c r="O230">
        <v>3842.75</v>
      </c>
      <c r="P230">
        <f>O230-N230</f>
        <v>53.69999999999982</v>
      </c>
      <c r="Q230">
        <f>K230*N230</f>
        <v>2840650.785</v>
      </c>
      <c r="R230">
        <f>L230*O230</f>
        <v>2880909.6750000003</v>
      </c>
      <c r="S230">
        <f>R230-Q230</f>
        <v>40258.89000000013</v>
      </c>
      <c r="T230" t="str">
        <f>IF(R230&lt;= Q230,"No Monetizar","Monetizar")</f>
        <v>Monetizar</v>
      </c>
      <c r="V230">
        <v>45922</v>
      </c>
      <c r="W230" t="str">
        <v>Alfonso Fonseca A</v>
      </c>
      <c r="X230" t="str">
        <v>Alfonso Fonseca A</v>
      </c>
      <c r="Y230" t="str">
        <v>Se monetiza ya que el valor ofrecido por el banco en cada divisa es superior al valor facturado</v>
      </c>
      <c r="Z230">
        <f>K230*O230</f>
        <v>2880909.6750000003</v>
      </c>
      <c r="AA230">
        <f>Z230-Q230</f>
        <v>40258.89000000013</v>
      </c>
    </row>
    <row r="231">
      <c r="B231">
        <v>200</v>
      </c>
      <c r="C231" t="str">
        <v>Hong kong yonyou xinfushe cloud technology co</v>
      </c>
      <c r="D231" t="str">
        <v>FV-5-9</v>
      </c>
      <c r="E231">
        <v>45923</v>
      </c>
      <c r="F231">
        <v>45983</v>
      </c>
      <c r="J231">
        <f>IFERROR(IF(TODAY()&gt;=E231,(TODAY()-E231)/I231,0),0)*0</f>
        <v>0</v>
      </c>
      <c r="K231">
        <v>21390.07</v>
      </c>
      <c r="L231">
        <v>21390.07</v>
      </c>
      <c r="M231">
        <f>K231-L231</f>
        <v>0</v>
      </c>
      <c r="N231">
        <v>3789.05</v>
      </c>
      <c r="O231">
        <v>3842.75</v>
      </c>
      <c r="P231">
        <f>O231-N231</f>
        <v>53.69999999999982</v>
      </c>
      <c r="Q231">
        <f>K231*N231</f>
        <v>81048044.7335</v>
      </c>
      <c r="R231">
        <f>L231*O231</f>
        <v>82196691.49249999</v>
      </c>
      <c r="S231">
        <f>R231-Q231</f>
        <v>1148646.7589999884</v>
      </c>
      <c r="T231" t="str">
        <f>IF(R231&lt;= Q231,"No Monetizar","Monetizar")</f>
        <v>Monetizar</v>
      </c>
      <c r="V231">
        <v>45922</v>
      </c>
      <c r="W231" t="str">
        <v>Alfonso Fonseca A</v>
      </c>
      <c r="X231" t="str">
        <v>Alfonso Fonseca A</v>
      </c>
      <c r="Y231" t="str">
        <v>Se monetiza ya que el valor ofrecido por el banco en cada divisa es superior al valor facturado</v>
      </c>
      <c r="Z231">
        <f>K231*O231</f>
        <v>82196691.49249999</v>
      </c>
      <c r="AA231">
        <f>Z231-Q231</f>
        <v>1148646.7589999884</v>
      </c>
    </row>
    <row r="232" xml:space="preserve">
      <c r="B232">
        <v>201</v>
      </c>
      <c r="C232" t="str">
        <v>Remofirst</v>
      </c>
      <c r="D232">
        <v>6273</v>
      </c>
      <c r="E232">
        <v>45923</v>
      </c>
      <c r="F232">
        <v>45983</v>
      </c>
      <c r="J232">
        <f>IFERROR(IF(TODAY()&gt;=E232,(TODAY()-E232)/I232,0),0)*0</f>
        <v>0</v>
      </c>
      <c r="K232">
        <v>272162.28</v>
      </c>
      <c r="L232">
        <v>272162.28</v>
      </c>
      <c r="M232">
        <f>K232-L232</f>
        <v>0</v>
      </c>
      <c r="N232">
        <v>3999.01</v>
      </c>
      <c r="O232">
        <v>3862</v>
      </c>
      <c r="P232">
        <f>O232-N232</f>
        <v>-137.01000000000022</v>
      </c>
      <c r="Q232">
        <f>K232*N232</f>
        <v>1088379679.3428001</v>
      </c>
      <c r="R232">
        <f>L232*O232</f>
        <v>1051090725.3600001</v>
      </c>
      <c r="S232">
        <f>R232-Q232</f>
        <v>-37288953.98280001</v>
      </c>
      <c r="T232" t="str">
        <f>IF(R232&lt;= Q232,"No Monetizar","Monetizar")</f>
        <v>No Monetizar</v>
      </c>
      <c r="V232">
        <v>45923</v>
      </c>
      <c r="W232" t="str">
        <v>Alfonso Fonseca A</v>
      </c>
      <c r="X232" t="str">
        <v>Alfonso Fonseca A</v>
      </c>
      <c r="Y232"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2">
        <f>K232*O232</f>
        <v>1051090725.3600001</v>
      </c>
      <c r="AA232">
        <f>Z232-Q232</f>
        <v>-37288953.98280001</v>
      </c>
    </row>
    <row r="233">
      <c r="B233">
        <v>202</v>
      </c>
      <c r="C233" t="str">
        <v xml:space="preserve">Neo </v>
      </c>
      <c r="D233">
        <v>6295</v>
      </c>
      <c r="E233">
        <v>45925</v>
      </c>
      <c r="F233">
        <v>45985</v>
      </c>
      <c r="J233">
        <f>IFERROR(IF(TODAY()&gt;=E233,(TODAY()-E233)/I233,0),0)*0</f>
        <v>0</v>
      </c>
      <c r="K233">
        <v>1872.5</v>
      </c>
      <c r="L233">
        <v>1867.9814689691075</v>
      </c>
      <c r="M233">
        <f>K233-L233</f>
        <v>4.518531030892518</v>
      </c>
      <c r="N233">
        <v>3763.61</v>
      </c>
      <c r="O233">
        <v>3876.3</v>
      </c>
      <c r="P233">
        <f>O233-N233</f>
        <v>112.69000000000005</v>
      </c>
      <c r="Q233">
        <f>K233*N233</f>
        <v>7047359.725000001</v>
      </c>
      <c r="R233">
        <f>L233*O233</f>
        <v>7240856.568164952</v>
      </c>
      <c r="S233">
        <f>R233-Q233</f>
        <v>193496.84316495154</v>
      </c>
      <c r="T233" t="str">
        <f>IF(R233&lt;= Q233,"No Monetizar","Monetizar")</f>
        <v>Monetizar</v>
      </c>
      <c r="V233">
        <v>45925</v>
      </c>
      <c r="W233" t="str">
        <v>Alfonso Fonseca A</v>
      </c>
      <c r="X233" t="str">
        <v>Alfonso Fonseca A</v>
      </c>
      <c r="Y233" t="str">
        <v>Se monetiza ya que el valor ofrecido por el banco en cada divisa es superior al valor facturado</v>
      </c>
      <c r="Z233">
        <f>K233*O233</f>
        <v>7258371.75</v>
      </c>
      <c r="AA233">
        <f>Z233-Q233</f>
        <v>211012.02499999944</v>
      </c>
    </row>
    <row r="234">
      <c r="B234">
        <v>203</v>
      </c>
      <c r="C234" t="str">
        <v xml:space="preserve">Neo </v>
      </c>
      <c r="D234" t="str">
        <v>FV-5-51</v>
      </c>
      <c r="E234">
        <v>45925</v>
      </c>
      <c r="F234">
        <v>45985</v>
      </c>
      <c r="J234">
        <f>IFERROR(IF(TODAY()&gt;=E234,(TODAY()-E234)/I234,0),0)*0</f>
        <v>0</v>
      </c>
      <c r="K234">
        <v>23406.18</v>
      </c>
      <c r="L234">
        <v>23349.698531030892</v>
      </c>
      <c r="M234">
        <f>K234-L234</f>
        <v>56.48146896910839</v>
      </c>
      <c r="N234">
        <v>3763.61</v>
      </c>
      <c r="O234">
        <v>3876.3</v>
      </c>
      <c r="P234">
        <f>O234-N234</f>
        <v>112.69000000000005</v>
      </c>
      <c r="Q234">
        <f>K234*N234</f>
        <v>88091733.10980001</v>
      </c>
      <c r="R234">
        <f>L234*O234</f>
        <v>90510436.41583505</v>
      </c>
      <c r="S234">
        <f>R234-Q234</f>
        <v>2418703.306035042</v>
      </c>
      <c r="T234" t="str">
        <f>IF(R234&lt;= Q234,"No Monetizar","Monetizar")</f>
        <v>Monetizar</v>
      </c>
      <c r="V234">
        <v>45925</v>
      </c>
      <c r="W234" t="str">
        <v>Alfonso Fonseca A</v>
      </c>
      <c r="X234" t="str">
        <v>Alfonso Fonseca A</v>
      </c>
      <c r="Y234" t="str">
        <v>Se monetiza ya que el valor ofrecido por el banco en cada divisa es superior al valor facturado</v>
      </c>
      <c r="Z234">
        <f>K234*O234</f>
        <v>90729375.53400001</v>
      </c>
      <c r="AA234">
        <f>Z234-Q234</f>
        <v>2637642.4241999984</v>
      </c>
    </row>
    <row r="235" xml:space="preserve">
      <c r="B235">
        <v>204</v>
      </c>
      <c r="C235" t="str">
        <v>Hemmebarsch GMBH &amp; Co KG</v>
      </c>
      <c r="D235">
        <v>6200</v>
      </c>
      <c r="E235">
        <v>45917</v>
      </c>
      <c r="F235">
        <v>45977</v>
      </c>
      <c r="J235">
        <f>IFERROR(IF(TODAY()&gt;=E235,(TODAY()-E235)/I235,0),0)*0</f>
        <v>0</v>
      </c>
      <c r="K235">
        <v>174.05</v>
      </c>
      <c r="L235">
        <v>174.05</v>
      </c>
      <c r="M235">
        <f>K235-L235</f>
        <v>0</v>
      </c>
      <c r="N235">
        <v>3917.12</v>
      </c>
      <c r="O235">
        <v>3874</v>
      </c>
      <c r="P235">
        <f>O235-N235</f>
        <v>-43.11999999999989</v>
      </c>
      <c r="Q235">
        <f>K235*N235</f>
        <v>681774.736</v>
      </c>
      <c r="R235">
        <f>L235*O235</f>
        <v>674269.7000000001</v>
      </c>
      <c r="S235">
        <f>R235-Q235</f>
        <v>-7505.035999999964</v>
      </c>
      <c r="T235" t="str">
        <f>IF(R235&lt;= Q235,"No Monetizar","Monetizar")</f>
        <v>No Monetizar</v>
      </c>
      <c r="V235">
        <v>45925</v>
      </c>
      <c r="W235" t="str">
        <v>Alfonso Fonseca A</v>
      </c>
      <c r="X235" t="str">
        <v>Alfonso Fonseca A</v>
      </c>
      <c r="Y235"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5">
        <f>K235*O235</f>
        <v>674269.7000000001</v>
      </c>
      <c r="AA235">
        <f>Z235-Q235</f>
        <v>-7505.035999999964</v>
      </c>
    </row>
    <row r="236" xml:space="preserve">
      <c r="B236">
        <v>205</v>
      </c>
      <c r="C236" t="str">
        <v>Hemmebarsch GMBH &amp; Co KG</v>
      </c>
      <c r="D236" t="str">
        <v>FV-5-9</v>
      </c>
      <c r="E236">
        <v>45917</v>
      </c>
      <c r="F236">
        <v>45977</v>
      </c>
      <c r="J236">
        <f>IFERROR(IF(TODAY()&gt;=E236,(TODAY()-E236)/I236,0),0)*0</f>
        <v>0</v>
      </c>
      <c r="K236">
        <v>1740.47</v>
      </c>
      <c r="L236">
        <v>1740.47</v>
      </c>
      <c r="M236">
        <f>K236-L236</f>
        <v>0</v>
      </c>
      <c r="N236">
        <v>3917.12</v>
      </c>
      <c r="O236">
        <v>3874</v>
      </c>
      <c r="P236">
        <f>O236-N236</f>
        <v>-43.11999999999989</v>
      </c>
      <c r="Q236">
        <f>K236*N236</f>
        <v>6817629.8464</v>
      </c>
      <c r="R236">
        <f>L236*O236</f>
        <v>6742580.78</v>
      </c>
      <c r="S236">
        <f>R236-Q236</f>
        <v>-75049.0663999999</v>
      </c>
      <c r="T236" t="str">
        <f>IF(R236&lt;= Q236,"No Monetizar","Monetizar")</f>
        <v>No Monetizar</v>
      </c>
      <c r="V236">
        <v>45925</v>
      </c>
      <c r="W236" t="str">
        <v>Alfonso Fonseca A</v>
      </c>
      <c r="X236" t="str">
        <v>Alfonso Fonseca A</v>
      </c>
      <c r="Y236"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6">
        <f>K236*O236</f>
        <v>6742580.78</v>
      </c>
      <c r="AA236">
        <f>Z236-Q236</f>
        <v>-75049.0663999999</v>
      </c>
    </row>
    <row r="237" xml:space="preserve">
      <c r="B237">
        <v>206</v>
      </c>
      <c r="C237" t="str">
        <v>Nazdar ink technologies</v>
      </c>
      <c r="D237">
        <v>6286</v>
      </c>
      <c r="E237">
        <v>45925</v>
      </c>
      <c r="F237">
        <v>45985</v>
      </c>
      <c r="J237">
        <f>IFERROR(IF(TODAY()&gt;=E237,(TODAY()-E237)/I237,0),0)*0</f>
        <v>0</v>
      </c>
      <c r="K237">
        <v>749.12</v>
      </c>
      <c r="L237">
        <v>748.2709425408253</v>
      </c>
      <c r="M237">
        <f>K237-L237</f>
        <v>0.8490574591746736</v>
      </c>
      <c r="N237">
        <v>3789.05</v>
      </c>
      <c r="O237">
        <v>3875.09</v>
      </c>
      <c r="P237">
        <f>O237-N237</f>
        <v>86.03999999999996</v>
      </c>
      <c r="Q237">
        <f>K237*N237</f>
        <v>2838453.136</v>
      </c>
      <c r="R237">
        <f>L237*O237</f>
        <v>2899617.246730527</v>
      </c>
      <c r="S237">
        <f>R237-Q237</f>
        <v>61164.11073052697</v>
      </c>
      <c r="T237" t="str">
        <f>IF(R237&lt;= Q237,"No Monetizar","Monetizar")</f>
        <v>Monetizar</v>
      </c>
      <c r="V237">
        <v>45925</v>
      </c>
      <c r="W237" t="str">
        <v>Alfonso Fonseca A</v>
      </c>
      <c r="X237" t="str">
        <v>Alfonso Fonseca A</v>
      </c>
      <c r="Y237"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7">
        <f>K237*O237</f>
        <v>2902907.4208</v>
      </c>
      <c r="AA237">
        <f>Z237-Q237</f>
        <v>64454.28480000002</v>
      </c>
    </row>
    <row r="238" xml:space="preserve">
      <c r="B238">
        <v>207</v>
      </c>
      <c r="C238" t="str">
        <v>Nazdar ink technologies</v>
      </c>
      <c r="D238" t="str">
        <v>FV-5-41</v>
      </c>
      <c r="E238">
        <v>45925</v>
      </c>
      <c r="F238">
        <v>45985</v>
      </c>
      <c r="J238">
        <f>IFERROR(IF(TODAY()&gt;=E233,(TODAY()-E233)/I233,0),0)*0</f>
        <v>0</v>
      </c>
      <c r="K238">
        <v>12485.32</v>
      </c>
      <c r="L238">
        <v>12471.169057459174</v>
      </c>
      <c r="M238">
        <f>K238-L238</f>
        <v>14.150942540825781</v>
      </c>
      <c r="N238">
        <v>3789.05</v>
      </c>
      <c r="O238">
        <v>3875.09</v>
      </c>
      <c r="P238">
        <f>O238-N238</f>
        <v>86.03999999999996</v>
      </c>
      <c r="Q238">
        <f>K238*N238</f>
        <v>47307501.746</v>
      </c>
      <c r="R238">
        <f>L238*O238</f>
        <v>48326902.50286947</v>
      </c>
      <c r="S238">
        <f>R238-Q238</f>
        <v>1019400.7568694726</v>
      </c>
      <c r="T238" t="str">
        <f>IF(R238&lt;= Q238,"No Monetizar","Monetizar")</f>
        <v>Monetizar</v>
      </c>
      <c r="V238">
        <v>45925</v>
      </c>
      <c r="W238" t="str">
        <v>Alfonso Fonseca A</v>
      </c>
      <c r="X238" t="str">
        <v>Alfonso Fonseca A</v>
      </c>
      <c r="Y238"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8">
        <f>K238*O238</f>
        <v>48381738.6788</v>
      </c>
      <c r="AA238">
        <f>Z238-Q238</f>
        <v>1074236.9328000024</v>
      </c>
    </row>
    <row r="239" xml:space="preserve">
      <c r="B239">
        <v>208</v>
      </c>
      <c r="C239" t="str">
        <v>Rivermate</v>
      </c>
      <c r="D239">
        <v>6205</v>
      </c>
      <c r="E239">
        <v>45903</v>
      </c>
      <c r="F239">
        <v>45963</v>
      </c>
      <c r="J239">
        <f>IFERROR(IF(TODAY()&gt;=E234,(TODAY()-E234)/I234,0),0)*0</f>
        <v>0</v>
      </c>
      <c r="K239">
        <v>150</v>
      </c>
      <c r="L239">
        <v>149.34846693039415</v>
      </c>
      <c r="M239">
        <f>K239-L239</f>
        <v>0.651533069605847</v>
      </c>
      <c r="N239">
        <f>4608.65</f>
        <v>4608.65</v>
      </c>
      <c r="O239">
        <v>3890</v>
      </c>
      <c r="P239">
        <f>O239-N239</f>
        <v>-718.6499999999996</v>
      </c>
      <c r="Q239">
        <f>K239*N239</f>
        <v>691297.5</v>
      </c>
      <c r="R239">
        <f>L239*O239</f>
        <v>580965.5363592332</v>
      </c>
      <c r="S239">
        <f>R239-Q239</f>
        <v>-110331.9636407668</v>
      </c>
      <c r="T239" t="str">
        <f>IF(R239&lt;= Q239,"No Monetizar","Monetizar")</f>
        <v>No Monetizar</v>
      </c>
      <c r="V239">
        <v>45925</v>
      </c>
      <c r="W239" t="str">
        <v>Alfonso Fonseca A</v>
      </c>
      <c r="X239" t="str">
        <v>Alfonso Fonseca A</v>
      </c>
      <c r="Y239"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9">
        <f>K239*O239</f>
        <v>583500</v>
      </c>
      <c r="AA239">
        <f>Z239-Q239</f>
        <v>-107797.5</v>
      </c>
    </row>
    <row r="240" xml:space="preserve">
      <c r="B240">
        <v>209</v>
      </c>
      <c r="C240" t="str">
        <v>Rivermate</v>
      </c>
      <c r="D240" t="str">
        <v>FV-5-14</v>
      </c>
      <c r="E240">
        <v>45903</v>
      </c>
      <c r="F240">
        <v>45963</v>
      </c>
      <c r="J240">
        <f>IFERROR(IF(TODAY()&gt;=E235,(TODAY()-E235)/I235,0),0)*0</f>
        <v>0</v>
      </c>
      <c r="K240">
        <v>7774.54</v>
      </c>
      <c r="L240">
        <v>7740.770867260177</v>
      </c>
      <c r="M240">
        <f>K240-L240</f>
        <v>33.76913273982336</v>
      </c>
      <c r="N240">
        <f>4608.65</f>
        <v>4608.65</v>
      </c>
      <c r="O240">
        <v>3890</v>
      </c>
      <c r="P240">
        <f>O240-N240</f>
        <v>-718.6499999999996</v>
      </c>
      <c r="Q240">
        <f>K240*N240</f>
        <v>35830133.771</v>
      </c>
      <c r="R240">
        <f>L240*O240</f>
        <v>30111598.673642088</v>
      </c>
      <c r="S240">
        <f>R240-Q240</f>
        <v>-5718535.09735791</v>
      </c>
      <c r="T240" t="str">
        <f>IF(R240&lt;= Q240,"No Monetizar","Monetizar")</f>
        <v>No Monetizar</v>
      </c>
      <c r="V240">
        <v>45925</v>
      </c>
      <c r="W240" t="str">
        <v>Alfonso Fonseca A</v>
      </c>
      <c r="X240" t="str">
        <v>Alfonso Fonseca A</v>
      </c>
      <c r="Y240"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0">
        <f>K240*O240</f>
        <v>30242960.6</v>
      </c>
      <c r="AA240">
        <f>Z240-Q240</f>
        <v>-5587173.170999996</v>
      </c>
    </row>
    <row r="241" xml:space="preserve">
      <c r="B241">
        <v>210</v>
      </c>
      <c r="C241" t="str">
        <v>Rivermate</v>
      </c>
      <c r="D241">
        <v>6243</v>
      </c>
      <c r="E241">
        <v>45903</v>
      </c>
      <c r="F241">
        <v>45963</v>
      </c>
      <c r="J241">
        <f>IFERROR(IF(TODAY()&gt;=E236,(TODAY()-E236)/I236,0),0)*0</f>
        <v>0</v>
      </c>
      <c r="K241">
        <v>150</v>
      </c>
      <c r="L241">
        <v>149.34846693039415</v>
      </c>
      <c r="M241">
        <f>K241-L241</f>
        <v>0.651533069605847</v>
      </c>
      <c r="N241">
        <f>4608.65</f>
        <v>4608.65</v>
      </c>
      <c r="O241">
        <v>3890</v>
      </c>
      <c r="P241">
        <f>O241-N241</f>
        <v>-718.6499999999996</v>
      </c>
      <c r="Q241">
        <f>K241*N241</f>
        <v>691297.5</v>
      </c>
      <c r="R241">
        <f>L241*O241</f>
        <v>580965.5363592332</v>
      </c>
      <c r="S241">
        <f>R241-Q241</f>
        <v>-110331.9636407668</v>
      </c>
      <c r="T241" t="str">
        <f>IF(R241&lt;= Q241,"No Monetizar","Monetizar")</f>
        <v>No Monetizar</v>
      </c>
      <c r="V241">
        <v>45925</v>
      </c>
      <c r="W241" t="str">
        <v>Alfonso Fonseca A</v>
      </c>
      <c r="X241" t="str">
        <v>Alfonso Fonseca A</v>
      </c>
      <c r="Y241"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1">
        <f>K241*O241</f>
        <v>583500</v>
      </c>
      <c r="AA241">
        <f>Z241-Q241</f>
        <v>-107797.5</v>
      </c>
    </row>
    <row r="242" xml:space="preserve">
      <c r="B242">
        <v>211</v>
      </c>
      <c r="C242" t="str">
        <v>Rivermate</v>
      </c>
      <c r="D242" t="str">
        <v>FV-5-29</v>
      </c>
      <c r="E242">
        <v>45903</v>
      </c>
      <c r="F242">
        <v>45963</v>
      </c>
      <c r="J242">
        <f>IFERROR(IF(TODAY()&gt;=E237,(TODAY()-E237)/I237,0),0)*0</f>
        <v>0</v>
      </c>
      <c r="K242">
        <v>4127.45</v>
      </c>
      <c r="L242">
        <v>4109.522198879035</v>
      </c>
      <c r="M242">
        <f>K242-L242</f>
        <v>17.927801120964432</v>
      </c>
      <c r="N242">
        <f>4608.65</f>
        <v>4608.65</v>
      </c>
      <c r="O242">
        <v>3890</v>
      </c>
      <c r="P242">
        <f>O242-N242</f>
        <v>-718.6499999999996</v>
      </c>
      <c r="Q242">
        <f>K242*N242</f>
        <v>19021972.4425</v>
      </c>
      <c r="R242">
        <f>L242*O242</f>
        <v>15986041.353639448</v>
      </c>
      <c r="S242">
        <f>R242-Q242</f>
        <v>-3035931.088860551</v>
      </c>
      <c r="T242" t="str">
        <f>IF(R242&lt;= Q242,"No Monetizar","Monetizar")</f>
        <v>No Monetizar</v>
      </c>
      <c r="V242">
        <v>45925</v>
      </c>
      <c r="W242" t="str">
        <v>Alfonso Fonseca A</v>
      </c>
      <c r="X242" t="str">
        <v>Alfonso Fonseca A</v>
      </c>
      <c r="Y242"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2">
        <f>K242*O242</f>
        <v>16055780.5</v>
      </c>
      <c r="AA242">
        <f>Z242-Q242</f>
        <v>-2966191.942499999</v>
      </c>
    </row>
    <row r="243" xml:space="preserve">
      <c r="B243">
        <v>212</v>
      </c>
      <c r="C243" t="str">
        <v>Rivermate</v>
      </c>
      <c r="D243">
        <v>6271</v>
      </c>
      <c r="E243">
        <v>45925</v>
      </c>
      <c r="F243">
        <v>45985</v>
      </c>
      <c r="J243">
        <f>IFERROR(IF(TODAY()&gt;=E238,(TODAY()-E238)/I238,0),0)*0</f>
        <v>0</v>
      </c>
      <c r="K243">
        <v>16238.43</v>
      </c>
      <c r="L243">
        <v>16173.01</v>
      </c>
      <c r="M243">
        <f>K243-L243</f>
        <v>65.42000000000007</v>
      </c>
      <c r="N243">
        <f>4492.32</f>
        <v>4492.32</v>
      </c>
      <c r="O243">
        <v>3890</v>
      </c>
      <c r="P243">
        <f>O243-N243</f>
        <v>-602.3199999999997</v>
      </c>
      <c r="Q243">
        <f>K243*N243</f>
        <v>72948223.8576</v>
      </c>
      <c r="R243">
        <f>L243*O243</f>
        <v>62913008.9</v>
      </c>
      <c r="S243">
        <f>R243-Q243</f>
        <v>-10035214.957600005</v>
      </c>
      <c r="T243" t="str">
        <f>IF(R243&lt;= Q243,"No Monetizar","Monetizar")</f>
        <v>No Monetizar</v>
      </c>
      <c r="V243">
        <v>45925</v>
      </c>
      <c r="W243" t="str">
        <v>Alfonso Fonseca A</v>
      </c>
      <c r="X243" t="str">
        <v>Alfonso Fonseca A</v>
      </c>
      <c r="Y243"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3">
        <f>K243*O243</f>
        <v>63167492.7</v>
      </c>
      <c r="AA243">
        <f>Z243-Q243</f>
        <v>-9780731.1576</v>
      </c>
    </row>
    <row r="244">
      <c r="B244">
        <v>213</v>
      </c>
      <c r="C244" t="str">
        <v>Bubble BPM</v>
      </c>
      <c r="D244">
        <v>6291</v>
      </c>
      <c r="E244">
        <v>45925</v>
      </c>
      <c r="F244">
        <v>45985</v>
      </c>
      <c r="J244">
        <f>IFERROR(IF(TODAY()&gt;=E239,(TODAY()-E239)/I239,0),0)*0</f>
        <v>0</v>
      </c>
      <c r="K244">
        <v>122.44</v>
      </c>
      <c r="L244">
        <v>119.46707296345757</v>
      </c>
      <c r="M244">
        <f>K244-L244</f>
        <v>2.97292703654243</v>
      </c>
      <c r="N244">
        <v>3789.05</v>
      </c>
      <c r="O244">
        <v>3885</v>
      </c>
      <c r="P244">
        <f>O244-N244</f>
        <v>95.94999999999982</v>
      </c>
      <c r="Q244">
        <f>K244*N244</f>
        <v>463931.282</v>
      </c>
      <c r="R244">
        <f>L244*O244</f>
        <v>464129.57846303267</v>
      </c>
      <c r="S244">
        <f>R244-Q244</f>
        <v>198.29646303266054</v>
      </c>
      <c r="T244" t="str">
        <f>IF(R244&lt;= Q244,"No Monetizar","Monetizar")</f>
        <v>Monetizar</v>
      </c>
      <c r="V244">
        <v>45926</v>
      </c>
      <c r="W244" t="str">
        <v>Alfonso Fonseca A</v>
      </c>
      <c r="X244" t="str">
        <v>Alfonso Fonseca A</v>
      </c>
      <c r="Y244" t="str">
        <v>Se monetiza ya que el valor ofrecido por el banco en cada divisa es superior al valor facturado</v>
      </c>
      <c r="Z244">
        <f>K244*O244</f>
        <v>475679.39999999997</v>
      </c>
      <c r="AA244">
        <f>Z244-Q244</f>
        <v>11748.117999999959</v>
      </c>
    </row>
    <row r="245">
      <c r="B245">
        <v>214</v>
      </c>
      <c r="C245" t="str">
        <v>Bubble BPM</v>
      </c>
      <c r="D245" t="str">
        <v>FV-5-46</v>
      </c>
      <c r="E245">
        <v>45925</v>
      </c>
      <c r="F245">
        <v>45985</v>
      </c>
      <c r="J245">
        <f>IFERROR(IF(TODAY()&gt;=E240,(TODAY()-E240)/I240,0),0)*0</f>
        <v>0</v>
      </c>
      <c r="K245">
        <v>1113.11</v>
      </c>
      <c r="L245">
        <v>1086.0829270365423</v>
      </c>
      <c r="M245">
        <f>K245-L245</f>
        <v>27.027072963457613</v>
      </c>
      <c r="N245">
        <v>3789.05</v>
      </c>
      <c r="O245">
        <v>3885</v>
      </c>
      <c r="P245">
        <f>O245-N245</f>
        <v>95.94999999999982</v>
      </c>
      <c r="Q245">
        <f>K245*N245</f>
        <v>4217629.445499999</v>
      </c>
      <c r="R245">
        <f>L245*O245</f>
        <v>4219432.171536967</v>
      </c>
      <c r="S245">
        <f>R245-Q245</f>
        <v>1802.7260369677097</v>
      </c>
      <c r="T245" t="str">
        <f>IF(R245&lt;= Q245,"No Monetizar","Monetizar")</f>
        <v>Monetizar</v>
      </c>
      <c r="V245">
        <v>45926</v>
      </c>
      <c r="W245" t="str">
        <v>Alfonso Fonseca A</v>
      </c>
      <c r="X245" t="str">
        <v>Alfonso Fonseca A</v>
      </c>
      <c r="Y245" t="str">
        <v>Se monetiza ya que el valor ofrecido por el banco en cada divisa es superior al valor facturado</v>
      </c>
      <c r="Z245">
        <f>K245*O245</f>
        <v>4324432.35</v>
      </c>
      <c r="AA245">
        <f>Z245-Q245</f>
        <v>106802.90450000018</v>
      </c>
    </row>
    <row r="246">
      <c r="B246">
        <v>215</v>
      </c>
      <c r="C246" t="str">
        <v>Oncehub</v>
      </c>
      <c r="D246">
        <v>6293</v>
      </c>
      <c r="E246">
        <v>45926</v>
      </c>
      <c r="F246">
        <v>45986</v>
      </c>
      <c r="J246">
        <f>IFERROR(IF(TODAY()&gt;=E241,(TODAY()-E241)/I241,0),0)*0</f>
        <v>0</v>
      </c>
      <c r="K246">
        <v>285.6</v>
      </c>
      <c r="L246">
        <v>283.91331776183887</v>
      </c>
      <c r="M246">
        <f>K246-L246</f>
        <v>1.6866822381611541</v>
      </c>
      <c r="N246">
        <v>3804.28</v>
      </c>
      <c r="O246">
        <v>3886.09</v>
      </c>
      <c r="P246">
        <f>O246-N246</f>
        <v>81.80999999999995</v>
      </c>
      <c r="Q246">
        <f>K246*N246</f>
        <v>1086502.3680000002</v>
      </c>
      <c r="R246">
        <f>L246*O246</f>
        <v>1103312.7050211045</v>
      </c>
      <c r="S246">
        <f>R246-Q246</f>
        <v>16810.337021104293</v>
      </c>
      <c r="T246" t="str">
        <f>IF(R246&lt;= Q246,"No Monetizar","Monetizar")</f>
        <v>Monetizar</v>
      </c>
      <c r="V246">
        <v>45926</v>
      </c>
      <c r="W246" t="str">
        <v>Alfonso Fonseca A</v>
      </c>
      <c r="X246" t="str">
        <v>Alfonso Fonseca A</v>
      </c>
      <c r="Y246" t="str">
        <v>Se monetiza ya que el valor ofrecido por el banco en cada divisa es superior al valor facturado</v>
      </c>
      <c r="Z246">
        <f>K246*O246</f>
        <v>1109867.3040000002</v>
      </c>
      <c r="AA246">
        <f>Z246-Q246</f>
        <v>23364.935999999987</v>
      </c>
    </row>
    <row r="247">
      <c r="B247">
        <v>216</v>
      </c>
      <c r="C247" t="str">
        <v>Oncehub</v>
      </c>
      <c r="D247" t="str">
        <v>FV-5-50</v>
      </c>
      <c r="E247">
        <v>45926</v>
      </c>
      <c r="F247">
        <v>45986</v>
      </c>
      <c r="J247">
        <f>IFERROR(IF(TODAY()&gt;=E242,(TODAY()-E242)/I242,0),0)*0</f>
        <v>0</v>
      </c>
      <c r="K247">
        <v>3100.93</v>
      </c>
      <c r="L247">
        <v>3082.6166822381615</v>
      </c>
      <c r="M247">
        <f>K247-L247</f>
        <v>18.313317761838334</v>
      </c>
      <c r="N247">
        <v>3804.28</v>
      </c>
      <c r="O247">
        <v>3886.09</v>
      </c>
      <c r="P247">
        <f>O247-N247</f>
        <v>81.80999999999995</v>
      </c>
      <c r="Q247">
        <f>K247*N247</f>
        <v>11796805.9804</v>
      </c>
      <c r="R247">
        <f>L247*O247</f>
        <v>11979325.862678897</v>
      </c>
      <c r="S247">
        <f>R247-Q247</f>
        <v>182519.88227889687</v>
      </c>
      <c r="T247" t="str">
        <f>IF(R247&lt;= Q247,"No Monetizar","Monetizar")</f>
        <v>Monetizar</v>
      </c>
      <c r="V247">
        <v>45926</v>
      </c>
      <c r="W247" t="str">
        <v>Alfonso Fonseca A</v>
      </c>
      <c r="X247" t="str">
        <v>Alfonso Fonseca A</v>
      </c>
      <c r="Y247" t="str">
        <v>Se monetiza ya que el valor ofrecido por el banco en cada divisa es superior al valor facturado</v>
      </c>
      <c r="Z247">
        <f>K247*O247</f>
        <v>12050493.0637</v>
      </c>
      <c r="AA247">
        <f>Z247-Q247</f>
        <v>253687.08330000006</v>
      </c>
    </row>
    <row r="248" xml:space="preserve">
      <c r="B248">
        <v>217</v>
      </c>
      <c r="C248" t="str">
        <v>Insider</v>
      </c>
      <c r="D248" t="str">
        <v>FV-5-34</v>
      </c>
      <c r="E248">
        <v>45908</v>
      </c>
      <c r="F248">
        <v>45978</v>
      </c>
      <c r="J248">
        <f>IFERROR(IF(TODAY()&gt;=E243,(TODAY()-E243)/I243,0),0)*0</f>
        <v>0</v>
      </c>
      <c r="K248">
        <v>415.02</v>
      </c>
      <c r="L248">
        <v>410.02</v>
      </c>
      <c r="M248">
        <f>K248-L248</f>
        <v>5</v>
      </c>
      <c r="N248">
        <v>3891.31</v>
      </c>
      <c r="O248">
        <v>3897</v>
      </c>
      <c r="P248">
        <f>O248-N248</f>
        <v>5.690000000000055</v>
      </c>
      <c r="Q248">
        <f>K248*N248</f>
        <v>1614971.4762</v>
      </c>
      <c r="R248">
        <f>L248*O248</f>
        <v>1597847.94</v>
      </c>
      <c r="S248">
        <f>R248-Q248</f>
        <v>-17123.536199999973</v>
      </c>
      <c r="T248" t="str">
        <f>IF(R248&lt;= Q248,"No Monetizar","Monetizar")</f>
        <v>No Monetizar</v>
      </c>
      <c r="V248">
        <v>45926</v>
      </c>
      <c r="W248" t="str">
        <v>Alfonso Fonseca A</v>
      </c>
      <c r="X248" t="str">
        <v>Alfonso Fonseca A</v>
      </c>
      <c r="Y248"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8">
        <f>K248*O248</f>
        <v>1617332.94</v>
      </c>
      <c r="AA248">
        <f>Z248-Q248</f>
        <v>2361.463800000027</v>
      </c>
    </row>
    <row r="249">
      <c r="B249">
        <v>218</v>
      </c>
      <c r="C249" t="str">
        <v>Europortage</v>
      </c>
      <c r="D249">
        <v>6292</v>
      </c>
      <c r="E249">
        <v>45929</v>
      </c>
      <c r="F249">
        <v>45989</v>
      </c>
      <c r="J249">
        <f>IFERROR(IF(TODAY()&gt;=E244,(TODAY()-E244)/I244,0),0)*0</f>
        <v>0</v>
      </c>
      <c r="K249">
        <v>238</v>
      </c>
      <c r="L249">
        <v>235.83340919435594</v>
      </c>
      <c r="M249">
        <f>K249-L249</f>
        <v>2.166590805644063</v>
      </c>
      <c r="N249">
        <v>3780.64</v>
      </c>
      <c r="O249">
        <v>3905</v>
      </c>
      <c r="P249">
        <f>O249-N249</f>
        <v>124.36000000000013</v>
      </c>
      <c r="Q249">
        <f>K249*N249</f>
        <v>899792.32</v>
      </c>
      <c r="R249">
        <f>L249*O249</f>
        <v>920929.4629039599</v>
      </c>
      <c r="S249">
        <f>R249-Q249</f>
        <v>21137.14290395996</v>
      </c>
      <c r="T249" t="str">
        <f>IF(R249&lt;= Q249,"No Monetizar","Monetizar")</f>
        <v>Monetizar</v>
      </c>
      <c r="V249">
        <v>45930</v>
      </c>
      <c r="W249" t="str">
        <v>Alfonso Fonseca A</v>
      </c>
      <c r="X249" t="str">
        <v>Alfonso Fonseca A</v>
      </c>
      <c r="Y249" t="str">
        <v>Se monetiza ya que el valor ofrecido por el banco en cada divisa es superior al valor facturado</v>
      </c>
      <c r="Z249">
        <f>K249*O249</f>
        <v>929390</v>
      </c>
      <c r="AA249">
        <f>Z249-Q249</f>
        <v>29597.68000000005</v>
      </c>
    </row>
    <row r="250">
      <c r="B250">
        <v>219</v>
      </c>
      <c r="C250" t="str">
        <v>Europortage</v>
      </c>
      <c r="D250" t="str">
        <v>FV-5-48</v>
      </c>
      <c r="E250">
        <v>45929</v>
      </c>
      <c r="F250">
        <v>45989</v>
      </c>
      <c r="J250">
        <f>IFERROR(IF(TODAY()&gt;=E245,(TODAY()-E245)/I245,0),0)*0</f>
        <v>0</v>
      </c>
      <c r="K250">
        <v>1739.3</v>
      </c>
      <c r="L250">
        <v>1723.466590805644</v>
      </c>
      <c r="M250">
        <f>K250-L250</f>
        <v>15.833409194355909</v>
      </c>
      <c r="N250">
        <v>3780.64</v>
      </c>
      <c r="O250">
        <v>3905</v>
      </c>
      <c r="P250">
        <f>O250-N250</f>
        <v>124.36000000000013</v>
      </c>
      <c r="Q250">
        <f>K250*N250</f>
        <v>6575667.152</v>
      </c>
      <c r="R250">
        <f>L250*O250</f>
        <v>6730137.03709604</v>
      </c>
      <c r="S250">
        <f>R250-Q250</f>
        <v>154469.88509604055</v>
      </c>
      <c r="T250" t="str">
        <f>IF(R250&lt;= Q250,"No Monetizar","Monetizar")</f>
        <v>Monetizar</v>
      </c>
      <c r="V250">
        <v>45930</v>
      </c>
      <c r="W250" t="str">
        <v>Alfonso Fonseca A</v>
      </c>
      <c r="X250" t="str">
        <v>Alfonso Fonseca A</v>
      </c>
      <c r="Y250" t="str">
        <v>Se monetiza ya que el valor ofrecido por el banco en cada divisa es superior al valor facturado</v>
      </c>
      <c r="Z250">
        <f>K250*O250</f>
        <v>6791966.5</v>
      </c>
      <c r="AA250">
        <f>Z250-Q250</f>
        <v>216299.34800000023</v>
      </c>
    </row>
    <row r="251">
      <c r="B251">
        <v>220</v>
      </c>
      <c r="C251" t="str">
        <v>Insider</v>
      </c>
      <c r="D251">
        <v>6319</v>
      </c>
      <c r="E251">
        <v>45930</v>
      </c>
      <c r="F251">
        <v>45990</v>
      </c>
      <c r="J251">
        <f>IFERROR(IF(TODAY()&gt;=E246,(TODAY()-E246)/I246,0),0)*0</f>
        <v>0</v>
      </c>
      <c r="K251">
        <v>5426.4</v>
      </c>
      <c r="L251">
        <v>5425.690990432256</v>
      </c>
      <c r="M251">
        <f>K251-L251</f>
        <v>0.7090095677440331</v>
      </c>
      <c r="N251">
        <v>3790.88</v>
      </c>
      <c r="O251">
        <v>3908</v>
      </c>
      <c r="P251">
        <f>O251-N251</f>
        <v>117.11999999999989</v>
      </c>
      <c r="Q251">
        <f>K251*N251</f>
        <v>20570831.232</v>
      </c>
      <c r="R251">
        <f>L251*O251</f>
        <v>21203600.390609253</v>
      </c>
      <c r="S251">
        <f>R251-Q251</f>
        <v>632769.1586092524</v>
      </c>
      <c r="T251" t="str">
        <f>IF(R251&lt;= Q251,"No Monetizar","Monetizar")</f>
        <v>Monetizar</v>
      </c>
      <c r="V251">
        <v>45930</v>
      </c>
      <c r="W251" t="str">
        <v>Alfonso Fonseca A</v>
      </c>
      <c r="X251" t="str">
        <v>Alfonso Fonseca A</v>
      </c>
      <c r="Y251" t="str">
        <v>Se monetiza ya que el valor ofrecido por el banco en cada divisa es superior al valor facturado</v>
      </c>
      <c r="Z251">
        <f>K251*O251</f>
        <v>21206371.2</v>
      </c>
      <c r="AA251">
        <f>Z251-Q251</f>
        <v>635539.9679999985</v>
      </c>
    </row>
    <row r="252">
      <c r="B252">
        <v>221</v>
      </c>
      <c r="C252" t="str">
        <v>Insider</v>
      </c>
      <c r="D252" t="str">
        <v>FV-5-58</v>
      </c>
      <c r="E252">
        <v>45930</v>
      </c>
      <c r="F252">
        <v>45990</v>
      </c>
      <c r="J252">
        <f>IFERROR(IF(TODAY()&gt;=E247,(TODAY()-E247)/I247,0),0)*0</f>
        <v>0</v>
      </c>
      <c r="K252">
        <v>109376</v>
      </c>
      <c r="L252">
        <v>109361.70900956774</v>
      </c>
      <c r="M252">
        <f>K252-L252</f>
        <v>14.290990432258695</v>
      </c>
      <c r="N252">
        <v>3790.88</v>
      </c>
      <c r="O252">
        <v>3908</v>
      </c>
      <c r="P252">
        <f>O252-N252</f>
        <v>117.11999999999989</v>
      </c>
      <c r="Q252">
        <f>K252*N252</f>
        <v>414631290.88</v>
      </c>
      <c r="R252">
        <f>L252*O252</f>
        <v>427385558.8093907</v>
      </c>
      <c r="S252">
        <f>R252-Q252</f>
        <v>12754267.929390728</v>
      </c>
      <c r="T252" t="str">
        <f>IF(R252&lt;= Q252,"No Monetizar","Monetizar")</f>
        <v>Monetizar</v>
      </c>
      <c r="V252">
        <v>45930</v>
      </c>
      <c r="W252" t="str">
        <v>Alfonso Fonseca A</v>
      </c>
      <c r="X252" t="str">
        <v>Alfonso Fonseca A</v>
      </c>
      <c r="Y252" t="str">
        <v>Se monetiza ya que el valor ofrecido por el banco en cada divisa es superior al valor facturado</v>
      </c>
      <c r="Z252">
        <f>K252*O252</f>
        <v>427441408</v>
      </c>
      <c r="AA252">
        <f>Z252-Q252</f>
        <v>12810117.120000005</v>
      </c>
    </row>
    <row r="253">
      <c r="B253">
        <v>222</v>
      </c>
      <c r="C253" t="str">
        <v xml:space="preserve">Neo </v>
      </c>
      <c r="D253" t="str">
        <v>FV-5-58</v>
      </c>
      <c r="E253">
        <v>45931</v>
      </c>
      <c r="F253">
        <v>45991</v>
      </c>
      <c r="J253">
        <f>IFERROR(IF(TODAY()&gt;=E248,(TODAY()-E248)/I248,0),0)*0</f>
        <v>0</v>
      </c>
      <c r="K253">
        <v>6562.17</v>
      </c>
      <c r="L253">
        <v>6506.17</v>
      </c>
      <c r="M253">
        <f>K253-L253</f>
        <v>56</v>
      </c>
      <c r="N253">
        <v>3763.61</v>
      </c>
      <c r="O253">
        <v>3872.5</v>
      </c>
      <c r="P253">
        <f>O253-N253</f>
        <v>108.88999999999987</v>
      </c>
      <c r="Q253">
        <f>K253*N253</f>
        <v>24697448.633700002</v>
      </c>
      <c r="R253">
        <f>L253*O253</f>
        <v>25195143.325</v>
      </c>
      <c r="S253">
        <f>R253-Q253</f>
        <v>497694.69129999727</v>
      </c>
      <c r="T253" t="str">
        <f>IF(R253&lt;= Q253,"No Monetizar","Monetizar")</f>
        <v>Monetizar</v>
      </c>
      <c r="V253">
        <v>45931</v>
      </c>
      <c r="W253" t="str">
        <v>Alfonso Fonseca A</v>
      </c>
      <c r="X253" t="str">
        <v>Alfonso Fonseca A</v>
      </c>
      <c r="Y253" t="str">
        <v>Se monetiza ya que el valor ofrecido por el banco en cada divisa es superior al valor facturado</v>
      </c>
      <c r="Z253">
        <f>K253*O253</f>
        <v>25412003.325</v>
      </c>
      <c r="AA253">
        <f>Z253-Q253</f>
        <v>714554.6912999973</v>
      </c>
    </row>
    <row r="254">
      <c r="B254">
        <v>223</v>
      </c>
      <c r="C254" t="str">
        <v>Hemmebarsch GMBH &amp; Co KG</v>
      </c>
      <c r="D254" t="str">
        <v>FV-4-6288</v>
      </c>
      <c r="E254">
        <v>45932</v>
      </c>
      <c r="F254">
        <v>45992</v>
      </c>
      <c r="J254">
        <f>IFERROR(IF(TODAY()&gt;=E249,(TODAY()-E249)/I249,0),0)*0</f>
        <v>0</v>
      </c>
      <c r="K254">
        <v>112.54</v>
      </c>
      <c r="L254">
        <v>112.54</v>
      </c>
      <c r="M254">
        <f>K254-L254</f>
        <v>0</v>
      </c>
      <c r="N254">
        <v>3789.05</v>
      </c>
      <c r="O254">
        <v>3866</v>
      </c>
      <c r="P254">
        <f>O254-N254</f>
        <v>76.94999999999982</v>
      </c>
      <c r="Q254">
        <f>K254*N254</f>
        <v>426419.68700000003</v>
      </c>
      <c r="R254">
        <f>L254*O254</f>
        <v>435079.64</v>
      </c>
      <c r="S254">
        <f>R254-Q254</f>
        <v>8659.95299999998</v>
      </c>
      <c r="T254" t="str">
        <f>IF(R254&lt;= Q254,"No Monetizar","Monetizar")</f>
        <v>Monetizar</v>
      </c>
      <c r="V254">
        <v>45933</v>
      </c>
      <c r="W254" t="str">
        <v>Alfonso Fonseca A</v>
      </c>
      <c r="X254" t="str">
        <v>Alfonso Fonseca A</v>
      </c>
      <c r="Y254" t="str">
        <v>Se monetiza ya que el valor ofrecido por el banco en cada divisa es superior al valor facturado</v>
      </c>
      <c r="Z254">
        <f>K254*O254</f>
        <v>435079.64</v>
      </c>
      <c r="AA254">
        <f>Z254-Q254</f>
        <v>8659.95299999998</v>
      </c>
    </row>
    <row r="255">
      <c r="B255">
        <v>224</v>
      </c>
      <c r="C255" t="str">
        <v>Hemmebarsch GMBH &amp; Co KG</v>
      </c>
      <c r="D255" t="str">
        <v>FV-5-43</v>
      </c>
      <c r="E255">
        <v>45932</v>
      </c>
      <c r="F255">
        <v>45992</v>
      </c>
      <c r="J255">
        <f>IFERROR(IF(TODAY()&gt;=E250,(TODAY()-E250)/I250,0),0)*0</f>
        <v>0</v>
      </c>
      <c r="K255">
        <v>1125.42</v>
      </c>
      <c r="L255">
        <v>1125.42</v>
      </c>
      <c r="M255">
        <f>K255-L255</f>
        <v>0</v>
      </c>
      <c r="N255">
        <v>3789.05</v>
      </c>
      <c r="O255">
        <v>3866</v>
      </c>
      <c r="P255">
        <f>O255-N255</f>
        <v>76.94999999999982</v>
      </c>
      <c r="Q255">
        <f>K255*N255</f>
        <v>4264272.651000001</v>
      </c>
      <c r="R255">
        <f>L255*O255</f>
        <v>4350873.720000001</v>
      </c>
      <c r="S255">
        <f>R255-Q255</f>
        <v>86601.06900000013</v>
      </c>
      <c r="T255" t="str">
        <f>IF(R255&lt;= Q255,"No Monetizar","Monetizar")</f>
        <v>Monetizar</v>
      </c>
      <c r="V255">
        <v>45933</v>
      </c>
      <c r="W255" t="str">
        <v>Alfonso Fonseca A</v>
      </c>
      <c r="X255" t="str">
        <v>Alfonso Fonseca A</v>
      </c>
      <c r="Y255" t="str">
        <v>Se monetiza ya que el valor ofrecido por el banco en cada divisa es superior al valor facturado</v>
      </c>
      <c r="Z255">
        <f>K255*O255</f>
        <v>4350873.720000001</v>
      </c>
      <c r="AA255">
        <f>Z255-Q255</f>
        <v>86601.06900000013</v>
      </c>
    </row>
    <row r="256">
      <c r="B256">
        <v>225</v>
      </c>
      <c r="C256" t="str">
        <v>Endrington</v>
      </c>
      <c r="D256">
        <v>6290</v>
      </c>
      <c r="E256">
        <v>45937</v>
      </c>
      <c r="F256">
        <v>45996</v>
      </c>
      <c r="J256">
        <f>IFERROR(IF(TODAY()&gt;=E256,(TODAY()-E256)/I256,0),0)</f>
        <v>0</v>
      </c>
      <c r="K256">
        <v>401.92</v>
      </c>
      <c r="L256">
        <v>401.92</v>
      </c>
      <c r="M256">
        <f>K256-L256</f>
        <v>0</v>
      </c>
      <c r="N256">
        <v>3789.05</v>
      </c>
      <c r="O256">
        <v>3850</v>
      </c>
      <c r="P256">
        <f>O256-N256</f>
        <v>60.94999999999982</v>
      </c>
      <c r="Q256">
        <f>K256*N256</f>
        <v>1522894.976</v>
      </c>
      <c r="R256">
        <f>L256*O256</f>
        <v>1547392</v>
      </c>
      <c r="S256">
        <f>R256-Q256</f>
        <v>24497.023999999976</v>
      </c>
      <c r="T256" t="str">
        <f>IF(R256&lt;= Q256,"No Monetizar","Monetizar")</f>
        <v>Monetizar</v>
      </c>
      <c r="V256">
        <v>45937</v>
      </c>
      <c r="W256" t="str">
        <v>Julieth Bonilla</v>
      </c>
      <c r="X256" t="str">
        <v>Yuly Peña</v>
      </c>
      <c r="Y256" t="str">
        <v>Se monetiza ya que el valor ofrecido por el banco en cada divisa es superior al valor facturado</v>
      </c>
      <c r="Z256">
        <f>K256*O256</f>
        <v>1547392</v>
      </c>
      <c r="AA256">
        <f>Z256-Q256</f>
        <v>24497.023999999976</v>
      </c>
    </row>
    <row r="257">
      <c r="B257">
        <v>226</v>
      </c>
      <c r="C257" t="str">
        <v>Endrington</v>
      </c>
      <c r="D257" t="str">
        <v>FV-5-45</v>
      </c>
      <c r="E257">
        <v>45937</v>
      </c>
      <c r="F257">
        <v>45996</v>
      </c>
      <c r="J257">
        <f>IFERROR(IF(TODAY()&gt;=E257,(TODAY()-E257)/I257,0),0)</f>
        <v>0</v>
      </c>
      <c r="K257">
        <v>10899.62</v>
      </c>
      <c r="L257">
        <v>10899.62</v>
      </c>
      <c r="M257">
        <f>K257-L257</f>
        <v>0</v>
      </c>
      <c r="N257">
        <v>3789.05</v>
      </c>
      <c r="O257">
        <f>O256</f>
        <v>3850</v>
      </c>
      <c r="P257">
        <f>O257-N257</f>
        <v>60.94999999999982</v>
      </c>
      <c r="Q257">
        <f>K257*N257</f>
        <v>41299205.161000006</v>
      </c>
      <c r="R257">
        <f>L257*O257</f>
        <v>41963537</v>
      </c>
      <c r="S257">
        <f>R257-Q257</f>
        <v>664331.8389999941</v>
      </c>
      <c r="T257" t="str">
        <f>IF(R257&lt;= Q257,"No Monetizar","Monetizar")</f>
        <v>Monetizar</v>
      </c>
      <c r="V257">
        <v>45937</v>
      </c>
      <c r="W257" t="str">
        <v>Julieth Bonilla</v>
      </c>
      <c r="X257" t="str">
        <v>Yuly Peña</v>
      </c>
      <c r="Y257" t="str">
        <v>Se monetiza ya que el valor ofrecido por el banco en cada divisa es superior al valor facturado</v>
      </c>
      <c r="Z257">
        <f>K257*O257</f>
        <v>41963537</v>
      </c>
      <c r="AA257">
        <f>Z257-Q257</f>
        <v>664331.8389999941</v>
      </c>
    </row>
    <row r="258">
      <c r="B258">
        <v>227</v>
      </c>
      <c r="C258" t="str">
        <v>Endrington</v>
      </c>
      <c r="D258">
        <v>6339</v>
      </c>
      <c r="E258">
        <v>45937</v>
      </c>
      <c r="F258">
        <v>45996</v>
      </c>
      <c r="J258">
        <f>IFERROR(IF(TODAY()&gt;=E258,(TODAY()-E258)/I258,0),0)</f>
        <v>0</v>
      </c>
      <c r="K258">
        <v>197.61</v>
      </c>
      <c r="L258">
        <v>197.61</v>
      </c>
      <c r="M258">
        <f>K258-L258</f>
        <v>0</v>
      </c>
      <c r="N258">
        <v>3789.05</v>
      </c>
      <c r="O258">
        <f>O257</f>
        <v>3850</v>
      </c>
      <c r="P258">
        <f>O258-N258</f>
        <v>60.94999999999982</v>
      </c>
      <c r="Q258">
        <f>K258*N258</f>
        <v>748754.1705000001</v>
      </c>
      <c r="R258">
        <f>L258*O258</f>
        <v>760798.5</v>
      </c>
      <c r="S258">
        <f>R258-Q258</f>
        <v>12044.329499999876</v>
      </c>
      <c r="T258" t="str">
        <f>IF(R258&lt;= Q258,"No Monetizar","Monetizar")</f>
        <v>Monetizar</v>
      </c>
      <c r="V258">
        <v>45937</v>
      </c>
      <c r="W258" t="str">
        <v>Julieth Bonilla</v>
      </c>
      <c r="X258" t="str">
        <v>Yuly Peña</v>
      </c>
      <c r="Y258" t="str">
        <v>Se monetiza ya que el valor ofrecido por el banco en cada divisa es superior al valor facturado</v>
      </c>
      <c r="Z258">
        <f>K258*O258</f>
        <v>760798.5</v>
      </c>
      <c r="AA258">
        <f>Z258-Q258</f>
        <v>12044.329499999876</v>
      </c>
    </row>
    <row r="259">
      <c r="B259">
        <v>228</v>
      </c>
      <c r="C259" t="str">
        <v>Europortage</v>
      </c>
      <c r="D259" t="str">
        <v>FV-5-62</v>
      </c>
      <c r="E259">
        <v>45937</v>
      </c>
      <c r="F259">
        <v>45997</v>
      </c>
      <c r="J259">
        <f>IFERROR(IF(TODAY()&gt;=E259,(TODAY()-E259)/I259,0),0)</f>
        <v>0</v>
      </c>
      <c r="K259">
        <v>1160.16</v>
      </c>
      <c r="L259">
        <v>1160.16</v>
      </c>
      <c r="M259">
        <f>K259-L259</f>
        <v>0</v>
      </c>
      <c r="N259">
        <v>3780.64</v>
      </c>
      <c r="O259">
        <v>3864</v>
      </c>
      <c r="P259">
        <f>O259-N259</f>
        <v>83.36000000000013</v>
      </c>
      <c r="Q259">
        <f>K259*N259</f>
        <v>4386147.3024</v>
      </c>
      <c r="R259">
        <f>L259*O259</f>
        <v>4482858.24</v>
      </c>
      <c r="S259">
        <f>R259-Q259</f>
        <v>96710.93759999983</v>
      </c>
      <c r="T259" t="str">
        <f>IF(R259&lt;= Q259,"No Monetizar","Monetizar")</f>
        <v>Monetizar</v>
      </c>
      <c r="V259">
        <v>45946</v>
      </c>
      <c r="W259" t="str">
        <v>Alfonso Fonseca A</v>
      </c>
      <c r="X259" t="str">
        <v>Alfonso Fonseca A</v>
      </c>
      <c r="Y259" t="str">
        <v>Se monetiza ya que el valor ofrecido por el banco en cada divisa es superior al valor facturado</v>
      </c>
      <c r="Z259">
        <f>K259*O259</f>
        <v>4482858.24</v>
      </c>
      <c r="AA259">
        <f>Z259-Q259</f>
        <v>96710.93759999983</v>
      </c>
    </row>
    <row r="260">
      <c r="B260">
        <v>229</v>
      </c>
      <c r="C260" t="str">
        <v>Equus Global Expansion, LLC</v>
      </c>
      <c r="D260">
        <v>6342</v>
      </c>
      <c r="E260">
        <v>45944</v>
      </c>
      <c r="F260">
        <v>46004</v>
      </c>
      <c r="J260">
        <f>IFERROR(IF(TODAY()&gt;=E260,(TODAY()-E260)/I260,0),0)</f>
        <v>0</v>
      </c>
      <c r="K260">
        <v>238</v>
      </c>
      <c r="L260">
        <v>238</v>
      </c>
      <c r="M260">
        <f>K260-L260</f>
        <v>0</v>
      </c>
      <c r="N260">
        <v>3763.41</v>
      </c>
      <c r="O260">
        <v>3855</v>
      </c>
      <c r="P260">
        <f>O260-N260</f>
        <v>91.59000000000015</v>
      </c>
      <c r="Q260">
        <f>K260*N260</f>
        <v>895691.58</v>
      </c>
      <c r="R260">
        <f>L260*O260</f>
        <v>917490</v>
      </c>
      <c r="S260">
        <f>R260-Q260</f>
        <v>21798.420000000042</v>
      </c>
      <c r="T260" t="str">
        <f>IF(R260&lt;= Q260,"No Monetizar","Monetizar")</f>
        <v>Monetizar</v>
      </c>
      <c r="V260">
        <v>45946</v>
      </c>
      <c r="W260" t="str">
        <v>Alfonso Fonseca A</v>
      </c>
      <c r="X260" t="str">
        <v>Alfonso Fonseca A</v>
      </c>
      <c r="Y260" t="str">
        <v>Se monetiza ya que el valor ofrecido por el banco en cada divisa es superior al valor facturado</v>
      </c>
      <c r="Z260">
        <f>K260*O260</f>
        <v>917490</v>
      </c>
      <c r="AA260">
        <f>Z260-Q260</f>
        <v>21798.420000000042</v>
      </c>
    </row>
    <row r="261">
      <c r="B261">
        <v>230</v>
      </c>
      <c r="C261" t="str">
        <v>Equus Global Expansion, LLC</v>
      </c>
      <c r="D261" t="str">
        <v>FV-5-65</v>
      </c>
      <c r="E261">
        <v>45944</v>
      </c>
      <c r="F261">
        <v>46004</v>
      </c>
      <c r="J261">
        <f>IFERROR(IF(TODAY()&gt;=E261,(TODAY()-E261)/I261,0),0)</f>
        <v>0</v>
      </c>
      <c r="K261">
        <v>1187.24</v>
      </c>
      <c r="L261">
        <v>1187.24</v>
      </c>
      <c r="M261">
        <f>K261-L261</f>
        <v>0</v>
      </c>
      <c r="N261">
        <v>3763.41</v>
      </c>
      <c r="O261">
        <v>3855</v>
      </c>
      <c r="P261">
        <f>O261-N261</f>
        <v>91.59000000000015</v>
      </c>
      <c r="Q261">
        <f>K261*N261</f>
        <v>4468070.8884</v>
      </c>
      <c r="R261">
        <f>L261*O261</f>
        <v>4576810.2</v>
      </c>
      <c r="S261">
        <f>R261-Q261</f>
        <v>108739.3116000006</v>
      </c>
      <c r="T261" t="str">
        <f>IF(R261&lt;= Q261,"No Monetizar","Monetizar")</f>
        <v>Monetizar</v>
      </c>
      <c r="V261">
        <v>45946</v>
      </c>
      <c r="W261" t="str">
        <v>Alfonso Fonseca A</v>
      </c>
      <c r="X261" t="str">
        <v>Alfonso Fonseca A</v>
      </c>
      <c r="Y261" t="str">
        <v>Se monetiza ya que el valor ofrecido por el banco en cada divisa es superior al valor facturado</v>
      </c>
      <c r="Z261">
        <f>K261*O261</f>
        <v>4576810.2</v>
      </c>
      <c r="AA261">
        <f>Z261-Q261</f>
        <v>108739.3116000006</v>
      </c>
    </row>
    <row r="262">
      <c r="B262">
        <v>231</v>
      </c>
      <c r="C262" t="str">
        <v>Hemmebarsch GMBH &amp; Co KG</v>
      </c>
      <c r="D262">
        <v>6287</v>
      </c>
      <c r="E262">
        <v>45945</v>
      </c>
      <c r="F262">
        <v>46003</v>
      </c>
      <c r="J262">
        <f>IFERROR(IF(TODAY()&gt;=E262,(TODAY()-E262)/I262,0),0)</f>
        <v>0</v>
      </c>
      <c r="K262">
        <v>180.15</v>
      </c>
      <c r="L262">
        <v>180.15</v>
      </c>
      <c r="M262">
        <f>K262-L262</f>
        <v>0</v>
      </c>
      <c r="N262">
        <v>3789.05</v>
      </c>
      <c r="O262">
        <v>3843.5</v>
      </c>
      <c r="P262">
        <f>O262-N262</f>
        <v>54.44999999999982</v>
      </c>
      <c r="Q262">
        <f>K262*N262</f>
        <v>682597.3575</v>
      </c>
      <c r="R262">
        <f>L262*O262</f>
        <v>692406.525</v>
      </c>
      <c r="S262">
        <f>R262-Q262</f>
        <v>9809.167499999981</v>
      </c>
      <c r="T262" t="str">
        <f>IF(R262&lt;= Q262,"No Monetizar","Monetizar")</f>
        <v>Monetizar</v>
      </c>
      <c r="V262">
        <v>45946</v>
      </c>
      <c r="W262" t="str">
        <v>Alfonso Fonseca A</v>
      </c>
      <c r="X262" t="str">
        <v>Alfonso Fonseca A</v>
      </c>
      <c r="Y262" t="str">
        <v>Se monetiza ya que el valor ofrecido por el banco en cada divisa es superior al valor facturado</v>
      </c>
      <c r="Z262">
        <f>K262*O262</f>
        <v>692406.525</v>
      </c>
      <c r="AA262">
        <f>Z262-Q262</f>
        <v>9809.167499999981</v>
      </c>
    </row>
    <row r="263">
      <c r="B263">
        <v>232</v>
      </c>
      <c r="C263" t="str">
        <v>Hemmebarsch GMBH &amp; Co KG</v>
      </c>
      <c r="D263" t="str">
        <v>FV-5-42</v>
      </c>
      <c r="E263">
        <v>45945</v>
      </c>
      <c r="F263">
        <v>46003</v>
      </c>
      <c r="J263">
        <f>IFERROR(IF(TODAY()&gt;=E263,(TODAY()-E263)/I263,0),0)</f>
        <v>0</v>
      </c>
      <c r="K263">
        <v>1801.5</v>
      </c>
      <c r="L263">
        <v>1801.5</v>
      </c>
      <c r="M263">
        <f>K263-L263</f>
        <v>0</v>
      </c>
      <c r="N263">
        <v>3789.05</v>
      </c>
      <c r="O263">
        <v>3843.5</v>
      </c>
      <c r="P263">
        <f>O263-N263</f>
        <v>54.44999999999982</v>
      </c>
      <c r="Q263">
        <f>K263*N263</f>
        <v>6825973.575</v>
      </c>
      <c r="R263">
        <f>L263*O263</f>
        <v>6924065.25</v>
      </c>
      <c r="S263">
        <f>R263-Q263</f>
        <v>98091.67499999981</v>
      </c>
      <c r="T263" t="str">
        <f>IF(R263&lt;= Q263,"No Monetizar","Monetizar")</f>
        <v>Monetizar</v>
      </c>
      <c r="V263">
        <v>45946</v>
      </c>
      <c r="W263" t="str">
        <v>Alfonso Fonseca A</v>
      </c>
      <c r="X263" t="str">
        <v>Alfonso Fonseca A</v>
      </c>
      <c r="Y263" t="str">
        <v>Se monetiza ya que el valor ofrecido por el banco en cada divisa es superior al valor facturado</v>
      </c>
      <c r="Z263">
        <f>K263*O263</f>
        <v>6924065.25</v>
      </c>
      <c r="AA263">
        <f>Z263-Q263</f>
        <v>98091.67499999981</v>
      </c>
    </row>
    <row r="264">
      <c r="B264">
        <v>233</v>
      </c>
      <c r="C264" t="str">
        <v>Marketing Doctors</v>
      </c>
      <c r="D264">
        <v>6346</v>
      </c>
      <c r="E264">
        <v>45945</v>
      </c>
      <c r="F264">
        <v>46003</v>
      </c>
      <c r="J264">
        <f>IFERROR(IF(TODAY()&gt;=E264,(TODAY()-E264)/I264,0),0)</f>
        <v>0</v>
      </c>
      <c r="K264">
        <v>63.43</v>
      </c>
      <c r="L264">
        <v>63.43</v>
      </c>
      <c r="M264">
        <f>K264-L264</f>
        <v>0</v>
      </c>
      <c r="N264">
        <v>3763.41</v>
      </c>
      <c r="O264">
        <v>3847.5</v>
      </c>
      <c r="P264">
        <f>O264-N264</f>
        <v>84.09000000000015</v>
      </c>
      <c r="Q264">
        <f>K264*N264</f>
        <v>238713.09629999998</v>
      </c>
      <c r="R264">
        <f>L264*O264</f>
        <v>244046.925</v>
      </c>
      <c r="S264">
        <f>R264-Q264</f>
        <v>5333.828700000013</v>
      </c>
      <c r="T264" t="str">
        <f>IF(R264&lt;= Q264,"No Monetizar","Monetizar")</f>
        <v>Monetizar</v>
      </c>
      <c r="V264">
        <v>45946</v>
      </c>
      <c r="W264" t="str">
        <v>Alfonso Fonseca A</v>
      </c>
      <c r="X264" t="str">
        <v>Alfonso Fonseca A</v>
      </c>
      <c r="Y264" t="str">
        <v>Se monetiza ya que el valor ofrecido por el banco en cada divisa es superior al valor facturado</v>
      </c>
      <c r="Z264">
        <f>K264*O264</f>
        <v>244046.925</v>
      </c>
      <c r="AA264">
        <f>Z264-Q264</f>
        <v>5333.828700000013</v>
      </c>
    </row>
    <row r="265">
      <c r="B265">
        <v>234</v>
      </c>
      <c r="C265" t="str">
        <v>Marketing Doctors</v>
      </c>
      <c r="D265" t="str">
        <v>FV-5-69</v>
      </c>
      <c r="E265">
        <v>45945</v>
      </c>
      <c r="F265">
        <v>46003</v>
      </c>
      <c r="J265">
        <f>IFERROR(IF(TODAY()&gt;=E265,(TODAY()-E265)/I265,0),0)</f>
        <v>0</v>
      </c>
      <c r="K265">
        <v>576.65</v>
      </c>
      <c r="L265">
        <v>576.65</v>
      </c>
      <c r="M265">
        <f>K265-L265</f>
        <v>0</v>
      </c>
      <c r="N265">
        <v>3763.41</v>
      </c>
      <c r="O265">
        <v>3847.5</v>
      </c>
      <c r="P265">
        <f>O265-N265</f>
        <v>84.09000000000015</v>
      </c>
      <c r="Q265">
        <f>K265*N265</f>
        <v>2170170.3765</v>
      </c>
      <c r="R265">
        <f>L265*O265</f>
        <v>2218660.875</v>
      </c>
      <c r="S265">
        <f>R265-Q265</f>
        <v>48490.49850000022</v>
      </c>
      <c r="T265" t="str">
        <f>IF(R265&lt;= Q265,"No Monetizar","Monetizar")</f>
        <v>Monetizar</v>
      </c>
      <c r="V265">
        <v>45946</v>
      </c>
      <c r="W265" t="str">
        <v>Alfonso Fonseca A</v>
      </c>
      <c r="X265" t="str">
        <v>Alfonso Fonseca A</v>
      </c>
      <c r="Y265" t="str">
        <v>Se monetiza ya que el valor ofrecido por el banco en cada divisa es superior al valor facturado</v>
      </c>
      <c r="Z265">
        <f>K265*O265</f>
        <v>2218660.875</v>
      </c>
      <c r="AA265">
        <f>Z265-Q265</f>
        <v>48490.49850000022</v>
      </c>
    </row>
    <row r="266">
      <c r="B266">
        <v>235</v>
      </c>
      <c r="C266" t="str">
        <v>Nazdar ink technologies</v>
      </c>
      <c r="D266">
        <v>6346</v>
      </c>
      <c r="E266">
        <v>45946</v>
      </c>
      <c r="F266">
        <v>46006</v>
      </c>
      <c r="J266">
        <f>IFERROR(IF(TODAY()&gt;=E266,(TODAY()-E266)/I266,0),0)</f>
        <v>0</v>
      </c>
      <c r="K266">
        <v>801.12</v>
      </c>
      <c r="L266">
        <v>800.270950595058</v>
      </c>
      <c r="M266">
        <f>K266-L266</f>
        <v>0.8490494049419794</v>
      </c>
      <c r="N266">
        <v>3763.41</v>
      </c>
      <c r="O266">
        <v>3841</v>
      </c>
      <c r="P266">
        <f>O266-N266</f>
        <v>77.59000000000015</v>
      </c>
      <c r="Q266">
        <f>K266*N266</f>
        <v>3014943.0192</v>
      </c>
      <c r="R266">
        <f>L266*O266</f>
        <v>3073840.721235618</v>
      </c>
      <c r="S266">
        <f>R266-Q266</f>
        <v>58897.702035618015</v>
      </c>
      <c r="T266" t="str">
        <f>IF(R266&lt;= Q266,"No Monetizar","Monetizar")</f>
        <v>Monetizar</v>
      </c>
      <c r="V266">
        <v>45946</v>
      </c>
      <c r="W266" t="str">
        <v>Alfonso Fonseca A</v>
      </c>
      <c r="X266" t="str">
        <v>Alfonso Fonseca A</v>
      </c>
      <c r="Y266" t="str">
        <v>Se monetiza ya que el valor ofrecido por el banco en cada divisa es superior al valor facturado</v>
      </c>
      <c r="Z266">
        <f>K266*O266</f>
        <v>3077101.92</v>
      </c>
      <c r="AA266">
        <f>Z266-Q266</f>
        <v>62158.900799999945</v>
      </c>
    </row>
    <row r="267">
      <c r="B267">
        <v>236</v>
      </c>
      <c r="C267" t="str">
        <v>Nazdar ink technologies</v>
      </c>
      <c r="D267" t="str">
        <v>FV-5-66</v>
      </c>
      <c r="E267">
        <v>45946</v>
      </c>
      <c r="F267">
        <v>46006</v>
      </c>
      <c r="J267">
        <f>IFERROR(IF(TODAY()&gt;=E267,(TODAY()-E267)/I267,0),0)</f>
        <v>0</v>
      </c>
      <c r="K267">
        <v>13352.12</v>
      </c>
      <c r="L267">
        <v>13337.969049404941</v>
      </c>
      <c r="M267">
        <f>K267-L267</f>
        <v>14.15095059505984</v>
      </c>
      <c r="N267">
        <v>3763.41</v>
      </c>
      <c r="O267">
        <v>3841</v>
      </c>
      <c r="P267">
        <f>O267-N267</f>
        <v>77.59000000000015</v>
      </c>
      <c r="Q267">
        <f>K267*N267</f>
        <v>50249501.9292</v>
      </c>
      <c r="R267">
        <f>L267*O267</f>
        <v>51231139.11876438</v>
      </c>
      <c r="S267">
        <f>R267-Q267</f>
        <v>981637.1895643771</v>
      </c>
      <c r="T267" t="str">
        <f>IF(R267&lt;= Q267,"No Monetizar","Monetizar")</f>
        <v>Monetizar</v>
      </c>
      <c r="V267">
        <v>45946</v>
      </c>
      <c r="W267" t="str">
        <v>Alfonso Fonseca A</v>
      </c>
      <c r="X267" t="str">
        <v>Alfonso Fonseca A</v>
      </c>
      <c r="Y267" t="str">
        <v>Se monetiza ya que el valor ofrecido por el banco en cada divisa es superior al valor facturado</v>
      </c>
      <c r="Z267">
        <f>K267*O267</f>
        <v>51285492.92</v>
      </c>
      <c r="AA267">
        <f>Z267-Q267</f>
        <v>1035990.9908000007</v>
      </c>
    </row>
    <row r="268">
      <c r="B268">
        <v>237</v>
      </c>
      <c r="C268" t="str">
        <v>Action AD</v>
      </c>
      <c r="D268">
        <v>6352</v>
      </c>
      <c r="E268">
        <v>45947</v>
      </c>
      <c r="F268">
        <v>46007</v>
      </c>
      <c r="J268">
        <f>IFERROR(IF(TODAY()&gt;=E268,(TODAY()-E268)/I268,0),0)</f>
        <v>0</v>
      </c>
      <c r="K268">
        <v>346.64</v>
      </c>
      <c r="L268">
        <v>346.64</v>
      </c>
      <c r="M268">
        <f>K268-L268</f>
        <v>0</v>
      </c>
      <c r="N268">
        <v>3778.14</v>
      </c>
      <c r="O268">
        <v>3789.1</v>
      </c>
      <c r="P268">
        <f>O268-N268</f>
        <v>10.960000000000036</v>
      </c>
      <c r="Q268">
        <f>K268*N268</f>
        <v>1309654.4496</v>
      </c>
      <c r="R268">
        <f>L268*O268</f>
        <v>1313453.6239999998</v>
      </c>
      <c r="S268">
        <f>R268-Q268</f>
        <v>3799.1743999999017</v>
      </c>
      <c r="T268" t="str">
        <f>IF(R268&lt;= Q268,"No Monetizar","Monetizar")</f>
        <v>Monetizar</v>
      </c>
      <c r="V268">
        <v>45946</v>
      </c>
      <c r="W268" t="str">
        <v>Alfonso Fonseca A</v>
      </c>
      <c r="X268" t="str">
        <v>Alfonso Fonseca A</v>
      </c>
      <c r="Y268" t="str">
        <v>Se monetiza ya que el valor ofrecido por el banco en cada divisa es superior al valor facturado</v>
      </c>
      <c r="Z268">
        <f>K268*O268</f>
        <v>1313453.6239999998</v>
      </c>
      <c r="AA268">
        <f>Z268-Q268</f>
        <v>3799.1743999999017</v>
      </c>
    </row>
    <row r="269">
      <c r="B269">
        <v>238</v>
      </c>
      <c r="C269" t="str">
        <v>Action AD</v>
      </c>
      <c r="D269" t="str">
        <v>FV-5-75</v>
      </c>
      <c r="E269">
        <v>45947</v>
      </c>
      <c r="F269">
        <v>46007</v>
      </c>
      <c r="J269">
        <f>IFERROR(IF(TODAY()&gt;=E269,(TODAY()-E269)/I269,0),0)</f>
        <v>0</v>
      </c>
      <c r="K269">
        <v>3151.34</v>
      </c>
      <c r="L269">
        <v>3151.34</v>
      </c>
      <c r="M269">
        <f>K269-L269</f>
        <v>0</v>
      </c>
      <c r="N269">
        <v>3778.14</v>
      </c>
      <c r="O269">
        <v>3789.1</v>
      </c>
      <c r="P269">
        <f>O269-N269</f>
        <v>10.960000000000036</v>
      </c>
      <c r="Q269">
        <f>K269*N269</f>
        <v>11906203.7076</v>
      </c>
      <c r="R269">
        <f>L269*O269</f>
        <v>11940742.394</v>
      </c>
      <c r="S269">
        <f>R269-Q269</f>
        <v>34538.686400000006</v>
      </c>
      <c r="T269" t="str">
        <f>IF(R269&lt;= Q269,"No Monetizar","Monetizar")</f>
        <v>Monetizar</v>
      </c>
      <c r="V269">
        <v>45946</v>
      </c>
      <c r="W269" t="str">
        <v>Alfonso Fonseca A</v>
      </c>
      <c r="X269" t="str">
        <v>Alfonso Fonseca A</v>
      </c>
      <c r="Y269" t="str">
        <v>Se monetiza ya que el valor ofrecido por el banco en cada divisa es superior al valor facturado</v>
      </c>
      <c r="Z269">
        <f>K269*O269</f>
        <v>11940742.394</v>
      </c>
      <c r="AA269">
        <f>Z269-Q269</f>
        <v>34538.686400000006</v>
      </c>
    </row>
    <row r="270">
      <c r="B270">
        <v>239</v>
      </c>
      <c r="C270" t="str">
        <v>Insider</v>
      </c>
      <c r="D270" t="str">
        <v>FV-5-78</v>
      </c>
      <c r="E270">
        <v>45947</v>
      </c>
      <c r="F270">
        <v>46007</v>
      </c>
      <c r="J270">
        <f>IFERROR(IF(TODAY()&gt;=E270,(TODAY()-E270)/I270,0),0)</f>
        <v>0</v>
      </c>
      <c r="K270">
        <v>777.24</v>
      </c>
      <c r="L270">
        <v>772.24</v>
      </c>
      <c r="M270">
        <f>K270-L270</f>
        <v>5</v>
      </c>
      <c r="N270">
        <v>3795.84</v>
      </c>
      <c r="O270">
        <v>3805</v>
      </c>
      <c r="P270">
        <f>O270-N270</f>
        <v>9.159999999999854</v>
      </c>
      <c r="Q270">
        <f>K270*N270</f>
        <v>2950278.6816000002</v>
      </c>
      <c r="R270">
        <f>L270*O270</f>
        <v>2938373.2</v>
      </c>
      <c r="S270">
        <f>R270-Q270</f>
        <v>-11905.481600000057</v>
      </c>
      <c r="T270" t="str">
        <f>IF(R270&lt;= Q270,"No Monetizar","Monetizar")</f>
        <v>No Monetizar</v>
      </c>
      <c r="V270">
        <v>45946</v>
      </c>
      <c r="W270" t="str">
        <v>Alfonso Fonseca A</v>
      </c>
      <c r="X270" t="str">
        <v>Alfonso Fonseca A</v>
      </c>
      <c r="Y270" t="str">
        <v>Se monetiza el dinero por un menor valor de $ 11.905,48 debido a dos situaciones el primero es que el GMF tiene un descuento de USD 5  y adicional se requiere para el pago de expenses de los empleados</v>
      </c>
      <c r="Z270">
        <f>K270*O270</f>
        <v>2957398.2</v>
      </c>
      <c r="AA270">
        <f>Z270-Q270</f>
        <v>7119.518399999943</v>
      </c>
    </row>
    <row r="271">
      <c r="B271">
        <v>240</v>
      </c>
      <c r="C271" t="str">
        <v>Hong kong yonyou xinfushe cloud technology co</v>
      </c>
      <c r="D271">
        <v>6362</v>
      </c>
      <c r="E271">
        <v>45952</v>
      </c>
      <c r="F271">
        <v>46012</v>
      </c>
      <c r="J271">
        <f>IFERROR(IF(TODAY()&gt;=E271,(TODAY()-E271)/I271,0),0)</f>
        <v>0</v>
      </c>
      <c r="K271">
        <v>749.7</v>
      </c>
      <c r="L271">
        <v>749.7</v>
      </c>
      <c r="M271">
        <f>K271-L271</f>
        <v>0</v>
      </c>
      <c r="N271">
        <v>3834.98</v>
      </c>
      <c r="O271">
        <v>3865.5</v>
      </c>
      <c r="P271">
        <f>O271-N271</f>
        <v>30.519999999999982</v>
      </c>
      <c r="Q271">
        <f>K271*N271</f>
        <v>2875084.506</v>
      </c>
      <c r="R271">
        <f>L271*O271</f>
        <v>2897965.35</v>
      </c>
      <c r="S271">
        <f>R271-Q271</f>
        <v>22880.84400000004</v>
      </c>
      <c r="T271" t="str">
        <f>IF(R271&lt;= Q271,"No Monetizar","Monetizar")</f>
        <v>Monetizar</v>
      </c>
      <c r="V271">
        <v>45952</v>
      </c>
      <c r="W271" t="str">
        <v>Alfonso Fonseca A</v>
      </c>
      <c r="X271" t="str">
        <v>Alfonso Fonseca A</v>
      </c>
      <c r="Y271" t="str">
        <v>Se monetiza ya que el valor ofrecido por el banco en cada divisa es superior al valor facturado</v>
      </c>
      <c r="Z271">
        <f>K271*O271</f>
        <v>2897965.35</v>
      </c>
      <c r="AA271">
        <f>Z271-Q271</f>
        <v>22880.84400000004</v>
      </c>
    </row>
    <row r="272">
      <c r="B272">
        <v>241</v>
      </c>
      <c r="C272" t="str">
        <v>Hong kong yonyou xinfushe cloud technology co</v>
      </c>
      <c r="D272" t="str">
        <v>FV-5-83</v>
      </c>
      <c r="E272">
        <v>45952</v>
      </c>
      <c r="F272">
        <v>46012</v>
      </c>
      <c r="J272">
        <f>IFERROR(IF(TODAY()&gt;=E272,(TODAY()-E272)/I272,0),0)</f>
        <v>0</v>
      </c>
      <c r="K272">
        <v>13317.57</v>
      </c>
      <c r="L272">
        <v>13317.57</v>
      </c>
      <c r="M272">
        <f>K272-L272</f>
        <v>0</v>
      </c>
      <c r="N272">
        <v>3834.98</v>
      </c>
      <c r="O272">
        <v>3865.5</v>
      </c>
      <c r="P272">
        <f>O272-N272</f>
        <v>30.519999999999982</v>
      </c>
      <c r="Q272">
        <f>K272*N272</f>
        <v>51072614.5986</v>
      </c>
      <c r="R272">
        <f>L272*O272</f>
        <v>51479066.835</v>
      </c>
      <c r="S272">
        <f>R272-Q272</f>
        <v>406452.23640000075</v>
      </c>
      <c r="T272" t="str">
        <f>IF(R272&lt;= Q272,"No Monetizar","Monetizar")</f>
        <v>Monetizar</v>
      </c>
      <c r="V272">
        <v>45952</v>
      </c>
      <c r="W272" t="str">
        <v>Alfonso Fonseca A</v>
      </c>
      <c r="X272" t="str">
        <v>Alfonso Fonseca A</v>
      </c>
      <c r="Y272" t="str">
        <v>Se monetiza ya que el valor ofrecido por el banco en cada divisa es superior al valor facturado</v>
      </c>
      <c r="Z272">
        <f>K272*O272</f>
        <v>51479066.835</v>
      </c>
      <c r="AA272">
        <f>Z272-Q272</f>
        <v>406452.23640000075</v>
      </c>
    </row>
    <row r="273" xml:space="preserve">
      <c r="B273">
        <v>242</v>
      </c>
      <c r="C273" t="str">
        <v>Global Project</v>
      </c>
      <c r="D273">
        <v>5985</v>
      </c>
      <c r="E273">
        <v>45896</v>
      </c>
      <c r="F273">
        <v>45956</v>
      </c>
      <c r="J273">
        <f>IFERROR(IF(TODAY()&gt;=E273,(TODAY()-E273)/I273,0),0)</f>
        <v>0</v>
      </c>
      <c r="K273">
        <v>650</v>
      </c>
      <c r="L273">
        <v>647.9819618435555</v>
      </c>
      <c r="M273">
        <f>K273-L273</f>
        <v>2.0180381564445042</v>
      </c>
      <c r="N273">
        <v>4165.41</v>
      </c>
      <c r="O273">
        <v>3889.4</v>
      </c>
      <c r="P273">
        <f>O273-N273</f>
        <v>-276.00999999999976</v>
      </c>
      <c r="Q273">
        <f>K273*N273</f>
        <v>2707516.5</v>
      </c>
      <c r="R273">
        <f>L273*O273</f>
        <v>2520261.0423943247</v>
      </c>
      <c r="S273">
        <f>R273-Q273</f>
        <v>-187255.45760567533</v>
      </c>
      <c r="T273" t="str">
        <f>IF(R273&lt;= Q273,"No Monetizar","Monetizar")</f>
        <v>No Monetizar</v>
      </c>
      <c r="V273">
        <v>45952</v>
      </c>
      <c r="W273" t="str">
        <v>Alfonso Fonseca A</v>
      </c>
      <c r="X273" t="str">
        <v>Eduard Forero</v>
      </c>
      <c r="Y273"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3">
        <f>K273*O273</f>
        <v>2528110</v>
      </c>
      <c r="AA273">
        <f>Z273-Q273</f>
        <v>-179406.5</v>
      </c>
    </row>
    <row r="274" xml:space="preserve">
      <c r="B274">
        <v>243</v>
      </c>
      <c r="C274" t="str">
        <v>Global Project</v>
      </c>
      <c r="D274">
        <v>6056</v>
      </c>
      <c r="E274">
        <v>45896</v>
      </c>
      <c r="F274">
        <v>45956</v>
      </c>
      <c r="J274">
        <f>IFERROR(IF(TODAY()&gt;=E274,(TODAY()-E274)/I274,0),0)</f>
        <v>0</v>
      </c>
      <c r="K274">
        <v>1041.6</v>
      </c>
      <c r="L274">
        <v>1038.3661714711498</v>
      </c>
      <c r="M274">
        <f>K274-L274</f>
        <v>3.233828528850154</v>
      </c>
      <c r="N274">
        <v>4076.32</v>
      </c>
      <c r="O274">
        <v>3889.4</v>
      </c>
      <c r="P274">
        <f>O274-N274</f>
        <v>-186.92000000000007</v>
      </c>
      <c r="Q274">
        <f>K274*N274</f>
        <v>4245894.912</v>
      </c>
      <c r="R274">
        <f>L274*O274</f>
        <v>4038621.38731989</v>
      </c>
      <c r="S274">
        <f>R274-Q274</f>
        <v>-207273.5246801097</v>
      </c>
      <c r="T274" t="str">
        <f>IF(R274&lt;= Q274,"No Monetizar","Monetizar")</f>
        <v>No Monetizar</v>
      </c>
      <c r="V274">
        <v>45952</v>
      </c>
      <c r="W274" t="str">
        <v>Alfonso Fonseca A</v>
      </c>
      <c r="X274" t="str">
        <v>Eduard Forero</v>
      </c>
      <c r="Y274"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4">
        <f>K274*O274</f>
        <v>4051199.0399999996</v>
      </c>
      <c r="AA274">
        <f>Z274-Q274</f>
        <v>-194695.87199999997</v>
      </c>
    </row>
    <row r="275" xml:space="preserve">
      <c r="B275">
        <v>244</v>
      </c>
      <c r="C275" t="str">
        <v>Global Project</v>
      </c>
      <c r="D275">
        <v>6074</v>
      </c>
      <c r="E275">
        <v>45896</v>
      </c>
      <c r="F275">
        <v>45956</v>
      </c>
      <c r="J275">
        <f>IFERROR(IF(TODAY()&gt;=E275,(TODAY()-E275)/I275,0),0)</f>
        <v>0</v>
      </c>
      <c r="K275">
        <v>650</v>
      </c>
      <c r="L275">
        <v>647.9819618435555</v>
      </c>
      <c r="M275">
        <f>K275-L275</f>
        <v>2.0180381564445042</v>
      </c>
      <c r="N275">
        <v>4042.87</v>
      </c>
      <c r="O275">
        <v>3889.4</v>
      </c>
      <c r="P275">
        <f>O275-N275</f>
        <v>-153.4699999999998</v>
      </c>
      <c r="Q275">
        <f>K275*N275</f>
        <v>2627865.5</v>
      </c>
      <c r="R275">
        <f>L275*O275</f>
        <v>2520261.0423943247</v>
      </c>
      <c r="S275">
        <f>R275-Q275</f>
        <v>-107604.45760567533</v>
      </c>
      <c r="T275" t="str">
        <f>IF(R275&lt;= Q275,"No Monetizar","Monetizar")</f>
        <v>No Monetizar</v>
      </c>
      <c r="V275">
        <v>45952</v>
      </c>
      <c r="W275" t="str">
        <v>Alfonso Fonseca A</v>
      </c>
      <c r="X275" t="str">
        <v>Eduard Forero</v>
      </c>
      <c r="Y275"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5">
        <f>K275*O275</f>
        <v>2528110</v>
      </c>
      <c r="AA275">
        <f>Z275-Q275</f>
        <v>-99755.5</v>
      </c>
    </row>
    <row r="276" xml:space="preserve">
      <c r="B276">
        <v>245</v>
      </c>
      <c r="C276" t="str">
        <v>Global Project</v>
      </c>
      <c r="D276">
        <v>6124</v>
      </c>
      <c r="E276">
        <v>45896</v>
      </c>
      <c r="F276">
        <v>45956</v>
      </c>
      <c r="J276">
        <f>IFERROR(IF(TODAY()&gt;=E276,(TODAY()-E276)/I276,0),0)</f>
        <v>0</v>
      </c>
      <c r="K276">
        <v>879.35</v>
      </c>
      <c r="L276">
        <v>876.6199048417393</v>
      </c>
      <c r="M276">
        <f>K276-L276</f>
        <v>2.730095158260724</v>
      </c>
      <c r="N276">
        <v>4003.9</v>
      </c>
      <c r="O276">
        <v>3889.4</v>
      </c>
      <c r="P276">
        <f>O276-N276</f>
        <v>-114.5</v>
      </c>
      <c r="Q276">
        <f>K276*N276</f>
        <v>3520829.4650000003</v>
      </c>
      <c r="R276">
        <f>L276*O276</f>
        <v>3409525.457891461</v>
      </c>
      <c r="S276">
        <f>R276-Q276</f>
        <v>-111304.00710853934</v>
      </c>
      <c r="T276" t="str">
        <f>IF(R276&lt;= Q276,"No Monetizar","Monetizar")</f>
        <v>No Monetizar</v>
      </c>
      <c r="V276">
        <v>45952</v>
      </c>
      <c r="W276" t="str">
        <v>Alfonso Fonseca A</v>
      </c>
      <c r="X276" t="str">
        <v>Eduard Forero</v>
      </c>
      <c r="Y276"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6">
        <f>K276*O276</f>
        <v>3420143.89</v>
      </c>
      <c r="AA276">
        <f>Z276-Q276</f>
        <v>-100685.57500000019</v>
      </c>
    </row>
    <row r="277">
      <c r="B277">
        <v>246</v>
      </c>
      <c r="C277" t="str">
        <v>Rivermate</v>
      </c>
      <c r="D277">
        <v>6347</v>
      </c>
      <c r="E277">
        <v>45952</v>
      </c>
      <c r="F277">
        <v>46012</v>
      </c>
      <c r="J277">
        <f>IFERROR(IF(TODAY()&gt;=E277,(TODAY()-E277)/I277,0),0)</f>
        <v>0</v>
      </c>
      <c r="K277">
        <v>150</v>
      </c>
      <c r="L277">
        <v>150</v>
      </c>
      <c r="M277">
        <f>K277-L277</f>
        <v>0</v>
      </c>
      <c r="N277">
        <f>4373.79</f>
        <v>4373.79</v>
      </c>
      <c r="O277">
        <v>3898</v>
      </c>
      <c r="P277">
        <f>O277-N277</f>
        <v>-475.78999999999996</v>
      </c>
      <c r="Q277">
        <f>K277*N277</f>
        <v>656068.5</v>
      </c>
      <c r="R277">
        <f>L277*O277</f>
        <v>584700</v>
      </c>
      <c r="S277">
        <f>R277-Q277</f>
        <v>-71368.5</v>
      </c>
      <c r="T277" t="str">
        <f>IF(R277&lt;= Q277,"No Monetizar","Monetizar")</f>
        <v>No Monetizar</v>
      </c>
      <c r="V277">
        <v>45952</v>
      </c>
      <c r="W277" t="str">
        <v>Alfonso Fonseca A</v>
      </c>
      <c r="X277" t="str">
        <v>Alfonso Fonseca A</v>
      </c>
      <c r="Y277" t="str">
        <v>Se monetiza ya que el valor ofrecido por el banco en cada divisa es superior al valor facturado</v>
      </c>
      <c r="Z277">
        <f>K277*O277</f>
        <v>584700</v>
      </c>
      <c r="AA277">
        <f>Z277-Q277</f>
        <v>-71368.5</v>
      </c>
    </row>
    <row r="278">
      <c r="B278">
        <v>247</v>
      </c>
      <c r="C278" t="str">
        <v>Rivermate</v>
      </c>
      <c r="D278" t="str">
        <v>FV-5-70</v>
      </c>
      <c r="E278">
        <v>45952</v>
      </c>
      <c r="F278">
        <v>46012</v>
      </c>
      <c r="J278">
        <f>IFERROR(IF(TODAY()&gt;=E278,(TODAY()-E278)/I278,0),0)</f>
        <v>0</v>
      </c>
      <c r="K278">
        <v>16346.38</v>
      </c>
      <c r="L278">
        <v>16346.38</v>
      </c>
      <c r="M278">
        <f>K278-L278</f>
        <v>0</v>
      </c>
      <c r="N278">
        <f>4373.79</f>
        <v>4373.79</v>
      </c>
      <c r="O278">
        <v>3898</v>
      </c>
      <c r="P278">
        <f>O278-N278</f>
        <v>-475.78999999999996</v>
      </c>
      <c r="Q278">
        <f>K278*N278</f>
        <v>71495633.3802</v>
      </c>
      <c r="R278">
        <f>L278*O278</f>
        <v>63718189.239999995</v>
      </c>
      <c r="S278">
        <f>R278-Q278</f>
        <v>-7777444.140200004</v>
      </c>
      <c r="T278" t="str">
        <f>IF(R278&lt;= Q278,"No Monetizar","Monetizar")</f>
        <v>No Monetizar</v>
      </c>
      <c r="V278">
        <v>45952</v>
      </c>
      <c r="W278" t="str">
        <v>Alfonso Fonseca A</v>
      </c>
      <c r="X278" t="str">
        <v>Alfonso Fonseca A</v>
      </c>
      <c r="Y278" t="str">
        <v>Se monetiza ya que el valor ofrecido por el banco en cada divisa es superior al valor facturado</v>
      </c>
      <c r="Z278">
        <f>K278*O278</f>
        <v>63718189.239999995</v>
      </c>
      <c r="AA278">
        <f>Z278-Q278</f>
        <v>-7777444.140200004</v>
      </c>
    </row>
    <row r="279">
      <c r="B279">
        <v>248</v>
      </c>
      <c r="C279" t="str">
        <v>Rivermate</v>
      </c>
      <c r="D279">
        <v>6359</v>
      </c>
      <c r="E279">
        <v>45952</v>
      </c>
      <c r="F279">
        <v>46012</v>
      </c>
      <c r="J279">
        <f>IFERROR(IF(TODAY()&gt;=E279,(TODAY()-E279)/I279,0),0)</f>
        <v>0</v>
      </c>
      <c r="K279">
        <v>150</v>
      </c>
      <c r="L279">
        <v>150</v>
      </c>
      <c r="M279">
        <f>K279-L279</f>
        <v>0</v>
      </c>
      <c r="N279">
        <f>4373.79</f>
        <v>4373.79</v>
      </c>
      <c r="O279">
        <v>3898</v>
      </c>
      <c r="P279">
        <f>O279-N279</f>
        <v>-475.78999999999996</v>
      </c>
      <c r="Q279">
        <f>K279*N279</f>
        <v>656068.5</v>
      </c>
      <c r="R279">
        <f>L279*O279</f>
        <v>584700</v>
      </c>
      <c r="S279">
        <f>R279-Q279</f>
        <v>-71368.5</v>
      </c>
      <c r="T279" t="str">
        <f>IF(R279&lt;= Q279,"No Monetizar","Monetizar")</f>
        <v>No Monetizar</v>
      </c>
      <c r="V279">
        <v>45952</v>
      </c>
      <c r="W279" t="str">
        <v>Alfonso Fonseca A</v>
      </c>
      <c r="X279" t="str">
        <v>Alfonso Fonseca A</v>
      </c>
      <c r="Y279" t="str">
        <v>Se monetiza ya que el valor ofrecido por el banco en cada divisa es superior al valor facturado</v>
      </c>
      <c r="Z279">
        <f>K279*O279</f>
        <v>584700</v>
      </c>
      <c r="AA279">
        <f>Z279-Q279</f>
        <v>-71368.5</v>
      </c>
    </row>
    <row r="280">
      <c r="B280">
        <v>249</v>
      </c>
      <c r="C280" t="str">
        <v>Remofirst</v>
      </c>
      <c r="D280">
        <v>6350</v>
      </c>
      <c r="E280">
        <v>45952</v>
      </c>
      <c r="F280">
        <v>46012</v>
      </c>
      <c r="J280">
        <f>IFERROR(IF(TODAY()&gt;=E280,(TODAY()-E280)/I280,0),0)</f>
        <v>0</v>
      </c>
      <c r="K280">
        <v>11424</v>
      </c>
      <c r="L280">
        <v>11424</v>
      </c>
      <c r="M280">
        <f>K280-L280</f>
        <v>0</v>
      </c>
      <c r="N280">
        <v>3751.51</v>
      </c>
      <c r="O280">
        <v>3880.5</v>
      </c>
      <c r="P280">
        <f>O280-N280</f>
        <v>128.98999999999978</v>
      </c>
      <c r="Q280">
        <f>K280*N280</f>
        <v>42857250.24</v>
      </c>
      <c r="R280">
        <f>L280*O280</f>
        <v>44330832</v>
      </c>
      <c r="S280">
        <f>R280-Q280</f>
        <v>1473581.759999998</v>
      </c>
      <c r="T280" t="str">
        <f>IF(R280&lt;= Q280,"No Monetizar","Monetizar")</f>
        <v>Monetizar</v>
      </c>
      <c r="V280">
        <v>45953</v>
      </c>
      <c r="W280" t="str">
        <v>Alfonso Fonseca A</v>
      </c>
      <c r="X280" t="str">
        <v>Alfonso Fonseca A</v>
      </c>
      <c r="Y280" t="str">
        <v>Se monetiza ya que el valor ofrecido por el banco en cada divisa es superior al valor facturado</v>
      </c>
      <c r="Z280">
        <f>K280*O280</f>
        <v>44330832</v>
      </c>
      <c r="AA280">
        <f>Z280-Q280</f>
        <v>1473581.759999998</v>
      </c>
    </row>
    <row r="281">
      <c r="B281">
        <v>250</v>
      </c>
      <c r="C281" t="str">
        <v>Remofirst</v>
      </c>
      <c r="D281" t="str">
        <v>FV-5-73</v>
      </c>
      <c r="E281">
        <v>45952</v>
      </c>
      <c r="F281">
        <v>46012</v>
      </c>
      <c r="J281">
        <f>IFERROR(IF(TODAY()&gt;=E281,(TODAY()-E281)/I281,0),0)</f>
        <v>0</v>
      </c>
      <c r="K281">
        <v>257058.08</v>
      </c>
      <c r="L281">
        <v>257058.08</v>
      </c>
      <c r="M281">
        <f>K281-L281</f>
        <v>0</v>
      </c>
      <c r="N281">
        <v>3751.51</v>
      </c>
      <c r="O281">
        <v>3880.5</v>
      </c>
      <c r="P281">
        <f>O281-N281</f>
        <v>128.98999999999978</v>
      </c>
      <c r="Q281">
        <f>K281*N281</f>
        <v>964355957.7008001</v>
      </c>
      <c r="R281">
        <f>L281*O281</f>
        <v>997513879.4399999</v>
      </c>
      <c r="S281">
        <f>R281-Q281</f>
        <v>33157921.739199877</v>
      </c>
      <c r="T281" t="str">
        <f>IF(R281&lt;= Q281,"No Monetizar","Monetizar")</f>
        <v>Monetizar</v>
      </c>
      <c r="V281">
        <v>45953</v>
      </c>
      <c r="W281" t="str">
        <v>Alfonso Fonseca A</v>
      </c>
      <c r="X281" t="str">
        <v>Alfonso Fonseca A</v>
      </c>
      <c r="Y281" t="str">
        <v>Se monetiza ya que el valor ofrecido por el banco en cada divisa es superior al valor facturado</v>
      </c>
      <c r="Z281">
        <f>K281*O281</f>
        <v>997513879.4399999</v>
      </c>
      <c r="AA281">
        <f>Z281-Q281</f>
        <v>33157921.739199877</v>
      </c>
    </row>
    <row r="282">
      <c r="B282">
        <v>251</v>
      </c>
      <c r="C282" t="str">
        <v>Remofirst</v>
      </c>
      <c r="D282">
        <v>6360</v>
      </c>
      <c r="E282">
        <v>45952</v>
      </c>
      <c r="F282">
        <v>46012</v>
      </c>
      <c r="J282">
        <f>IFERROR(IF(TODAY()&gt;=E282,(TODAY()-E282)/I282,0),0)</f>
        <v>0</v>
      </c>
      <c r="K282">
        <v>428.4</v>
      </c>
      <c r="L282">
        <v>428.4</v>
      </c>
      <c r="M282">
        <f>K282-L282</f>
        <v>0</v>
      </c>
      <c r="N282">
        <v>3751.51</v>
      </c>
      <c r="O282">
        <v>3880.5</v>
      </c>
      <c r="P282">
        <f>O282-N282</f>
        <v>128.98999999999978</v>
      </c>
      <c r="Q282">
        <f>K282*N282</f>
        <v>1607146.884</v>
      </c>
      <c r="R282">
        <f>L282*O282</f>
        <v>1662406.2</v>
      </c>
      <c r="S282">
        <f>R282-Q282</f>
        <v>55259.315999999875</v>
      </c>
      <c r="T282" t="str">
        <f>IF(R282&lt;= Q282,"No Monetizar","Monetizar")</f>
        <v>Monetizar</v>
      </c>
      <c r="V282">
        <v>45953</v>
      </c>
      <c r="W282" t="str">
        <v>Alfonso Fonseca A</v>
      </c>
      <c r="X282" t="str">
        <v>Alfonso Fonseca A</v>
      </c>
      <c r="Y282" t="str">
        <v>Se monetiza ya que el valor ofrecido por el banco en cada divisa es superior al valor facturado</v>
      </c>
      <c r="Z282">
        <f>K282*O282</f>
        <v>1662406.2</v>
      </c>
      <c r="AA282">
        <f>Z282-Q282</f>
        <v>55259.315999999875</v>
      </c>
    </row>
    <row r="283">
      <c r="B283">
        <v>252</v>
      </c>
      <c r="C283" t="str">
        <v>Remofirst</v>
      </c>
      <c r="D283" t="str">
        <v>FV-5-80</v>
      </c>
      <c r="E283">
        <v>45952</v>
      </c>
      <c r="F283">
        <v>46012</v>
      </c>
      <c r="J283">
        <f>IFERROR(IF(TODAY()&gt;=E283,(TODAY()-E283)/I283,0),0)</f>
        <v>0</v>
      </c>
      <c r="K283">
        <v>15102.83</v>
      </c>
      <c r="L283">
        <v>15102.83</v>
      </c>
      <c r="M283">
        <f>K283-L283</f>
        <v>0</v>
      </c>
      <c r="N283">
        <v>3751.51</v>
      </c>
      <c r="O283">
        <v>3880.5</v>
      </c>
      <c r="P283">
        <f>O283-N283</f>
        <v>128.98999999999978</v>
      </c>
      <c r="Q283">
        <f>K283*N283</f>
        <v>56658417.7733</v>
      </c>
      <c r="R283">
        <f>L283*O283</f>
        <v>58606531.815</v>
      </c>
      <c r="S283">
        <f>R283-Q283</f>
        <v>1948114.041699998</v>
      </c>
      <c r="T283" t="str">
        <f>IF(R283&lt;= Q283,"No Monetizar","Monetizar")</f>
        <v>Monetizar</v>
      </c>
      <c r="V283">
        <v>45953</v>
      </c>
      <c r="W283" t="str">
        <v>Alfonso Fonseca A</v>
      </c>
      <c r="X283" t="str">
        <v>Alfonso Fonseca A</v>
      </c>
      <c r="Y283" t="str">
        <v>Se monetiza ya que el valor ofrecido por el banco en cada divisa es superior al valor facturado</v>
      </c>
      <c r="Z283">
        <f>K283*O283</f>
        <v>58606531.815</v>
      </c>
      <c r="AA283">
        <f>Z283-Q283</f>
        <v>1948114.041699998</v>
      </c>
    </row>
    <row r="284">
      <c r="B284">
        <v>253</v>
      </c>
      <c r="C284" t="str">
        <v xml:space="preserve">Neo </v>
      </c>
      <c r="D284">
        <v>6340</v>
      </c>
      <c r="E284">
        <v>45954</v>
      </c>
      <c r="F284">
        <v>46014</v>
      </c>
      <c r="J284">
        <f>IFERROR(IF(TODAY()&gt;=E284,(TODAY()-E284)/I284,0),0)</f>
        <v>0</v>
      </c>
      <c r="K284">
        <v>1789.86</v>
      </c>
      <c r="L284">
        <v>1785.3414459510684</v>
      </c>
      <c r="M284">
        <f>K284-L284</f>
        <v>4.518554048931492</v>
      </c>
      <c r="N284">
        <v>3763.41</v>
      </c>
      <c r="O284">
        <v>3815</v>
      </c>
      <c r="P284">
        <f>O284-N284</f>
        <v>51.590000000000146</v>
      </c>
      <c r="Q284">
        <f>K284*N284</f>
        <v>6735977.0226</v>
      </c>
      <c r="R284">
        <f>L284*O284</f>
        <v>6811077.616303326</v>
      </c>
      <c r="S284">
        <f>R284-Q284</f>
        <v>75100.59370332584</v>
      </c>
      <c r="T284" t="str">
        <f>IF(R284&lt;= Q284,"No Monetizar","Monetizar")</f>
        <v>Monetizar</v>
      </c>
      <c r="V284">
        <v>45957</v>
      </c>
      <c r="W284" t="str">
        <v>Alfonso Fonseca A</v>
      </c>
      <c r="X284" t="str">
        <v>Alfonso Fonseca A</v>
      </c>
      <c r="Y284" t="str">
        <v>Se monetiza ya que el valor ofrecido por el banco en cada divisa es superior al valor facturado</v>
      </c>
      <c r="Z284">
        <f>K284*O284</f>
        <v>6828315.899999999</v>
      </c>
      <c r="AA284">
        <f>Z284-Q284</f>
        <v>92338.87739999965</v>
      </c>
    </row>
    <row r="285">
      <c r="B285">
        <v>254</v>
      </c>
      <c r="C285" t="str">
        <v xml:space="preserve">Neo </v>
      </c>
      <c r="D285" t="str">
        <v>FV-5-63</v>
      </c>
      <c r="E285">
        <v>45954</v>
      </c>
      <c r="F285">
        <v>46014</v>
      </c>
      <c r="J285">
        <f>IFERROR(IF(TODAY()&gt;=E285,(TODAY()-E285)/I285,0),0)</f>
        <v>0</v>
      </c>
      <c r="K285">
        <v>22373.06</v>
      </c>
      <c r="L285">
        <v>22316.578554048927</v>
      </c>
      <c r="M285">
        <f>K285-L285</f>
        <v>56.48144595107442</v>
      </c>
      <c r="N285">
        <v>3763.41</v>
      </c>
      <c r="O285">
        <v>3815</v>
      </c>
      <c r="P285">
        <f>O285-N285</f>
        <v>51.590000000000146</v>
      </c>
      <c r="Q285">
        <f>K285*N285</f>
        <v>84198997.73460001</v>
      </c>
      <c r="R285">
        <f>L285*O285</f>
        <v>85137747.18369666</v>
      </c>
      <c r="S285">
        <f>R285-Q285</f>
        <v>938749.4490966499</v>
      </c>
      <c r="T285" t="str">
        <f>IF(R285&lt;= Q285,"No Monetizar","Monetizar")</f>
        <v>Monetizar</v>
      </c>
      <c r="V285">
        <v>45957</v>
      </c>
      <c r="W285" t="str">
        <v>Alfonso Fonseca A</v>
      </c>
      <c r="X285" t="str">
        <v>Alfonso Fonseca A</v>
      </c>
      <c r="Y285" t="str">
        <v>Se monetiza ya que el valor ofrecido por el banco en cada divisa es superior al valor facturado</v>
      </c>
      <c r="Z285">
        <f>K285*O285</f>
        <v>85353223.9</v>
      </c>
      <c r="AA285">
        <f>Z285-Q285</f>
        <v>1154226.1653999984</v>
      </c>
    </row>
    <row r="286">
      <c r="B286">
        <v>255</v>
      </c>
      <c r="C286" t="str">
        <v>Flexco</v>
      </c>
      <c r="D286">
        <v>6344</v>
      </c>
      <c r="E286">
        <v>45957</v>
      </c>
      <c r="F286">
        <v>45956</v>
      </c>
      <c r="J286">
        <f>IFERROR(IF(TODAY()&gt;=E286,(TODAY()-E286)/I286,0),0)</f>
        <v>0</v>
      </c>
      <c r="K286">
        <v>2329.66</v>
      </c>
      <c r="L286">
        <v>2328.421466085268</v>
      </c>
      <c r="M286">
        <f>K286-L286</f>
        <v>1.2385339147317609</v>
      </c>
      <c r="N286">
        <v>3763.41</v>
      </c>
      <c r="O286">
        <v>3825.55</v>
      </c>
      <c r="P286">
        <f>O286-N286</f>
        <v>62.14000000000033</v>
      </c>
      <c r="Q286">
        <f>K286*N286</f>
        <v>8767465.7406</v>
      </c>
      <c r="R286">
        <f>L286*O286</f>
        <v>8907492.739582498</v>
      </c>
      <c r="S286">
        <f>R286-Q286</f>
        <v>140026.99898249842</v>
      </c>
      <c r="T286" t="str">
        <f>IF(R286&lt;= Q286,"No Monetizar","Monetizar")</f>
        <v>Monetizar</v>
      </c>
      <c r="V286">
        <v>45957</v>
      </c>
      <c r="W286" t="str">
        <v>Alfonso Fonseca A</v>
      </c>
      <c r="X286" t="str">
        <v>Alfonso Fonseca A</v>
      </c>
      <c r="Y286" t="str">
        <v>Se monetiza ya que el valor ofrecido por el banco en cada divisa es superior al valor facturado</v>
      </c>
      <c r="Z286">
        <f>K286*O286</f>
        <v>8912230.813</v>
      </c>
      <c r="AA286">
        <f>Z286-Q286</f>
        <v>144765.07239999995</v>
      </c>
    </row>
    <row r="287">
      <c r="B287">
        <v>256</v>
      </c>
      <c r="C287" t="str">
        <v>Flexco</v>
      </c>
      <c r="D287" t="str">
        <v>FV-5-67</v>
      </c>
      <c r="E287">
        <v>45957</v>
      </c>
      <c r="F287">
        <v>45956</v>
      </c>
      <c r="J287">
        <f>IFERROR(IF(TODAY()&gt;=E287,(TODAY()-E287)/I287,0),0)</f>
        <v>0</v>
      </c>
      <c r="K287">
        <v>25885.07</v>
      </c>
      <c r="L287">
        <v>25871.308533914733</v>
      </c>
      <c r="M287">
        <f>K287-L287</f>
        <v>13.761466085266875</v>
      </c>
      <c r="N287">
        <v>3763.41</v>
      </c>
      <c r="O287">
        <v>3825.55</v>
      </c>
      <c r="P287">
        <f>O287-N287</f>
        <v>62.14000000000033</v>
      </c>
      <c r="Q287">
        <f>K287*N287</f>
        <v>97416131.2887</v>
      </c>
      <c r="R287">
        <f>L287*O287</f>
        <v>98971984.36191751</v>
      </c>
      <c r="S287">
        <f>R287-Q287</f>
        <v>1555853.0732175112</v>
      </c>
      <c r="T287" t="str">
        <f>IF(R287&lt;= Q287,"No Monetizar","Monetizar")</f>
        <v>Monetizar</v>
      </c>
      <c r="V287">
        <v>45957</v>
      </c>
      <c r="W287" t="str">
        <v>Alfonso Fonseca A</v>
      </c>
      <c r="X287" t="str">
        <v>Alfonso Fonseca A</v>
      </c>
      <c r="Y287" t="str">
        <v>Se monetiza ya que el valor ofrecido por el banco en cada divisa es superior al valor facturado</v>
      </c>
      <c r="Z287">
        <f>K287*O287</f>
        <v>99024629.53850001</v>
      </c>
      <c r="AA287">
        <f>Z287-Q287</f>
        <v>1608498.2498000115</v>
      </c>
    </row>
    <row r="288">
      <c r="B288">
        <v>257</v>
      </c>
      <c r="C288" t="str">
        <v>Oncehub</v>
      </c>
      <c r="D288">
        <v>6361</v>
      </c>
      <c r="E288">
        <v>45954</v>
      </c>
      <c r="F288">
        <v>46014</v>
      </c>
      <c r="J288">
        <f>IFERROR(IF(TODAY()&gt;=E288,(TODAY()-E288)/I288,0),0)</f>
        <v>0</v>
      </c>
      <c r="K288">
        <v>285.6</v>
      </c>
      <c r="L288">
        <v>283.8945333703568</v>
      </c>
      <c r="M288">
        <f>K288-L288</f>
        <v>1.7054666296432401</v>
      </c>
      <c r="N288">
        <v>3856.19</v>
      </c>
      <c r="O288">
        <v>3866.93</v>
      </c>
      <c r="P288">
        <f>O288-N288</f>
        <v>10.739999999999782</v>
      </c>
      <c r="Q288">
        <f>K288*N288</f>
        <v>1101327.864</v>
      </c>
      <c r="R288">
        <f>L288*O288</f>
        <v>1097800.2879258336</v>
      </c>
      <c r="S288">
        <f>R288-Q288</f>
        <v>-3527.5760741664562</v>
      </c>
      <c r="T288" t="str">
        <f>IF(R288&lt;= Q288,"No Monetizar","Monetizar")</f>
        <v>No Monetizar</v>
      </c>
      <c r="V288">
        <v>45958</v>
      </c>
      <c r="W288" t="str">
        <v>Alfonso Fonseca A</v>
      </c>
      <c r="X288" t="str">
        <v>Alfonso Fonseca A</v>
      </c>
      <c r="Y288" t="str">
        <v>Se monetiza el dinero por un menor valor de $ 43,286,43 debido a dos situaciones: 1) el primero es que el GMF tiene un descuento de USD 20  y 2) se requiere el dinero para el pago de la nomina de los empleados del cliente que es el día de hoy 28/10/2025</v>
      </c>
      <c r="Z288">
        <f>K288*O288</f>
        <v>1104395.208</v>
      </c>
      <c r="AA288">
        <f>Z288-Q288</f>
        <v>3067.344000000041</v>
      </c>
    </row>
    <row r="289">
      <c r="B289">
        <v>258</v>
      </c>
      <c r="C289" t="str">
        <v>Oncehub</v>
      </c>
      <c r="D289" t="str">
        <v>FV-5-82</v>
      </c>
      <c r="E289">
        <v>45954</v>
      </c>
      <c r="F289">
        <v>46014</v>
      </c>
      <c r="J289">
        <f>IFERROR(IF(TODAY()&gt;=E289,(TODAY()-E289)/I289,0),0)</f>
        <v>0</v>
      </c>
      <c r="K289">
        <v>3043.53</v>
      </c>
      <c r="L289">
        <v>3025.355494218074</v>
      </c>
      <c r="M289">
        <f>K289-L289</f>
        <v>18.1745057819262</v>
      </c>
      <c r="N289">
        <v>3856.19</v>
      </c>
      <c r="O289">
        <v>3866.3</v>
      </c>
      <c r="P289">
        <f>O289-N289</f>
        <v>10.110000000000127</v>
      </c>
      <c r="Q289">
        <f>K289*N289</f>
        <v>11736429.950700002</v>
      </c>
      <c r="R289">
        <f>L289*O289</f>
        <v>11696931.94729534</v>
      </c>
      <c r="S289">
        <f>R289-Q289</f>
        <v>-39498.00340466201</v>
      </c>
      <c r="T289" t="str">
        <f>IF(R289&lt;= Q289,"No Monetizar","Monetizar")</f>
        <v>No Monetizar</v>
      </c>
      <c r="V289">
        <v>45958</v>
      </c>
      <c r="W289" t="str">
        <v>Alfonso Fonseca A</v>
      </c>
      <c r="X289" t="str">
        <v>Alfonso Fonseca A</v>
      </c>
      <c r="Y289" t="str">
        <v>Se monetiza el dinero por un menor valor de $ 43,286,43 debido a dos situaciones: 1) el primero es que el GMF tiene un descuento de USD 20  y 2) se requiere el dinero para el pago de la nomina de los empleados del cliente que es el día de hoy 28/10/2025</v>
      </c>
      <c r="Z289">
        <f>K289*O289</f>
        <v>11767200.039</v>
      </c>
      <c r="AA289">
        <f>Z289-Q289</f>
        <v>30770.088299999014</v>
      </c>
    </row>
    <row r="290">
      <c r="B290">
        <v>259</v>
      </c>
      <c r="C290" t="str">
        <v>Oncehub</v>
      </c>
      <c r="D290" t="str">
        <v>FV-5-91</v>
      </c>
      <c r="E290">
        <v>45954</v>
      </c>
      <c r="F290">
        <v>46014</v>
      </c>
      <c r="J290">
        <f>IFERROR(IF(TODAY()&gt;=E290,(TODAY()-E290)/I290,0),0)</f>
        <v>0</v>
      </c>
      <c r="K290">
        <v>20.1</v>
      </c>
      <c r="L290">
        <v>19.97997241156923</v>
      </c>
      <c r="M290">
        <f>K290-L290</f>
        <v>0.12002758843077288</v>
      </c>
      <c r="N290">
        <v>3856.19</v>
      </c>
      <c r="O290">
        <v>3866.3</v>
      </c>
      <c r="P290">
        <f>O290-N290</f>
        <v>10.110000000000127</v>
      </c>
      <c r="Q290">
        <f>K290*N290</f>
        <v>77509.41900000001</v>
      </c>
      <c r="R290">
        <f>L290*O290</f>
        <v>77248.56733485012</v>
      </c>
      <c r="S290">
        <f>R290-Q290</f>
        <v>-260.85166514989396</v>
      </c>
      <c r="T290" t="str">
        <f>IF(R290&lt;= Q290,"No Monetizar","Monetizar")</f>
        <v>No Monetizar</v>
      </c>
      <c r="V290">
        <v>45958</v>
      </c>
      <c r="W290" t="str">
        <v>Alfonso Fonseca A</v>
      </c>
      <c r="X290" t="str">
        <v>Alfonso Fonseca A</v>
      </c>
      <c r="Y290" t="str">
        <v>Se monetiza el dinero por un menor valor de $ 43,286,43 debido a dos situaciones: 1) el primero es que el GMF tiene un descuento de USD 20  y 2) se requiere el dinero para el pago de la nomina de los empleados del cliente que es el día de hoy 28/10/2025</v>
      </c>
      <c r="Z290">
        <f>K290*O290</f>
        <v>77712.63</v>
      </c>
      <c r="AA290">
        <f>Z290-Q290</f>
        <v>203.2109999999957</v>
      </c>
    </row>
    <row r="291">
      <c r="B291">
        <v>260</v>
      </c>
      <c r="C291" t="str">
        <v>Bubble BPM</v>
      </c>
      <c r="D291">
        <v>6341</v>
      </c>
      <c r="E291">
        <v>45957</v>
      </c>
      <c r="F291">
        <v>45956</v>
      </c>
      <c r="J291">
        <f>IFERROR(IF(TODAY()&gt;=E291,(TODAY()-E291)/I291,0),0)</f>
        <v>0</v>
      </c>
      <c r="K291">
        <v>118.13</v>
      </c>
      <c r="L291">
        <v>115.15705423430222</v>
      </c>
      <c r="M291">
        <f>K291-L291</f>
        <v>2.972945765697773</v>
      </c>
      <c r="N291">
        <v>3763.41</v>
      </c>
      <c r="O291">
        <v>3839</v>
      </c>
      <c r="P291">
        <f>O291-N291</f>
        <v>75.59000000000015</v>
      </c>
      <c r="Q291">
        <f>K291*N291</f>
        <v>444571.6233</v>
      </c>
      <c r="R291">
        <f>L291*O291</f>
        <v>442087.93120548624</v>
      </c>
      <c r="S291">
        <f>R291-Q291</f>
        <v>-2483.692094513739</v>
      </c>
      <c r="T291" t="str">
        <f>IF(R291&lt;= Q291,"No Monetizar","Monetizar")</f>
        <v>No Monetizar</v>
      </c>
      <c r="V291">
        <v>45958</v>
      </c>
      <c r="W291" t="str">
        <v>Alfonso Fonseca A</v>
      </c>
      <c r="X291" t="str">
        <v>Alfonso Fonseca A</v>
      </c>
      <c r="Y291" t="str">
        <v>Se monetiza ya que el valor ofrecido por el banco en cada divisa es superior al valor facturado</v>
      </c>
      <c r="Z291">
        <f>K291*O291</f>
        <v>453501.07</v>
      </c>
      <c r="AA291">
        <f>Z291-Q291</f>
        <v>8929.44670000003</v>
      </c>
    </row>
    <row r="292">
      <c r="B292">
        <v>261</v>
      </c>
      <c r="C292" t="str">
        <v>Bubble BPM</v>
      </c>
      <c r="D292" t="str">
        <v>FV-5-64</v>
      </c>
      <c r="E292">
        <v>45957</v>
      </c>
      <c r="F292">
        <v>45956</v>
      </c>
      <c r="J292">
        <f>IFERROR(IF(TODAY()&gt;=E292,(TODAY()-E292)/I292,0),0)</f>
        <v>0</v>
      </c>
      <c r="K292">
        <v>1073.92</v>
      </c>
      <c r="L292">
        <v>1046.8929457656977</v>
      </c>
      <c r="M292">
        <f>K292-L292</f>
        <v>27.02705423430234</v>
      </c>
      <c r="N292">
        <v>3763.41</v>
      </c>
      <c r="O292">
        <v>3839</v>
      </c>
      <c r="P292">
        <f>O292-N292</f>
        <v>75.59000000000015</v>
      </c>
      <c r="Q292">
        <f>K292*N292</f>
        <v>4041601.2672</v>
      </c>
      <c r="R292">
        <f>L292*O292</f>
        <v>4019022.018794514</v>
      </c>
      <c r="S292">
        <f>R292-Q292</f>
        <v>-22579.248405486345</v>
      </c>
      <c r="T292" t="str">
        <f>IF(R292&lt;= Q292,"No Monetizar","Monetizar")</f>
        <v>No Monetizar</v>
      </c>
      <c r="V292">
        <v>45958</v>
      </c>
      <c r="W292" t="str">
        <v>Alfonso Fonseca A</v>
      </c>
      <c r="X292" t="str">
        <v>Alfonso Fonseca A</v>
      </c>
      <c r="Y292" t="str">
        <v>Se monetiza ya que el valor ofrecido por el banco en cada divisa es superior al valor facturado</v>
      </c>
      <c r="Z292">
        <f>K292*O292</f>
        <v>4122778.8800000004</v>
      </c>
      <c r="AA292">
        <f>Z292-Q292</f>
        <v>81177.61280000024</v>
      </c>
    </row>
    <row r="293">
      <c r="B293">
        <v>262</v>
      </c>
      <c r="C293" t="str">
        <v>Europortage</v>
      </c>
      <c r="D293">
        <v>6351</v>
      </c>
      <c r="E293">
        <v>45957</v>
      </c>
      <c r="F293">
        <v>45956</v>
      </c>
      <c r="J293">
        <f>IFERROR(IF(TODAY()&gt;=E293,(TODAY()-E293)/I293,0),0)</f>
        <v>0</v>
      </c>
      <c r="K293">
        <v>476.02</v>
      </c>
      <c r="L293">
        <v>475.0980464482723</v>
      </c>
      <c r="M293">
        <f>K293-L293</f>
        <v>0.921953551727654</v>
      </c>
      <c r="N293">
        <v>3778.14</v>
      </c>
      <c r="O293">
        <v>3839</v>
      </c>
      <c r="P293">
        <f>O293-N293</f>
        <v>60.86000000000013</v>
      </c>
      <c r="Q293">
        <f>K293*N293</f>
        <v>1798470.2027999999</v>
      </c>
      <c r="R293">
        <f>L293*O293</f>
        <v>1823901.4003149176</v>
      </c>
      <c r="S293">
        <f>R293-Q293</f>
        <v>25431.1975149177</v>
      </c>
      <c r="T293" t="str">
        <f>IF(R293&lt;= Q293,"No Monetizar","Monetizar")</f>
        <v>Monetizar</v>
      </c>
      <c r="V293">
        <v>45958</v>
      </c>
      <c r="W293" t="str">
        <v>Alfonso Fonseca A</v>
      </c>
      <c r="X293" t="str">
        <v>Alfonso Fonseca A</v>
      </c>
      <c r="Y293" t="str">
        <v>Se monetiza ya que el valor ofrecido por el banco en cada divisa es superior al valor facturado</v>
      </c>
      <c r="Z293">
        <f>K293*O293</f>
        <v>1827440.78</v>
      </c>
      <c r="AA293">
        <f>Z293-Q293</f>
        <v>28970.577200000174</v>
      </c>
    </row>
    <row r="294">
      <c r="B294">
        <v>263</v>
      </c>
      <c r="C294" t="str">
        <v>Europortage</v>
      </c>
      <c r="D294" t="str">
        <v>FV-5-74</v>
      </c>
      <c r="E294">
        <v>45957</v>
      </c>
      <c r="F294">
        <v>45956</v>
      </c>
      <c r="J294">
        <f>IFERROR(IF(TODAY()&gt;=E294,(TODAY()-E294)/I294,0),0)</f>
        <v>0</v>
      </c>
      <c r="K294">
        <v>8684.53</v>
      </c>
      <c r="L294">
        <v>8667.709838497154</v>
      </c>
      <c r="M294">
        <f>K294-L294</f>
        <v>16.82016150284653</v>
      </c>
      <c r="N294">
        <v>3778.14</v>
      </c>
      <c r="O294">
        <v>3839</v>
      </c>
      <c r="P294">
        <f>O294-N294</f>
        <v>60.86000000000013</v>
      </c>
      <c r="Q294">
        <f>K294*N294</f>
        <v>32811370.174200002</v>
      </c>
      <c r="R294">
        <f>L294*O294</f>
        <v>33275338.069990575</v>
      </c>
      <c r="S294">
        <f>R294-Q294</f>
        <v>463967.8957905732</v>
      </c>
      <c r="T294" t="str">
        <f>IF(R294&lt;= Q294,"No Monetizar","Monetizar")</f>
        <v>Monetizar</v>
      </c>
      <c r="V294">
        <v>45958</v>
      </c>
      <c r="W294" t="str">
        <v>Alfonso Fonseca A</v>
      </c>
      <c r="X294" t="str">
        <v>Alfonso Fonseca A</v>
      </c>
      <c r="Y294" t="str">
        <v>Se monetiza ya que el valor ofrecido por el banco en cada divisa es superior al valor facturado</v>
      </c>
      <c r="Z294">
        <f>K294*O294</f>
        <v>33339910.67</v>
      </c>
      <c r="AA294">
        <f>Z294-Q294</f>
        <v>528540.4957999997</v>
      </c>
    </row>
    <row r="295">
      <c r="B295">
        <v>264</v>
      </c>
      <c r="C295" t="str">
        <v>Europortage</v>
      </c>
      <c r="D295" t="str">
        <v>FV-5-77</v>
      </c>
      <c r="E295">
        <v>45957</v>
      </c>
      <c r="F295">
        <v>45956</v>
      </c>
      <c r="J295">
        <f>IFERROR(IF(TODAY()&gt;=E295,(TODAY()-E295)/I295,0),0)</f>
        <v>0</v>
      </c>
      <c r="K295">
        <v>908.57</v>
      </c>
      <c r="L295">
        <v>906.8102854113416</v>
      </c>
      <c r="M295">
        <f>K295-L295</f>
        <v>1.7597145886584258</v>
      </c>
      <c r="N295">
        <v>3778.14</v>
      </c>
      <c r="O295">
        <v>3839</v>
      </c>
      <c r="P295">
        <f>O295-N295</f>
        <v>60.86000000000013</v>
      </c>
      <c r="Q295">
        <f>K295*N295</f>
        <v>3432704.6598</v>
      </c>
      <c r="R295">
        <f>L295*O295</f>
        <v>3481244.6856941404</v>
      </c>
      <c r="S295">
        <f>R295-Q295</f>
        <v>48540.02589414036</v>
      </c>
      <c r="T295" t="str">
        <f>IF(R295&lt;= Q295,"No Monetizar","Monetizar")</f>
        <v>Monetizar</v>
      </c>
      <c r="V295">
        <v>45958</v>
      </c>
      <c r="W295" t="str">
        <v>Alfonso Fonseca A</v>
      </c>
      <c r="X295" t="str">
        <v>Alfonso Fonseca A</v>
      </c>
      <c r="Y295" t="str">
        <v>Se monetiza ya que el valor ofrecido por el banco en cada divisa es superior al valor facturado</v>
      </c>
      <c r="Z295">
        <f>K295*O295</f>
        <v>3488000.23</v>
      </c>
      <c r="AA295">
        <f>Z295-Q295</f>
        <v>55295.57019999996</v>
      </c>
    </row>
    <row r="296">
      <c r="B296">
        <v>265</v>
      </c>
      <c r="C296" t="str">
        <v>Europortage</v>
      </c>
      <c r="D296" t="str">
        <v>FV-5-81</v>
      </c>
      <c r="E296">
        <v>45957</v>
      </c>
      <c r="F296">
        <v>45956</v>
      </c>
      <c r="J296">
        <f>IFERROR(IF(TODAY()&gt;=E296,(TODAY()-E296)/I296,0),0)</f>
        <v>0</v>
      </c>
      <c r="K296">
        <v>267.54</v>
      </c>
      <c r="L296">
        <v>267.02182964323094</v>
      </c>
      <c r="M296">
        <f>K296-L296</f>
        <v>0.5181703567690761</v>
      </c>
      <c r="N296">
        <v>3778.14</v>
      </c>
      <c r="O296">
        <v>3839</v>
      </c>
      <c r="P296">
        <f>O296-N296</f>
        <v>60.86000000000013</v>
      </c>
      <c r="Q296">
        <f>K296*N296</f>
        <v>1010803.5756000001</v>
      </c>
      <c r="R296">
        <f>L296*O296</f>
        <v>1025096.8040003636</v>
      </c>
      <c r="S296">
        <f>R296-Q296</f>
        <v>14293.22840036347</v>
      </c>
      <c r="T296" t="str">
        <f>IF(R296&lt;= Q296,"No Monetizar","Monetizar")</f>
        <v>Monetizar</v>
      </c>
      <c r="V296">
        <v>45958</v>
      </c>
      <c r="W296" t="str">
        <v>Alfonso Fonseca A</v>
      </c>
      <c r="X296" t="str">
        <v>Alfonso Fonseca A</v>
      </c>
      <c r="Y296" t="str">
        <v>Se monetiza ya que el valor ofrecido por el banco en cada divisa es superior al valor facturado</v>
      </c>
      <c r="Z296">
        <f>K296*O296</f>
        <v>1027086.06</v>
      </c>
      <c r="AA296">
        <f>Z296-Q296</f>
        <v>16282.484399999958</v>
      </c>
    </row>
    <row r="297">
      <c r="B297">
        <v>266</v>
      </c>
      <c r="C297" t="str">
        <v>Insider</v>
      </c>
      <c r="D297">
        <v>6399</v>
      </c>
      <c r="E297">
        <v>45961</v>
      </c>
      <c r="F297">
        <v>46021</v>
      </c>
      <c r="J297">
        <f>IFERROR(IF(TODAY()&gt;=E297,(TODAY()-E297)/I297,0),0)</f>
        <v>0</v>
      </c>
      <c r="K297">
        <v>5652.5</v>
      </c>
      <c r="L297">
        <v>5651.35151538724</v>
      </c>
      <c r="M297">
        <f>K297-L297</f>
        <v>1.148484612759603</v>
      </c>
      <c r="N297">
        <v>3777.97</v>
      </c>
      <c r="O297">
        <v>3851</v>
      </c>
      <c r="P297">
        <f>O297-N297</f>
        <v>73.0300000000002</v>
      </c>
      <c r="Q297">
        <f>K297*N297</f>
        <v>21354975.424999997</v>
      </c>
      <c r="R297">
        <f>L297*O297</f>
        <v>21763354.685756262</v>
      </c>
      <c r="S297">
        <f>R297-Q297</f>
        <v>408379.2607562654</v>
      </c>
      <c r="T297" t="str">
        <f>IF(R297&lt;= Q297,"No Monetizar","Monetizar")</f>
        <v>Monetizar</v>
      </c>
      <c r="V297">
        <v>45961</v>
      </c>
      <c r="W297" t="str">
        <v>Alfonso Fonseca A</v>
      </c>
      <c r="X297" t="str">
        <v>Alfonso Fonseca A</v>
      </c>
      <c r="Y297" t="str">
        <v>Se monetiza ya que el valor ofrecido por el banco en cada divisa es superior al valor facturado</v>
      </c>
      <c r="Z297">
        <f>K297*O297</f>
        <v>21767777.5</v>
      </c>
      <c r="AA297">
        <f>Z297-Q297</f>
        <v>412802.075000003</v>
      </c>
    </row>
    <row r="298">
      <c r="B298">
        <v>267</v>
      </c>
      <c r="C298" t="str">
        <v>Insider</v>
      </c>
      <c r="D298" t="str">
        <v>FV-5-94</v>
      </c>
      <c r="E298">
        <v>45961</v>
      </c>
      <c r="F298">
        <v>46021</v>
      </c>
      <c r="J298">
        <f>IFERROR(IF(TODAY()&gt;=E298,(TODAY()-E298)/I298,0),0)</f>
        <v>0</v>
      </c>
      <c r="K298">
        <v>166607.1</v>
      </c>
      <c r="L298">
        <v>166573.24848461276</v>
      </c>
      <c r="M298">
        <f>K298-L298</f>
        <v>33.851515387243126</v>
      </c>
      <c r="N298">
        <v>3777.97</v>
      </c>
      <c r="O298">
        <v>3851</v>
      </c>
      <c r="P298">
        <f>O298-N298</f>
        <v>73.0300000000002</v>
      </c>
      <c r="Q298">
        <f>K298*N298</f>
        <v>629436625.587</v>
      </c>
      <c r="R298">
        <f>L298*O298</f>
        <v>641473579.9142437</v>
      </c>
      <c r="S298">
        <f>R298-Q298</f>
        <v>12036954.327243686</v>
      </c>
      <c r="T298" t="str">
        <f>IF(R298&lt;= Q298,"No Monetizar","Monetizar")</f>
        <v>Monetizar</v>
      </c>
      <c r="V298">
        <v>45961</v>
      </c>
      <c r="W298" t="str">
        <v>Alfonso Fonseca A</v>
      </c>
      <c r="X298" t="str">
        <v>Alfonso Fonseca A</v>
      </c>
      <c r="Y298" t="str">
        <v>Se monetiza ya que el valor ofrecido por el banco en cada divisa es superior al valor facturado</v>
      </c>
      <c r="Z298">
        <f>K298*O298</f>
        <v>641603942.1</v>
      </c>
      <c r="AA298">
        <f>Z298-Q298</f>
        <v>12167316.513000011</v>
      </c>
    </row>
    <row r="299">
      <c r="B299">
        <v>268</v>
      </c>
      <c r="C299" t="str">
        <v>Remofirst</v>
      </c>
      <c r="D299" t="str">
        <v>FV-5-76</v>
      </c>
      <c r="E299">
        <v>45960</v>
      </c>
      <c r="F299">
        <v>46020</v>
      </c>
      <c r="J299">
        <f>IFERROR(IF(TODAY()&gt;=E299,(TODAY()-E299)/I299,0),0)</f>
        <v>0</v>
      </c>
      <c r="K299">
        <v>2981.05</v>
      </c>
      <c r="L299">
        <v>2981.05</v>
      </c>
      <c r="M299">
        <f>K299-L299</f>
        <v>0</v>
      </c>
      <c r="N299">
        <v>3751.51</v>
      </c>
      <c r="O299">
        <v>3850</v>
      </c>
      <c r="P299">
        <f>O299-N299</f>
        <v>98.48999999999978</v>
      </c>
      <c r="Q299">
        <f>K299*N299</f>
        <v>11183438.8855</v>
      </c>
      <c r="R299">
        <f>L299*O299</f>
        <v>11477042.5</v>
      </c>
      <c r="S299">
        <f>R299-Q299</f>
        <v>293603.6144999992</v>
      </c>
      <c r="T299" t="str">
        <f>IF(R299&lt;= Q299,"No Monetizar","Monetizar")</f>
        <v>Monetizar</v>
      </c>
      <c r="V299">
        <v>45961</v>
      </c>
      <c r="W299" t="str">
        <v>Alfonso Fonseca A</v>
      </c>
      <c r="X299" t="str">
        <v>Alfonso Fonseca A</v>
      </c>
      <c r="Y299" t="str">
        <v>Se monetiza ya que el valor ofrecido por el banco en cada divisa es superior al valor facturado</v>
      </c>
      <c r="Z299">
        <f>K299*O299</f>
        <v>11477042.5</v>
      </c>
      <c r="AA299">
        <f>Z299-Q299</f>
        <v>293603.6144999992</v>
      </c>
    </row>
    <row r="300" xml:space="preserve">
      <c r="B300">
        <v>269</v>
      </c>
      <c r="C300" t="str">
        <v>Safeguard Payroll LTD</v>
      </c>
      <c r="D300" t="str">
        <v>5999-6003</v>
      </c>
      <c r="E300">
        <v>45902</v>
      </c>
      <c r="F300">
        <v>45962</v>
      </c>
      <c r="J300">
        <f>IFERROR(IF(TODAY()&gt;=E300,(TODAY()-E300)/I300,0),0)</f>
        <v>0</v>
      </c>
      <c r="K300">
        <v>10959.130000000001</v>
      </c>
      <c r="L300">
        <v>10959.130000000001</v>
      </c>
      <c r="M300">
        <f>K300-L300</f>
        <v>0</v>
      </c>
      <c r="N300">
        <v>4106.79</v>
      </c>
      <c r="O300">
        <v>3845</v>
      </c>
      <c r="P300">
        <f>O300-N300</f>
        <v>-261.78999999999996</v>
      </c>
      <c r="Q300">
        <f>K300*N300</f>
        <v>45006845.4927</v>
      </c>
      <c r="R300">
        <f>L300*O300</f>
        <v>42137854.85</v>
      </c>
      <c r="S300">
        <f>R300-Q300</f>
        <v>-2868990.6427000016</v>
      </c>
      <c r="T300" t="str">
        <f>IF(R300&lt;= Q300,"No Monetizar","Monetizar")</f>
        <v>No Monetizar</v>
      </c>
      <c r="V300">
        <v>45961</v>
      </c>
      <c r="W300" t="str">
        <v>Alfonso Fonseca A</v>
      </c>
      <c r="X300" t="str">
        <v>Alfonso Fonseca A</v>
      </c>
      <c r="Y300"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$ 90,110.599, y si lo ingresamos en este momento a una tasa de 3.845,40, entrarían $ 85.034.097, lo que representa una diferencia de $ 5.076.501,50, aproximadamente un 6%.  esta transacción fue aprobada por el director general  basado en estas condiciones planteadas_x000d_
</v>
      </c>
      <c r="Z300">
        <f>K300*O300</f>
        <v>42137854.85</v>
      </c>
      <c r="AA300">
        <f>Z300-Q300</f>
        <v>-2868990.6427000016</v>
      </c>
    </row>
    <row r="301" xml:space="preserve">
      <c r="B301">
        <v>270</v>
      </c>
      <c r="C301" t="str">
        <v>Safeguard Payroll LTD</v>
      </c>
      <c r="D301" t="str">
        <v>6083-6089</v>
      </c>
      <c r="E301">
        <v>45902</v>
      </c>
      <c r="F301">
        <v>45962</v>
      </c>
      <c r="J301">
        <f>IFERROR(IF(TODAY()&gt;=E301,(TODAY()-E301)/I301,0),0)</f>
        <v>0</v>
      </c>
      <c r="K301">
        <v>11156.37</v>
      </c>
      <c r="L301">
        <v>11156.37</v>
      </c>
      <c r="M301">
        <f>K301-L301</f>
        <v>0</v>
      </c>
      <c r="N301">
        <v>4042.87</v>
      </c>
      <c r="O301">
        <v>3845</v>
      </c>
      <c r="P301">
        <f>O301-N301</f>
        <v>-197.8699999999999</v>
      </c>
      <c r="Q301">
        <f>K301*N301</f>
        <v>45103753.5819</v>
      </c>
      <c r="R301">
        <f>L301*O301</f>
        <v>42896242.650000006</v>
      </c>
      <c r="S301">
        <f>R301-Q301</f>
        <v>-2207510.9318999946</v>
      </c>
      <c r="T301" t="str">
        <f>IF(R301&lt;= Q301,"No Monetizar","Monetizar")</f>
        <v>No Monetizar</v>
      </c>
      <c r="V301">
        <v>45961</v>
      </c>
      <c r="W301" t="str">
        <v>Alfonso Fonseca A</v>
      </c>
      <c r="X301" t="str">
        <v>Alfonso Fonseca A</v>
      </c>
      <c r="Y301"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$ 90,110.599, y si lo ingresamos en este momento a una tasa de 3.845,40, entrarían $ 85.034.097, lo que representa una diferencia de $ 5.076.501,50, aproximadamente un 6%.  esta transacción fue aprobada por el director general  basado en estas condiciones planteadas_x000d_
</v>
      </c>
      <c r="Z301">
        <f>K301*O301</f>
        <v>42896242.650000006</v>
      </c>
      <c r="AA301">
        <f>Z301-Q301</f>
        <v>-2207510.9318999946</v>
      </c>
    </row>
    <row r="302" xml:space="preserve">
      <c r="B302">
        <v>271</v>
      </c>
      <c r="C302" t="str">
        <v>Safeguard Payroll LLC</v>
      </c>
      <c r="D302" t="str">
        <v>5990-5998</v>
      </c>
      <c r="E302">
        <v>45902</v>
      </c>
      <c r="F302">
        <v>45962</v>
      </c>
      <c r="J302">
        <f>IFERROR(IF(TODAY()&gt;=E302,(TODAY()-E302)/I302,0),0)</f>
        <v>0</v>
      </c>
      <c r="K302">
        <v>10274.27</v>
      </c>
      <c r="L302">
        <v>10266.27</v>
      </c>
      <c r="M302">
        <f>K302-L302</f>
        <v>8</v>
      </c>
      <c r="N302">
        <v>4106.79</v>
      </c>
      <c r="O302">
        <v>3845</v>
      </c>
      <c r="P302">
        <f>O302-N302</f>
        <v>-261.78999999999996</v>
      </c>
      <c r="Q302">
        <f>K302*N302</f>
        <v>42194269.2933</v>
      </c>
      <c r="R302">
        <f>L302*O302</f>
        <v>39473808.15</v>
      </c>
      <c r="S302">
        <f>R302-Q302</f>
        <v>-2720461.1433000043</v>
      </c>
      <c r="T302" t="str">
        <f>IF(R302&lt;= Q302,"No Monetizar","Monetizar")</f>
        <v>No Monetizar</v>
      </c>
      <c r="V302">
        <v>45961</v>
      </c>
      <c r="W302" t="str">
        <v>Alfonso Fonseca A</v>
      </c>
      <c r="X302" t="str">
        <v>Alfonso Fonseca A</v>
      </c>
      <c r="Y302"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2">
        <f>K302*O302</f>
        <v>39504568.15</v>
      </c>
      <c r="AA302">
        <f>Z302-Q302</f>
        <v>-2689701.1433000043</v>
      </c>
    </row>
    <row r="303" xml:space="preserve">
      <c r="B303">
        <v>272</v>
      </c>
      <c r="C303" t="str">
        <v>Safeguard Payroll LLC</v>
      </c>
      <c r="D303" t="str">
        <v>6075-6081 y 6088</v>
      </c>
      <c r="E303">
        <v>45902</v>
      </c>
      <c r="F303">
        <v>45962</v>
      </c>
      <c r="J303">
        <f>IFERROR(IF(TODAY()&gt;=E303,(TODAY()-E303)/I303,0),0)</f>
        <v>0</v>
      </c>
      <c r="K303">
        <v>10655.230000000001</v>
      </c>
      <c r="L303">
        <v>10648.23</v>
      </c>
      <c r="M303">
        <f>K303-L303</f>
        <v>7.000000000001819</v>
      </c>
      <c r="N303">
        <v>4042.87</v>
      </c>
      <c r="O303">
        <v>3845</v>
      </c>
      <c r="P303">
        <f>O303-N303</f>
        <v>-197.8699999999999</v>
      </c>
      <c r="Q303">
        <f>K303*N303</f>
        <v>43077709.7101</v>
      </c>
      <c r="R303">
        <f>L303*O303</f>
        <v>40942444.35</v>
      </c>
      <c r="S303">
        <f>R303-Q303</f>
        <v>-2135265.360100001</v>
      </c>
      <c r="T303" t="str">
        <f>IF(R303&lt;= Q303,"No Monetizar","Monetizar")</f>
        <v>No Monetizar</v>
      </c>
      <c r="V303">
        <v>45961</v>
      </c>
      <c r="W303" t="str">
        <v>Alfonso Fonseca A</v>
      </c>
      <c r="X303" t="str">
        <v>Alfonso Fonseca A</v>
      </c>
      <c r="Y303"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3">
        <f>K303*O303</f>
        <v>40969359.35000001</v>
      </c>
      <c r="AA303">
        <f>Z303-Q303</f>
        <v>-2108350.3600999936</v>
      </c>
    </row>
    <row r="304" xml:space="preserve">
      <c r="B304">
        <v>273</v>
      </c>
      <c r="C304" t="str">
        <v>Endrington</v>
      </c>
      <c r="D304">
        <v>6363</v>
      </c>
      <c r="E304">
        <v>45960</v>
      </c>
      <c r="F304">
        <v>46020</v>
      </c>
      <c r="J304">
        <f>IFERROR(IF(TODAY()&gt;=E304,(TODAY()-E304)/I304,0),0)</f>
        <v>0</v>
      </c>
      <c r="K304">
        <f>597.71-16.62</f>
        <v>581.09</v>
      </c>
      <c r="L304">
        <f>597.71-16.62</f>
        <v>581.09</v>
      </c>
      <c r="M304">
        <f>K304-L304</f>
        <v>0</v>
      </c>
      <c r="N304">
        <v>3834.98</v>
      </c>
      <c r="O304">
        <v>3785.58</v>
      </c>
      <c r="P304">
        <f>O304-N304</f>
        <v>-49.40000000000009</v>
      </c>
      <c r="Q304">
        <f>K304*N304</f>
        <v>2228468.5282</v>
      </c>
      <c r="R304">
        <f>L304*O304</f>
        <v>2199762.6822</v>
      </c>
      <c r="S304">
        <f>R304-Q304</f>
        <v>-28705.845999999903</v>
      </c>
      <c r="T304" t="str">
        <f>IF(R304&lt;= Q304,"No Monetizar","Monetizar")</f>
        <v>No Monetizar</v>
      </c>
      <c r="V304">
        <v>45961</v>
      </c>
      <c r="W304" t="str">
        <v>Alfonso Fonseca A</v>
      </c>
      <c r="X304" t="str">
        <v>Alfonso Fonseca A</v>
      </c>
      <c r="Y304"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4">
        <f>K304*O304</f>
        <v>2199762.6822</v>
      </c>
      <c r="AA304">
        <f>Z304-Q304</f>
        <v>-28705.845999999903</v>
      </c>
    </row>
    <row r="305" xml:space="preserve">
      <c r="B305">
        <v>274</v>
      </c>
      <c r="C305" t="str">
        <v>Endrington</v>
      </c>
      <c r="D305" t="str">
        <v>FV-5-84</v>
      </c>
      <c r="E305">
        <v>45960</v>
      </c>
      <c r="F305">
        <v>46020</v>
      </c>
      <c r="J305">
        <f>IFERROR(IF(TODAY()&gt;=E305,(TODAY()-E305)/I305,0),0)</f>
        <v>0</v>
      </c>
      <c r="K305">
        <v>10565.04</v>
      </c>
      <c r="L305">
        <v>10565.04</v>
      </c>
      <c r="M305">
        <f>K305-L305</f>
        <v>0</v>
      </c>
      <c r="N305">
        <v>3834.98</v>
      </c>
      <c r="O305">
        <v>3785.58</v>
      </c>
      <c r="P305">
        <f>O305-N305</f>
        <v>-49.40000000000009</v>
      </c>
      <c r="Q305">
        <f>K305*N305</f>
        <v>40516717.0992</v>
      </c>
      <c r="R305">
        <f>L305*O305</f>
        <v>39994804.1232</v>
      </c>
      <c r="S305">
        <f>R305-Q305</f>
        <v>-521912.9760000035</v>
      </c>
      <c r="T305" t="str">
        <f>IF(R305&lt;= Q305,"No Monetizar","Monetizar")</f>
        <v>No Monetizar</v>
      </c>
      <c r="V305">
        <v>45961</v>
      </c>
      <c r="W305" t="str">
        <v>Alfonso Fonseca A</v>
      </c>
      <c r="X305" t="str">
        <v>Alfonso Fonseca A</v>
      </c>
      <c r="Y305"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5">
        <f>K305*O305</f>
        <v>39994804.1232</v>
      </c>
      <c r="AA305">
        <f>Z305-Q305</f>
        <v>-521912.9760000035</v>
      </c>
    </row>
    <row r="306">
      <c r="B306">
        <v>275</v>
      </c>
      <c r="C306" t="str">
        <v>Flexco</v>
      </c>
      <c r="D306">
        <v>6445</v>
      </c>
      <c r="E306">
        <v>45979</v>
      </c>
      <c r="F306">
        <v>46039</v>
      </c>
      <c r="J306">
        <f>IFERROR(IF(TODAY()&gt;=E306,(TODAY()-E306)/I306,0),0)</f>
        <v>0</v>
      </c>
      <c r="K306">
        <v>344.87</v>
      </c>
      <c r="L306">
        <v>344.0443180768006</v>
      </c>
      <c r="M306">
        <f>K306-L306</f>
        <v>0.8256819231993973</v>
      </c>
      <c r="N306">
        <v>3682.4</v>
      </c>
      <c r="O306">
        <v>3723.91</v>
      </c>
      <c r="P306">
        <f>O306-N306</f>
        <v>41.50999999999976</v>
      </c>
      <c r="Q306">
        <f>K306*N306</f>
        <v>1269949.288</v>
      </c>
      <c r="R306">
        <f>L306*O306</f>
        <v>1281190.0765293785</v>
      </c>
      <c r="S306">
        <f>R306-Q306</f>
        <v>11240.788529378595</v>
      </c>
      <c r="T306" t="str">
        <f>IF(R306&lt;= Q306,"No Monetizar","Monetizar")</f>
        <v>Monetizar</v>
      </c>
      <c r="V306">
        <v>45981</v>
      </c>
      <c r="W306" t="str">
        <v>Alfonso Fonseca A</v>
      </c>
      <c r="X306" t="str">
        <v>Alfonso Fonseca A</v>
      </c>
      <c r="Y306" t="str">
        <v>Se monetiza ya que el valor ofrecido por el banco en cada divisa es superior al valor facturado</v>
      </c>
      <c r="Z306">
        <f>K306*O306</f>
        <v>1284264.8417</v>
      </c>
      <c r="AA306">
        <f>Z306-Q306</f>
        <v>14315.553700000048</v>
      </c>
    </row>
    <row r="307">
      <c r="B307">
        <v>276</v>
      </c>
      <c r="C307" t="str">
        <v>Flexco</v>
      </c>
      <c r="D307" t="str">
        <v>FV-5-102</v>
      </c>
      <c r="E307">
        <v>45979</v>
      </c>
      <c r="F307">
        <v>46039</v>
      </c>
      <c r="J307">
        <f>IFERROR(IF(TODAY()&gt;=E307,(TODAY()-E307)/I307,0),0)</f>
        <v>0</v>
      </c>
      <c r="K307">
        <v>3831.92</v>
      </c>
      <c r="L307">
        <v>3822.7456819231993</v>
      </c>
      <c r="M307">
        <f>K307-L307</f>
        <v>9.174318076800773</v>
      </c>
      <c r="N307">
        <v>3682.4</v>
      </c>
      <c r="O307">
        <v>3723.91</v>
      </c>
      <c r="P307">
        <f>O307-N307</f>
        <v>41.50999999999976</v>
      </c>
      <c r="Q307">
        <f>K307*N307</f>
        <v>14110662.208</v>
      </c>
      <c r="R307">
        <f>L307*O307</f>
        <v>14235560.872370621</v>
      </c>
      <c r="S307">
        <f>R307-Q307</f>
        <v>124898.66437062062</v>
      </c>
      <c r="T307" t="str">
        <f>IF(R307&lt;= Q307,"No Monetizar","Monetizar")</f>
        <v>Monetizar</v>
      </c>
      <c r="V307">
        <v>45981</v>
      </c>
      <c r="W307" t="str">
        <v>Alfonso Fonseca A</v>
      </c>
      <c r="X307" t="str">
        <v>Alfonso Fonseca A</v>
      </c>
      <c r="Y307" t="str">
        <v>Se monetiza ya que el valor ofrecido por el banco en cada divisa es superior al valor facturado</v>
      </c>
      <c r="Z307">
        <f>K307*O307</f>
        <v>14269725.2072</v>
      </c>
      <c r="AA307">
        <f>Z307-Q307</f>
        <v>159062.9991999995</v>
      </c>
    </row>
    <row r="308">
      <c r="B308">
        <v>277</v>
      </c>
      <c r="C308" t="str">
        <v>Equus Global Expansion, LLC</v>
      </c>
      <c r="D308">
        <v>6452</v>
      </c>
      <c r="E308">
        <v>45980</v>
      </c>
      <c r="F308">
        <v>46040</v>
      </c>
      <c r="J308">
        <f>IFERROR(IF(TODAY()&gt;=E308,(TODAY()-E308)/I308,0),0)</f>
        <v>0</v>
      </c>
      <c r="K308">
        <v>178.5</v>
      </c>
      <c r="L308">
        <v>178.5</v>
      </c>
      <c r="M308">
        <f>K308-L308</f>
        <v>0</v>
      </c>
      <c r="N308">
        <v>3663.81</v>
      </c>
      <c r="O308">
        <v>3723.91</v>
      </c>
      <c r="P308">
        <f>O308-N308</f>
        <v>60.09999999999991</v>
      </c>
      <c r="Q308">
        <f>K308*N308</f>
        <v>653990.085</v>
      </c>
      <c r="R308">
        <f>L308*O308</f>
        <v>664717.9349999999</v>
      </c>
      <c r="S308">
        <f>R308-Q308</f>
        <v>10727.849999999977</v>
      </c>
      <c r="T308" t="str">
        <f>IF(R308&lt;= Q308,"No Monetizar","Monetizar")</f>
        <v>Monetizar</v>
      </c>
      <c r="V308">
        <v>45981</v>
      </c>
      <c r="W308" t="str">
        <v>Alfonso Fonseca A</v>
      </c>
      <c r="X308" t="str">
        <v>Alfonso Fonseca A</v>
      </c>
      <c r="Y308" t="str">
        <v>Se monetiza ya que el valor ofrecido por el banco en cada divisa es superior al valor facturado</v>
      </c>
      <c r="Z308">
        <f>K308*O308</f>
        <v>664717.9349999999</v>
      </c>
      <c r="AA308">
        <f>Z308-Q308</f>
        <v>10727.849999999977</v>
      </c>
    </row>
    <row r="309">
      <c r="B309">
        <v>278</v>
      </c>
      <c r="C309" t="str">
        <v>Equus Global Expansion, LLC</v>
      </c>
      <c r="D309" t="str">
        <v>FV-5-109</v>
      </c>
      <c r="E309">
        <v>45980</v>
      </c>
      <c r="F309">
        <v>46040</v>
      </c>
      <c r="J309">
        <f>IFERROR(IF(TODAY()&gt;=E309,(TODAY()-E309)/I309,0),0)</f>
        <v>0</v>
      </c>
      <c r="K309">
        <v>1408.82</v>
      </c>
      <c r="L309">
        <v>1408.82</v>
      </c>
      <c r="M309">
        <f>K309-L309</f>
        <v>0</v>
      </c>
      <c r="N309">
        <v>3663.81</v>
      </c>
      <c r="O309">
        <v>3723.91</v>
      </c>
      <c r="P309">
        <f>O309-N309</f>
        <v>60.09999999999991</v>
      </c>
      <c r="Q309">
        <f>K309*N309</f>
        <v>5161648.8042</v>
      </c>
      <c r="R309">
        <f>L309*O309</f>
        <v>5246318.8862</v>
      </c>
      <c r="S309">
        <f>R309-Q309</f>
        <v>84670.08199999947</v>
      </c>
      <c r="T309" t="str">
        <f>IF(R309&lt;= Q309,"No Monetizar","Monetizar")</f>
        <v>Monetizar</v>
      </c>
      <c r="V309">
        <v>45981</v>
      </c>
      <c r="W309" t="str">
        <v>Alfonso Fonseca A</v>
      </c>
      <c r="X309" t="str">
        <v>Alfonso Fonseca A</v>
      </c>
      <c r="Y309" t="str">
        <v>Se monetiza ya que el valor ofrecido por el banco en cada divisa es superior al valor facturado</v>
      </c>
      <c r="Z309">
        <f>K309*O309</f>
        <v>5246318.8862</v>
      </c>
      <c r="AA309">
        <f>Z309-Q309</f>
        <v>84670.08199999947</v>
      </c>
    </row>
    <row r="310">
      <c r="B310">
        <v>279</v>
      </c>
      <c r="C310" t="str">
        <v>Nazdar ink technologies</v>
      </c>
      <c r="D310">
        <v>6446</v>
      </c>
      <c r="E310">
        <v>45981</v>
      </c>
      <c r="F310">
        <v>46041</v>
      </c>
      <c r="J310">
        <f>IFERROR(IF(TODAY()&gt;=E310,(TODAY()-E310)/I310,0),0)</f>
        <v>0</v>
      </c>
      <c r="K310">
        <v>972.34</v>
      </c>
      <c r="L310">
        <v>971.4909445495205</v>
      </c>
      <c r="M310">
        <f>K310-L310</f>
        <v>0.8490554504795682</v>
      </c>
      <c r="N310">
        <v>3682.4</v>
      </c>
      <c r="O310">
        <v>3723.91</v>
      </c>
      <c r="P310">
        <f>O310-N310</f>
        <v>41.50999999999976</v>
      </c>
      <c r="Q310">
        <f>K310*N310</f>
        <v>3580544.816</v>
      </c>
      <c r="R310">
        <f>L310*O310</f>
        <v>3617744.8433174044</v>
      </c>
      <c r="S310">
        <f>R310-Q310</f>
        <v>37200.02731740428</v>
      </c>
      <c r="T310" t="str">
        <f>IF(R310&lt;= Q310,"No Monetizar","Monetizar")</f>
        <v>Monetizar</v>
      </c>
      <c r="V310">
        <v>45981</v>
      </c>
      <c r="W310" t="str">
        <v>Alfonso Fonseca A</v>
      </c>
      <c r="X310" t="str">
        <v>Alfonso Fonseca A</v>
      </c>
      <c r="Y310" t="str">
        <v>Se monetiza ya que el valor ofrecido por el banco en cada divisa es superior al valor facturado</v>
      </c>
      <c r="Z310">
        <f>K310*O310</f>
        <v>3620906.6494</v>
      </c>
      <c r="AA310">
        <f>Z310-Q310</f>
        <v>40361.83339999989</v>
      </c>
    </row>
    <row r="311">
      <c r="B311">
        <v>280</v>
      </c>
      <c r="C311" t="str">
        <v>Nazdar ink technologies</v>
      </c>
      <c r="D311" t="str">
        <v>FV-5-103</v>
      </c>
      <c r="E311">
        <v>45981</v>
      </c>
      <c r="F311">
        <v>46041</v>
      </c>
      <c r="J311">
        <f>IFERROR(IF(TODAY()&gt;=E311,(TODAY()-E311)/I311,0),0)</f>
        <v>0</v>
      </c>
      <c r="K311">
        <v>16205.69</v>
      </c>
      <c r="L311">
        <v>16191.53905545048</v>
      </c>
      <c r="M311">
        <f>K311-L311</f>
        <v>14.150944549521228</v>
      </c>
      <c r="N311">
        <v>3682.4</v>
      </c>
      <c r="O311">
        <v>3723.91</v>
      </c>
      <c r="P311">
        <f>O311-N311</f>
        <v>41.50999999999976</v>
      </c>
      <c r="Q311">
        <f>K311*N311</f>
        <v>59675832.856000006</v>
      </c>
      <c r="R311">
        <f>L311*O311</f>
        <v>60295834.20398259</v>
      </c>
      <c r="S311">
        <f>R311-Q311</f>
        <v>620001.3479825854</v>
      </c>
      <c r="T311" t="str">
        <f>IF(R311&lt;= Q311,"No Monetizar","Monetizar")</f>
        <v>Monetizar</v>
      </c>
      <c r="V311">
        <v>45981</v>
      </c>
      <c r="W311" t="str">
        <v>Alfonso Fonseca A</v>
      </c>
      <c r="X311" t="str">
        <v>Alfonso Fonseca A</v>
      </c>
      <c r="Y311" t="str">
        <v>Se monetiza ya que el valor ofrecido por el banco en cada divisa es superior al valor facturado</v>
      </c>
      <c r="Z311">
        <f>K311*O311</f>
        <v>60348531.0479</v>
      </c>
      <c r="AA311">
        <f>Z311-Q311</f>
        <v>672698.1918999925</v>
      </c>
    </row>
    <row r="312">
      <c r="B312">
        <v>281</v>
      </c>
      <c r="C312" t="str">
        <v>Hemmebarsch GMBH &amp; Co KG</v>
      </c>
      <c r="D312">
        <v>6349</v>
      </c>
      <c r="E312">
        <v>45973</v>
      </c>
      <c r="F312">
        <v>46033</v>
      </c>
      <c r="J312">
        <f>IFERROR(IF(TODAY()&gt;=E312,(TODAY()-E312)/I312,0),0)</f>
        <v>0</v>
      </c>
      <c r="K312">
        <v>113.59</v>
      </c>
      <c r="L312">
        <v>113.59</v>
      </c>
      <c r="M312">
        <f>K312-L312</f>
        <v>0</v>
      </c>
      <c r="N312">
        <v>3763.41</v>
      </c>
      <c r="O312">
        <v>3723.91</v>
      </c>
      <c r="P312">
        <f>O312-N312</f>
        <v>-39.5</v>
      </c>
      <c r="Q312">
        <f>K312*N312</f>
        <v>427485.7419</v>
      </c>
      <c r="R312">
        <f>L312*O312</f>
        <v>422998.9369</v>
      </c>
      <c r="S312">
        <f>R312-Q312</f>
        <v>-4486.805000000051</v>
      </c>
      <c r="T312" t="str">
        <f>IF(R312&lt;= Q312,"No Monetizar","Monetizar")</f>
        <v>No Monetizar</v>
      </c>
      <c r="V312">
        <v>45982</v>
      </c>
      <c r="W312" t="str">
        <v>Alfonso Fonseca A</v>
      </c>
      <c r="X312" t="str">
        <v>Alfonso Fonseca A</v>
      </c>
      <c r="Y312" t="str">
        <v>Se monetiza ya que el valor ofrecido por el banco en cada divisa es superior al valor facturado</v>
      </c>
      <c r="Z312">
        <f>K312*O312</f>
        <v>422998.9369</v>
      </c>
      <c r="AA312">
        <f>Z312-Q312</f>
        <v>-4486.805000000051</v>
      </c>
    </row>
    <row r="313">
      <c r="B313">
        <v>282</v>
      </c>
      <c r="C313" t="str">
        <v>Hemmebarsch GMBH &amp; Co KG</v>
      </c>
      <c r="D313" t="str">
        <v>FV-5-72</v>
      </c>
      <c r="E313">
        <v>45973</v>
      </c>
      <c r="F313">
        <v>46033</v>
      </c>
      <c r="J313">
        <f>IFERROR(IF(TODAY()&gt;=E313,(TODAY()-E313)/I313,0),0)</f>
        <v>0</v>
      </c>
      <c r="K313">
        <v>1135.86</v>
      </c>
      <c r="L313">
        <v>1135.86</v>
      </c>
      <c r="M313">
        <f>K313-L313</f>
        <v>0</v>
      </c>
      <c r="N313">
        <v>3763.41</v>
      </c>
      <c r="O313">
        <v>3723.91</v>
      </c>
      <c r="P313">
        <f>O313-N313</f>
        <v>-39.5</v>
      </c>
      <c r="Q313">
        <f>K313*N313</f>
        <v>4274706.882599999</v>
      </c>
      <c r="R313">
        <f>L313*O313</f>
        <v>4229840.412599999</v>
      </c>
      <c r="S313">
        <f>R313-Q313</f>
        <v>-44866.46999999974</v>
      </c>
      <c r="T313" t="str">
        <f>IF(R313&lt;= Q313,"No Monetizar","Monetizar")</f>
        <v>No Monetizar</v>
      </c>
      <c r="V313">
        <v>45982</v>
      </c>
      <c r="W313" t="str">
        <v>Alfonso Fonseca A</v>
      </c>
      <c r="X313" t="str">
        <v>Alfonso Fonseca A</v>
      </c>
      <c r="Y313" t="str">
        <v>Se monetiza ya que el valor ofrecido por el banco en cada divisa es superior al valor facturado</v>
      </c>
      <c r="Z313">
        <f>K313*O313</f>
        <v>4229840.412599999</v>
      </c>
      <c r="AA313">
        <f>Z313-Q313</f>
        <v>-44866.46999999974</v>
      </c>
    </row>
    <row r="314">
      <c r="B314">
        <v>283</v>
      </c>
      <c r="C314" t="str">
        <v>Endrington</v>
      </c>
      <c r="D314">
        <v>6450</v>
      </c>
      <c r="E314">
        <v>45985</v>
      </c>
      <c r="F314">
        <v>46045</v>
      </c>
      <c r="J314">
        <f>IFERROR(IF(TODAY()&gt;=E314,(TODAY()-E314)/I314,0),0)</f>
        <v>0</v>
      </c>
      <c r="K314">
        <v>622.19</v>
      </c>
      <c r="L314">
        <v>622.19</v>
      </c>
      <c r="M314">
        <f>K314-L314</f>
        <v>0</v>
      </c>
      <c r="N314">
        <v>3763.41</v>
      </c>
      <c r="O314">
        <v>3785.7</v>
      </c>
      <c r="P314">
        <f>O314-N314</f>
        <v>22.289999999999964</v>
      </c>
      <c r="Q314">
        <f>K314*N314</f>
        <v>2341556.0679</v>
      </c>
      <c r="R314">
        <f>L314*O314</f>
        <v>2355424.683</v>
      </c>
      <c r="S314">
        <f>R314-Q314</f>
        <v>13868.615100000054</v>
      </c>
      <c r="T314" t="str">
        <f>IF(R314&lt;= Q314,"No Monetizar","Monetizar")</f>
        <v>Monetizar</v>
      </c>
      <c r="V314">
        <v>45985</v>
      </c>
      <c r="W314" t="str">
        <v>Alfonso Fonseca A</v>
      </c>
      <c r="X314" t="str">
        <v>Alfonso Fonseca A</v>
      </c>
      <c r="Y314" t="str">
        <v>Se monetiza ya que el valor ofrecido por el banco en cada divisa es superior al valor facturado</v>
      </c>
      <c r="Z314">
        <f>K314*O314</f>
        <v>2355424.683</v>
      </c>
      <c r="AA314">
        <f>Z314-Q314</f>
        <v>13868.615100000054</v>
      </c>
    </row>
    <row r="315">
      <c r="B315">
        <v>284</v>
      </c>
      <c r="C315" t="str">
        <v>Endrington</v>
      </c>
      <c r="D315" t="str">
        <v>FV-5-107</v>
      </c>
      <c r="E315">
        <v>45985</v>
      </c>
      <c r="F315">
        <v>46045</v>
      </c>
      <c r="J315">
        <f>IFERROR(IF(TODAY()&gt;=E315,(TODAY()-E315)/I315,0),0)</f>
        <v>0</v>
      </c>
      <c r="K315">
        <v>11312.5</v>
      </c>
      <c r="L315">
        <v>11312.5</v>
      </c>
      <c r="M315">
        <f>K315-L315</f>
        <v>0</v>
      </c>
      <c r="N315">
        <v>3763.41</v>
      </c>
      <c r="O315">
        <v>3785.7</v>
      </c>
      <c r="P315">
        <f>O315-N315</f>
        <v>22.289999999999964</v>
      </c>
      <c r="Q315">
        <f>K315*N315</f>
        <v>42573575.625</v>
      </c>
      <c r="R315">
        <f>L315*O315</f>
        <v>42825731.25</v>
      </c>
      <c r="S315">
        <f>R315-Q315</f>
        <v>252155.625</v>
      </c>
      <c r="T315" t="str">
        <f>IF(R315&lt;= Q315,"No Monetizar","Monetizar")</f>
        <v>Monetizar</v>
      </c>
      <c r="V315">
        <v>45985</v>
      </c>
      <c r="W315" t="str">
        <v>Alfonso Fonseca A</v>
      </c>
      <c r="X315" t="str">
        <v>Alfonso Fonseca A</v>
      </c>
      <c r="Y315" t="str">
        <v>Se monetiza ya que el valor ofrecido por el banco en cada divisa es superior al valor facturado</v>
      </c>
      <c r="Z315">
        <f>K315*O315</f>
        <v>42825731.25</v>
      </c>
      <c r="AA315">
        <f>Z315-Q315</f>
        <v>252155.625</v>
      </c>
    </row>
    <row r="316">
      <c r="B316">
        <v>285</v>
      </c>
      <c r="C316" t="str">
        <v>Marketing Doctors</v>
      </c>
      <c r="D316">
        <v>6457</v>
      </c>
      <c r="E316">
        <v>45985</v>
      </c>
      <c r="F316">
        <v>46045</v>
      </c>
      <c r="J316">
        <f>IFERROR(IF(TODAY()&gt;=E316,(TODAY()-E316)/I316,0),0)</f>
        <v>0</v>
      </c>
      <c r="K316">
        <v>173.07</v>
      </c>
      <c r="L316">
        <v>173.07</v>
      </c>
      <c r="M316">
        <f>K316-L316</f>
        <v>0</v>
      </c>
      <c r="N316">
        <v>3700.17</v>
      </c>
      <c r="O316">
        <v>3789.1</v>
      </c>
      <c r="P316">
        <f>O316-N316</f>
        <v>88.92999999999984</v>
      </c>
      <c r="Q316">
        <f>K316*N316</f>
        <v>640388.4219</v>
      </c>
      <c r="R316">
        <f>L316*O316</f>
        <v>655779.537</v>
      </c>
      <c r="S316">
        <f>R316-Q316</f>
        <v>15391.115100000054</v>
      </c>
      <c r="T316" t="str">
        <f>IF(R316&lt;= Q316,"No Monetizar","Monetizar")</f>
        <v>Monetizar</v>
      </c>
      <c r="V316">
        <v>45985</v>
      </c>
      <c r="W316" t="str">
        <v>Alfonso Fonseca A</v>
      </c>
      <c r="X316" t="str">
        <v>Alfonso Fonseca A</v>
      </c>
      <c r="Y316" t="str">
        <v>Se monetiza ya que el valor ofrecido por el banco en cada divisa es superior al valor facturado</v>
      </c>
      <c r="Z316">
        <f>K316*O316</f>
        <v>655779.537</v>
      </c>
      <c r="AA316">
        <f>Z316-Q316</f>
        <v>15391.115100000054</v>
      </c>
    </row>
    <row r="317">
      <c r="B317">
        <v>286</v>
      </c>
      <c r="C317" t="str">
        <v>Marketing Doctors</v>
      </c>
      <c r="D317" t="str">
        <v>FV-5-114</v>
      </c>
      <c r="E317">
        <v>45985</v>
      </c>
      <c r="F317">
        <v>46045</v>
      </c>
      <c r="J317">
        <f>IFERROR(IF(TODAY()&gt;=E317,(TODAY()-E317)/I317,0),0)</f>
        <v>0</v>
      </c>
      <c r="K317">
        <v>1573.37</v>
      </c>
      <c r="L317">
        <v>1573.37</v>
      </c>
      <c r="M317">
        <f>K317-L317</f>
        <v>0</v>
      </c>
      <c r="N317">
        <v>3700.17</v>
      </c>
      <c r="O317">
        <v>3789.1</v>
      </c>
      <c r="P317">
        <f>O317-N317</f>
        <v>88.92999999999984</v>
      </c>
      <c r="Q317">
        <f>K317*N317</f>
        <v>5821736.4728999995</v>
      </c>
      <c r="R317">
        <f>L317*O317</f>
        <v>5961656.266999999</v>
      </c>
      <c r="S317">
        <f>R317-Q317</f>
        <v>139919.7940999996</v>
      </c>
      <c r="T317" t="str">
        <f>IF(R317&lt;= Q317,"No Monetizar","Monetizar")</f>
        <v>Monetizar</v>
      </c>
      <c r="V317">
        <v>45985</v>
      </c>
      <c r="W317" t="str">
        <v>Alfonso Fonseca A</v>
      </c>
      <c r="X317" t="str">
        <v>Alfonso Fonseca A</v>
      </c>
      <c r="Y317" t="str">
        <v>Se monetiza ya que el valor ofrecido por el banco en cada divisa es superior al valor facturado</v>
      </c>
      <c r="Z317">
        <f>K317*O317</f>
        <v>5961656.266999999</v>
      </c>
      <c r="AA317">
        <f>Z317-Q317</f>
        <v>139919.7940999996</v>
      </c>
    </row>
    <row r="318">
      <c r="B318">
        <v>287</v>
      </c>
      <c r="C318" t="str">
        <v xml:space="preserve">Action </v>
      </c>
      <c r="D318">
        <v>6457</v>
      </c>
      <c r="E318">
        <v>45986</v>
      </c>
      <c r="F318">
        <v>46046</v>
      </c>
      <c r="J318">
        <f>IFERROR(IF(TODAY()&gt;=E318,(TODAY()-E318)/I318,0),0)</f>
        <v>0</v>
      </c>
      <c r="K318">
        <v>360.17</v>
      </c>
      <c r="L318">
        <v>360.17</v>
      </c>
      <c r="M318">
        <f>K318-L318</f>
        <v>0</v>
      </c>
      <c r="N318">
        <v>3700.17</v>
      </c>
      <c r="O318">
        <v>3789.1</v>
      </c>
      <c r="P318">
        <f>O318-N318</f>
        <v>88.92999999999984</v>
      </c>
      <c r="Q318">
        <f>K318*N318</f>
        <v>1332690.2289</v>
      </c>
      <c r="R318">
        <f>L318*O318</f>
        <v>1364720.147</v>
      </c>
      <c r="S318">
        <f>R318-Q318</f>
        <v>32029.918100000126</v>
      </c>
      <c r="T318" t="str">
        <f>IF(R318&lt;= Q318,"No Monetizar","Monetizar")</f>
        <v>Monetizar</v>
      </c>
      <c r="V318">
        <v>45986</v>
      </c>
      <c r="W318" t="str">
        <v>Alfonso Fonseca A</v>
      </c>
      <c r="X318" t="str">
        <v>Alfonso Fonseca A</v>
      </c>
      <c r="Y318" t="str">
        <v>Se monetiza ya que el valor ofrecido por el banco en cada divisa es superior al valor facturado</v>
      </c>
      <c r="Z318">
        <f>K318*O318</f>
        <v>1364720.147</v>
      </c>
      <c r="AA318">
        <f>Z318-Q318</f>
        <v>32029.918100000126</v>
      </c>
    </row>
    <row r="319">
      <c r="B319">
        <v>288</v>
      </c>
      <c r="C319" t="str">
        <v>Action</v>
      </c>
      <c r="D319" t="str">
        <v>FV-5-114</v>
      </c>
      <c r="E319">
        <v>45986</v>
      </c>
      <c r="F319">
        <v>46046</v>
      </c>
      <c r="J319">
        <f>IFERROR(IF(TODAY()&gt;=E319,(TODAY()-E319)/I319,0),0)</f>
        <v>0</v>
      </c>
      <c r="K319">
        <v>3274.24</v>
      </c>
      <c r="L319">
        <v>3274.24</v>
      </c>
      <c r="M319">
        <f>K319-L319</f>
        <v>0</v>
      </c>
      <c r="N319">
        <v>3700.17</v>
      </c>
      <c r="O319">
        <v>3789.1</v>
      </c>
      <c r="P319">
        <f>O319-N319</f>
        <v>88.92999999999984</v>
      </c>
      <c r="Q319">
        <f>K319*N319</f>
        <v>12115244.6208</v>
      </c>
      <c r="R319">
        <f>L319*O319</f>
        <v>12406422.783999998</v>
      </c>
      <c r="S319">
        <f>R319-Q319</f>
        <v>291178.16319999844</v>
      </c>
      <c r="T319" t="str">
        <f>IF(R319&lt;= Q319,"No Monetizar","Monetizar")</f>
        <v>Monetizar</v>
      </c>
      <c r="V319">
        <v>45986</v>
      </c>
      <c r="W319" t="str">
        <v>Alfonso Fonseca A</v>
      </c>
      <c r="X319" t="str">
        <v>Alfonso Fonseca A</v>
      </c>
      <c r="Y319" t="str">
        <v>Se monetiza ya que el valor ofrecido por el banco en cada divisa es superior al valor facturado</v>
      </c>
      <c r="Z319">
        <f>K319*O319</f>
        <v>12406422.783999998</v>
      </c>
      <c r="AA319">
        <f>Z319-Q319</f>
        <v>291178.16319999844</v>
      </c>
    </row>
    <row r="320">
      <c r="B320">
        <v>289</v>
      </c>
      <c r="C320" t="str">
        <v>Oncehub</v>
      </c>
      <c r="D320">
        <v>6457</v>
      </c>
      <c r="E320">
        <v>45986</v>
      </c>
      <c r="F320">
        <v>46046</v>
      </c>
      <c r="J320">
        <f>IFERROR(IF(TODAY()&gt;=E320,(TODAY()-E320)/I320,0),0)</f>
        <v>0</v>
      </c>
      <c r="K320">
        <v>285.6</v>
      </c>
      <c r="L320">
        <v>283.96166197231577</v>
      </c>
      <c r="M320">
        <v>1.6383380276842558</v>
      </c>
      <c r="N320">
        <v>3667.91</v>
      </c>
      <c r="O320">
        <v>3789.1</v>
      </c>
      <c r="P320">
        <f>O320-N320</f>
        <v>121.19000000000005</v>
      </c>
      <c r="Q320">
        <f>K320*N320</f>
        <v>1047555.096</v>
      </c>
      <c r="R320">
        <f>L320*O320</f>
        <v>1075959.1333793018</v>
      </c>
      <c r="S320">
        <f>R320-Q320</f>
        <v>28404.037379301735</v>
      </c>
      <c r="T320" t="str">
        <f>IF(R320&lt;= Q320,"No Monetizar","Monetizar")</f>
        <v>Monetizar</v>
      </c>
      <c r="V320">
        <v>45986</v>
      </c>
      <c r="W320" t="str">
        <v>Alfonso Fonseca A</v>
      </c>
      <c r="X320" t="str">
        <v>Alfonso Fonseca A</v>
      </c>
      <c r="Y320" t="str">
        <v>Se monetiza ya que el valor ofrecido por el banco en cada divisa es superior al valor facturado</v>
      </c>
      <c r="Z320">
        <f>K320*O320</f>
        <v>1082166.96</v>
      </c>
      <c r="AA320">
        <f>Z320-Q320</f>
        <v>34611.86399999994</v>
      </c>
    </row>
    <row r="321">
      <c r="B321">
        <v>290</v>
      </c>
      <c r="C321" t="str">
        <v>Oncehub</v>
      </c>
      <c r="D321" t="str">
        <v>FV-5-114</v>
      </c>
      <c r="E321">
        <v>45986</v>
      </c>
      <c r="F321">
        <v>46046</v>
      </c>
      <c r="J321">
        <f>IFERROR(IF(TODAY()&gt;=E321,(TODAY()-E321)/I321,0),0)</f>
        <v>0</v>
      </c>
      <c r="K321">
        <v>3200.86</v>
      </c>
      <c r="L321">
        <v>3182.4983380276844</v>
      </c>
      <c r="M321">
        <v>18.361661972315687</v>
      </c>
      <c r="N321">
        <v>3667.91</v>
      </c>
      <c r="O321">
        <v>3789.1</v>
      </c>
      <c r="P321">
        <f>O321-N321</f>
        <v>121.19000000000005</v>
      </c>
      <c r="Q321">
        <f>K321*N321</f>
        <v>11740466.4026</v>
      </c>
      <c r="R321">
        <f>L321*O321</f>
        <v>12058804.452620698</v>
      </c>
      <c r="S321">
        <f>R321-Q321</f>
        <v>318338.05002069846</v>
      </c>
      <c r="T321" t="str">
        <f>IF(R321&lt;= Q321,"No Monetizar","Monetizar")</f>
        <v>Monetizar</v>
      </c>
      <c r="V321">
        <v>45986</v>
      </c>
      <c r="W321" t="str">
        <v>Alfonso Fonseca A</v>
      </c>
      <c r="X321" t="str">
        <v>Alfonso Fonseca A</v>
      </c>
      <c r="Y321" t="str">
        <v>Se monetiza ya que el valor ofrecido por el banco en cada divisa es superior al valor facturado</v>
      </c>
      <c r="Z321">
        <f>K321*O321</f>
        <v>12128378.626</v>
      </c>
      <c r="AA321">
        <f>Z321-Q321</f>
        <v>387912.2234000005</v>
      </c>
    </row>
    <row r="322">
      <c r="B322">
        <v>291</v>
      </c>
      <c r="C322" t="str">
        <v>Remofirst</v>
      </c>
      <c r="D322">
        <v>6442</v>
      </c>
      <c r="E322">
        <v>45986</v>
      </c>
      <c r="F322">
        <v>46046</v>
      </c>
      <c r="J322">
        <f>IFERROR(IF(TODAY()&gt;=E322,(TODAY()-E322)/I322,0),0)</f>
        <v>0</v>
      </c>
      <c r="K322">
        <v>11852.4</v>
      </c>
      <c r="L322">
        <v>11852.4</v>
      </c>
      <c r="M322">
        <f>K322-L322</f>
        <v>0</v>
      </c>
      <c r="N322">
        <v>3698.32</v>
      </c>
      <c r="O322">
        <v>3801.3</v>
      </c>
      <c r="P322">
        <f>O322-N322</f>
        <v>102.98000000000002</v>
      </c>
      <c r="Q322">
        <f>K322*N322</f>
        <v>43833967.968</v>
      </c>
      <c r="R322">
        <f>L322*O322</f>
        <v>45054528.12</v>
      </c>
      <c r="S322">
        <f>R322-Q322</f>
        <v>1220560.151999995</v>
      </c>
      <c r="T322" t="str">
        <f>IF(R322&lt;= Q322,"No Monetizar","Monetizar")</f>
        <v>Monetizar</v>
      </c>
      <c r="V322">
        <v>45986</v>
      </c>
      <c r="W322" t="str">
        <v>Alfonso Fonseca A</v>
      </c>
      <c r="X322" t="str">
        <v>Alfonso Fonseca A</v>
      </c>
      <c r="Y322" t="str">
        <v>Se monetiza ya que el valor ofrecido por el banco en cada divisa es superior al valor facturado</v>
      </c>
      <c r="Z322">
        <f>K322*O322</f>
        <v>45054528.12</v>
      </c>
      <c r="AA322">
        <f>Z322-Q322</f>
        <v>1220560.151999995</v>
      </c>
    </row>
    <row r="323">
      <c r="B323">
        <v>292</v>
      </c>
      <c r="C323" t="str">
        <v>Remofirst</v>
      </c>
      <c r="D323" t="str">
        <v>FV-5-100</v>
      </c>
      <c r="E323">
        <v>45986</v>
      </c>
      <c r="F323">
        <v>46046</v>
      </c>
      <c r="J323">
        <f>IFERROR(IF(TODAY()&gt;=E323,(TODAY()-E323)/I323,0),0)</f>
        <v>0</v>
      </c>
      <c r="K323">
        <v>295914.48</v>
      </c>
      <c r="L323">
        <v>295914.48</v>
      </c>
      <c r="M323">
        <f>K323-L323</f>
        <v>0</v>
      </c>
      <c r="N323">
        <v>3698.32</v>
      </c>
      <c r="O323">
        <v>3801.3</v>
      </c>
      <c r="P323">
        <f>O323-N323</f>
        <v>102.98000000000002</v>
      </c>
      <c r="Q323">
        <f>K323*N323</f>
        <v>1094386439.6736</v>
      </c>
      <c r="R323">
        <f>L323*O323</f>
        <v>1124859712.824</v>
      </c>
      <c r="S323">
        <f>R323-Q323</f>
        <v>30473273.150399923</v>
      </c>
      <c r="T323" t="str">
        <f>IF(R323&lt;= Q323,"No Monetizar","Monetizar")</f>
        <v>Monetizar</v>
      </c>
      <c r="V323">
        <v>45986</v>
      </c>
      <c r="W323" t="str">
        <v>Alfonso Fonseca A</v>
      </c>
      <c r="X323" t="str">
        <v>Alfonso Fonseca A</v>
      </c>
      <c r="Y323" t="str">
        <v>Se monetiza ya que el valor ofrecido por el banco en cada divisa es superior al valor facturado</v>
      </c>
      <c r="Z323">
        <f>K323*O323</f>
        <v>1124859712.824</v>
      </c>
      <c r="AA323">
        <f>Z323-Q323</f>
        <v>30473273.150399923</v>
      </c>
    </row>
    <row r="324">
      <c r="B324">
        <v>293</v>
      </c>
      <c r="C324" t="str">
        <v xml:space="preserve">Neo </v>
      </c>
      <c r="D324">
        <v>6457</v>
      </c>
      <c r="E324">
        <v>45987</v>
      </c>
      <c r="F324">
        <v>46047</v>
      </c>
      <c r="J324">
        <f>IFERROR(IF(TODAY()&gt;=E324,(TODAY()-E324)/I324,0),0)</f>
        <v>0</v>
      </c>
      <c r="K324">
        <v>1486.17</v>
      </c>
      <c r="L324">
        <v>1481.651487111804</v>
      </c>
      <c r="M324">
        <f>K324-L324</f>
        <v>4.518512888196028</v>
      </c>
      <c r="N324">
        <v>3727.02</v>
      </c>
      <c r="O324">
        <v>3788</v>
      </c>
      <c r="P324">
        <f>O324-N324</f>
        <v>60.98000000000002</v>
      </c>
      <c r="Q324">
        <f>K324*N324</f>
        <v>5538985.3134</v>
      </c>
      <c r="R324">
        <f>L324*O324</f>
        <v>5612495.833179514</v>
      </c>
      <c r="S324">
        <f>R324-Q324</f>
        <v>73510.51977951359</v>
      </c>
      <c r="T324" t="str">
        <f>IF(R324&lt;= Q324,"No Monetizar","Monetizar")</f>
        <v>Monetizar</v>
      </c>
      <c r="V324">
        <v>45987</v>
      </c>
      <c r="W324" t="str">
        <v>Alfonso Fonseca A</v>
      </c>
      <c r="X324" t="str">
        <v>Alfonso Fonseca A</v>
      </c>
      <c r="Y324" t="str">
        <v>Se monetiza ya que el valor ofrecido por el banco en cada divisa es superior al valor facturado</v>
      </c>
      <c r="Z324">
        <f>K324*O324</f>
        <v>5629611.96</v>
      </c>
      <c r="AA324">
        <f>Z324-Q324</f>
        <v>90626.64659999963</v>
      </c>
    </row>
    <row r="325">
      <c r="B325">
        <v>294</v>
      </c>
      <c r="C325" t="str">
        <v xml:space="preserve">Neo </v>
      </c>
      <c r="D325" t="str">
        <v>FV-5-114</v>
      </c>
      <c r="E325">
        <v>45987</v>
      </c>
      <c r="F325">
        <v>46047</v>
      </c>
      <c r="J325">
        <f>IFERROR(IF(TODAY()&gt;=E325,(TODAY()-E325)/I325,0),0)</f>
        <v>0</v>
      </c>
      <c r="K325">
        <v>18577.15</v>
      </c>
      <c r="L325">
        <v>18520.668512888198</v>
      </c>
      <c r="M325">
        <f>K325-L325</f>
        <v>56.48148711180329</v>
      </c>
      <c r="N325">
        <v>3727.02</v>
      </c>
      <c r="O325">
        <v>3788</v>
      </c>
      <c r="P325">
        <f>O325-N325</f>
        <v>60.98000000000002</v>
      </c>
      <c r="Q325">
        <f>K325*N325</f>
        <v>69237409.59300001</v>
      </c>
      <c r="R325">
        <f>L325*O325</f>
        <v>70156292.3268205</v>
      </c>
      <c r="S325">
        <f>R325-Q325</f>
        <v>918882.7338204831</v>
      </c>
      <c r="T325" t="str">
        <f>IF(R325&lt;= Q325,"No Monetizar","Monetizar")</f>
        <v>Monetizar</v>
      </c>
      <c r="V325">
        <v>45987</v>
      </c>
      <c r="W325" t="str">
        <v>Alfonso Fonseca A</v>
      </c>
      <c r="X325" t="str">
        <v>Alfonso Fonseca A</v>
      </c>
      <c r="Y325" t="str">
        <v>Se monetiza ya que el valor ofrecido por el banco en cada divisa es superior al valor facturado</v>
      </c>
      <c r="Z325">
        <f>K325*O325</f>
        <v>70370244.2</v>
      </c>
      <c r="AA325">
        <f>Z325-Q325</f>
        <v>1132834.6069999933</v>
      </c>
    </row>
    <row r="326">
      <c r="B326">
        <v>295</v>
      </c>
      <c r="C326" t="str">
        <v>Insider</v>
      </c>
      <c r="D326">
        <v>6485</v>
      </c>
      <c r="E326">
        <v>45685</v>
      </c>
      <c r="F326">
        <v>46047</v>
      </c>
      <c r="J326">
        <f>IFERROR(IF(TODAY()&gt;=E326,(TODAY()-E326)/I326,0),0)</f>
        <v>0</v>
      </c>
      <c r="K326">
        <v>5878.6</v>
      </c>
      <c r="L326">
        <f>K326-5</f>
        <v>5873.6</v>
      </c>
      <c r="M326">
        <f>K326-L326</f>
        <v>5</v>
      </c>
      <c r="N326">
        <v>3735.86</v>
      </c>
      <c r="O326">
        <v>3743</v>
      </c>
      <c r="P326">
        <f>O326-N326</f>
        <v>7.139999999999873</v>
      </c>
      <c r="Q326">
        <f>K326*N326</f>
        <v>21961626.596</v>
      </c>
      <c r="R326">
        <f>L326*O326</f>
        <v>21984884.8</v>
      </c>
      <c r="S326">
        <f>R326-Q326</f>
        <v>23258.20399999991</v>
      </c>
      <c r="T326" t="str">
        <f>IF(R326&lt;= Q326,"No Monetizar","Monetizar")</f>
        <v>Monetizar</v>
      </c>
      <c r="V326">
        <v>45989</v>
      </c>
      <c r="W326" t="str">
        <v>Alfonso Fonseca A</v>
      </c>
      <c r="X326" t="str">
        <v>Alfonso Fonseca A</v>
      </c>
      <c r="Y326" t="str">
        <v>Se monetiza ya que el valor ofrecido por el banco en cada divisa es superior al valor facturado</v>
      </c>
      <c r="Z326">
        <f>K326*O326</f>
        <v>22003599.8</v>
      </c>
      <c r="AA326">
        <f>Z326-Q326</f>
        <v>41973.20399999991</v>
      </c>
    </row>
    <row r="327">
      <c r="B327">
        <v>296</v>
      </c>
      <c r="C327" t="str">
        <v>Insider</v>
      </c>
      <c r="D327" t="str">
        <v>FV-5-125</v>
      </c>
      <c r="E327">
        <v>45685</v>
      </c>
      <c r="F327">
        <v>46047</v>
      </c>
      <c r="J327">
        <f>IFERROR(IF(TODAY()&gt;=E327,(TODAY()-E327)/I327,0),0)</f>
        <v>0</v>
      </c>
      <c r="K327">
        <v>137983.74</v>
      </c>
      <c r="L327">
        <f>K327-10</f>
        <v>137973.74</v>
      </c>
      <c r="M327">
        <f>K327-L327</f>
        <v>10</v>
      </c>
      <c r="N327">
        <v>3735.86</v>
      </c>
      <c r="O327">
        <v>3743</v>
      </c>
      <c r="P327">
        <f>O327-N327</f>
        <v>7.139999999999873</v>
      </c>
      <c r="Q327">
        <f>K327*N327</f>
        <v>515487934.91639996</v>
      </c>
      <c r="R327">
        <f>L327*O327</f>
        <v>516435708.82</v>
      </c>
      <c r="S327">
        <f>R327-Q327</f>
        <v>947773.9036000371</v>
      </c>
      <c r="T327" t="str">
        <f>IF(R327&lt;= Q327,"No Monetizar","Monetizar")</f>
        <v>Monetizar</v>
      </c>
      <c r="V327">
        <v>45989</v>
      </c>
      <c r="W327" t="str">
        <v>Alfonso Fonseca A</v>
      </c>
      <c r="X327" t="str">
        <v>Alfonso Fonseca A</v>
      </c>
      <c r="Y327" t="str">
        <v>Se monetiza ya que el valor ofrecido por el banco en cada divisa es superior al valor facturado</v>
      </c>
      <c r="Z327">
        <f>K327*O327</f>
        <v>516473138.82</v>
      </c>
      <c r="AA327">
        <f>Z327-Q327</f>
        <v>985203.9036000371</v>
      </c>
    </row>
    <row r="328">
      <c r="B328">
        <v>297</v>
      </c>
      <c r="C328" t="str">
        <v>Europortage</v>
      </c>
      <c r="D328">
        <v>6453</v>
      </c>
      <c r="E328">
        <v>45987</v>
      </c>
      <c r="F328">
        <v>46047</v>
      </c>
      <c r="J328">
        <f>IFERROR(IF(TODAY()&gt;=E328,(TODAY()-E328)/I328,0),0)</f>
        <v>0</v>
      </c>
      <c r="K328">
        <v>283.41</v>
      </c>
      <c r="L328">
        <v>282.8982781908996</v>
      </c>
      <c r="M328">
        <f>K328-L328</f>
        <v>0.5117218091004361</v>
      </c>
      <c r="N328">
        <v>3663.81</v>
      </c>
      <c r="O328">
        <v>3797</v>
      </c>
      <c r="P328">
        <f>O328-N328</f>
        <v>133.19000000000005</v>
      </c>
      <c r="Q328">
        <f>K328*N328</f>
        <v>1038360.3921</v>
      </c>
      <c r="R328">
        <f>L328*O328</f>
        <v>1074164.7622908456</v>
      </c>
      <c r="S328">
        <f>R328-Q328</f>
        <v>35804.37019084557</v>
      </c>
      <c r="T328" t="str">
        <f>IF(R328&lt;= Q328,"No Monetizar","Monetizar")</f>
        <v>Monetizar</v>
      </c>
      <c r="V328">
        <v>45993</v>
      </c>
      <c r="W328" t="str">
        <v>Alfonso Fonseca A</v>
      </c>
      <c r="X328" t="str">
        <v>Alfonso Fonseca A</v>
      </c>
      <c r="Y328" t="str">
        <v>Se monetiza ya que el valor ofrecido por el banco en cada divisa es superior al valor facturado</v>
      </c>
      <c r="Z328">
        <f>K328*O328</f>
        <v>1076107.77</v>
      </c>
      <c r="AA328">
        <f>Z328-Q328</f>
        <v>37747.37789999996</v>
      </c>
    </row>
    <row r="329">
      <c r="B329">
        <v>298</v>
      </c>
      <c r="C329" t="str">
        <v>Europortage</v>
      </c>
      <c r="D329" t="str">
        <v>FV-5-110</v>
      </c>
      <c r="E329">
        <v>45987</v>
      </c>
      <c r="F329">
        <v>46047</v>
      </c>
      <c r="J329">
        <f>IFERROR(IF(TODAY()&gt;=E329,(TODAY()-E329)/I329,0),0)</f>
        <v>0</v>
      </c>
      <c r="K329">
        <v>5766.14</v>
      </c>
      <c r="L329">
        <v>5755.728724489869</v>
      </c>
      <c r="M329">
        <f>K329-L329</f>
        <v>10.411275510131418</v>
      </c>
      <c r="N329">
        <v>3663.81</v>
      </c>
      <c r="O329">
        <v>3797</v>
      </c>
      <c r="P329">
        <f>O329-N329</f>
        <v>133.19000000000005</v>
      </c>
      <c r="Q329">
        <f>K329*N329</f>
        <v>21126041.393400002</v>
      </c>
      <c r="R329">
        <f>L329*O329</f>
        <v>21854501.966888033</v>
      </c>
      <c r="S329">
        <f>R329-Q329</f>
        <v>728460.5734880306</v>
      </c>
      <c r="T329" t="str">
        <f>IF(R329&lt;= Q329,"No Monetizar","Monetizar")</f>
        <v>Monetizar</v>
      </c>
      <c r="V329">
        <v>45993</v>
      </c>
      <c r="W329" t="str">
        <v>Alfonso Fonseca A</v>
      </c>
      <c r="X329" t="str">
        <v>Alfonso Fonseca A</v>
      </c>
      <c r="Y329" t="str">
        <v>Se monetiza ya que el valor ofrecido por el banco en cada divisa es superior al valor facturado</v>
      </c>
      <c r="Z329">
        <f>K329*O329</f>
        <v>21894033.580000002</v>
      </c>
      <c r="AA329">
        <f>Z329-Q329</f>
        <v>767992.1865999997</v>
      </c>
    </row>
    <row r="330">
      <c r="B330">
        <v>299</v>
      </c>
      <c r="C330" t="str">
        <v>Europortage</v>
      </c>
      <c r="D330">
        <v>6463</v>
      </c>
      <c r="E330">
        <v>45987</v>
      </c>
      <c r="F330">
        <v>46047</v>
      </c>
      <c r="J330">
        <f>IFERROR(IF(TODAY()&gt;=E330,(TODAY()-E330)/I330,0),0)</f>
        <v>0</v>
      </c>
      <c r="K330">
        <v>714</v>
      </c>
      <c r="L330">
        <v>712.7108098807462</v>
      </c>
      <c r="M330">
        <f>K330-L330</f>
        <v>1.289190119253817</v>
      </c>
      <c r="N330">
        <v>3663.81</v>
      </c>
      <c r="O330">
        <v>3797</v>
      </c>
      <c r="P330">
        <f>O330-N330</f>
        <v>133.19000000000005</v>
      </c>
      <c r="Q330">
        <f>K330*N330</f>
        <v>2615960.34</v>
      </c>
      <c r="R330">
        <f>L330*O330</f>
        <v>2706162.9451171933</v>
      </c>
      <c r="S330">
        <f>R330-Q330</f>
        <v>90202.60511719342</v>
      </c>
      <c r="T330" t="str">
        <f>IF(R330&lt;= Q330,"No Monetizar","Monetizar")</f>
        <v>Monetizar</v>
      </c>
      <c r="V330">
        <v>45993</v>
      </c>
      <c r="W330" t="str">
        <v>Alfonso Fonseca A</v>
      </c>
      <c r="X330" t="str">
        <v>Alfonso Fonseca A</v>
      </c>
      <c r="Y330" t="str">
        <v>Se monetiza ya que el valor ofrecido por el banco en cada divisa es superior al valor facturado</v>
      </c>
      <c r="Z330">
        <f>K330*O330</f>
        <v>2711058</v>
      </c>
      <c r="AA330">
        <f>Z330-Q330</f>
        <v>95097.66000000015</v>
      </c>
    </row>
    <row r="331">
      <c r="B331">
        <v>300</v>
      </c>
      <c r="C331" t="str">
        <v>Europortage</v>
      </c>
      <c r="D331" t="str">
        <v>FV-5-120</v>
      </c>
      <c r="E331">
        <v>45987</v>
      </c>
      <c r="F331">
        <v>46047</v>
      </c>
      <c r="J331">
        <f>IFERROR(IF(TODAY()&gt;=E331,(TODAY()-E331)/I331,0),0)</f>
        <v>0</v>
      </c>
      <c r="K331">
        <v>7359.27</v>
      </c>
      <c r="L331">
        <v>7345.982187438487</v>
      </c>
      <c r="M331">
        <f>K331-L331</f>
        <v>13.28781256151342</v>
      </c>
      <c r="N331">
        <v>3663.81</v>
      </c>
      <c r="O331">
        <v>3797</v>
      </c>
      <c r="P331">
        <f>O331-N331</f>
        <v>133.19000000000005</v>
      </c>
      <c r="Q331">
        <f>K331*N331</f>
        <v>26962967.0187</v>
      </c>
      <c r="R331">
        <f>L331*O331</f>
        <v>27892694.365703937</v>
      </c>
      <c r="S331">
        <f>R331-Q331</f>
        <v>929727.3470039368</v>
      </c>
      <c r="T331" t="str">
        <f>IF(R331&lt;= Q331,"No Monetizar","Monetizar")</f>
        <v>Monetizar</v>
      </c>
      <c r="V331">
        <v>45993</v>
      </c>
      <c r="W331" t="str">
        <v>Alfonso Fonseca A</v>
      </c>
      <c r="X331" t="str">
        <v>Alfonso Fonseca A</v>
      </c>
      <c r="Y331" t="str">
        <v>Se monetiza ya que el valor ofrecido por el banco en cada divisa es superior al valor facturado</v>
      </c>
      <c r="Z331">
        <f>K331*O331</f>
        <v>27943148.19</v>
      </c>
      <c r="AA331">
        <f>Z331-Q331</f>
        <v>980181.1713000014</v>
      </c>
    </row>
    <row r="332">
      <c r="B332">
        <v>301</v>
      </c>
      <c r="C332" t="str">
        <v>Hemmebarsch GMBH &amp; Co KG</v>
      </c>
      <c r="D332">
        <v>6348</v>
      </c>
      <c r="E332">
        <v>45987</v>
      </c>
      <c r="F332">
        <v>46047</v>
      </c>
      <c r="J332">
        <f>IFERROR(IF(TODAY()&gt;=E332,(TODAY()-E332)/I332,0),0)</f>
        <v>0</v>
      </c>
      <c r="K332">
        <v>212.82</v>
      </c>
      <c r="L332">
        <v>212.82</v>
      </c>
      <c r="M332">
        <f>K332-L332</f>
        <v>0</v>
      </c>
      <c r="N332">
        <v>3763.41</v>
      </c>
      <c r="O332">
        <v>3797</v>
      </c>
      <c r="P332">
        <f>O332-N332</f>
        <v>33.590000000000146</v>
      </c>
      <c r="Q332">
        <f>K332*N332</f>
        <v>800928.9162</v>
      </c>
      <c r="R332">
        <f>L332*O332</f>
        <v>808077.5399999999</v>
      </c>
      <c r="S332">
        <f>R332-Q332</f>
        <v>7148.623799999943</v>
      </c>
      <c r="T332" t="str">
        <f>IF(R332&lt;= Q332,"No Monetizar","Monetizar")</f>
        <v>Monetizar</v>
      </c>
      <c r="V332">
        <v>45993</v>
      </c>
      <c r="W332" t="str">
        <v>Alfonso Fonseca A</v>
      </c>
      <c r="X332" t="str">
        <v>Alfonso Fonseca A</v>
      </c>
      <c r="Y332" t="str">
        <v>Se monetiza ya que el valor ofrecido por el banco en cada divisa es superior al valor facturado</v>
      </c>
      <c r="Z332">
        <f>K332*O332</f>
        <v>808077.5399999999</v>
      </c>
      <c r="AA332">
        <f>Z332-Q332</f>
        <v>7148.623799999943</v>
      </c>
    </row>
    <row r="333">
      <c r="B333">
        <v>302</v>
      </c>
      <c r="C333" t="str">
        <v>Hemmebarsch GMBH &amp; Co KG</v>
      </c>
      <c r="D333" t="str">
        <v>FV-5-71</v>
      </c>
      <c r="E333">
        <v>45987</v>
      </c>
      <c r="F333">
        <v>46047</v>
      </c>
      <c r="J333">
        <f>IFERROR(IF(TODAY()&gt;=E333,(TODAY()-E333)/I333,0),0)</f>
        <v>0</v>
      </c>
      <c r="K333">
        <v>2128.2</v>
      </c>
      <c r="L333">
        <v>2128.2</v>
      </c>
      <c r="M333">
        <f>K333-L333</f>
        <v>0</v>
      </c>
      <c r="N333">
        <v>3763.41</v>
      </c>
      <c r="O333">
        <v>3797</v>
      </c>
      <c r="P333">
        <f>O333-N333</f>
        <v>33.590000000000146</v>
      </c>
      <c r="Q333">
        <f>K333*N333</f>
        <v>8009289.161999999</v>
      </c>
      <c r="R333">
        <f>L333*O333</f>
        <v>8080775.399999999</v>
      </c>
      <c r="S333">
        <f>R333-Q333</f>
        <v>71486.23800000083</v>
      </c>
      <c r="T333" t="str">
        <f>IF(R333&lt;= Q333,"No Monetizar","Monetizar")</f>
        <v>Monetizar</v>
      </c>
      <c r="V333">
        <v>45993</v>
      </c>
      <c r="W333" t="str">
        <v>Alfonso Fonseca A</v>
      </c>
      <c r="X333" t="str">
        <v>Alfonso Fonseca A</v>
      </c>
      <c r="Y333" t="str">
        <v>Se monetiza ya que el valor ofrecido por el banco en cada divisa es superior al valor facturado</v>
      </c>
      <c r="Z333">
        <f>K333*O333</f>
        <v>8080775.399999999</v>
      </c>
      <c r="AA333">
        <f>Z333-Q333</f>
        <v>71486.23800000083</v>
      </c>
    </row>
    <row r="334">
      <c r="B334">
        <v>303</v>
      </c>
      <c r="C334" t="str">
        <v>Hong kong yonyou xinfushe cloud technology co</v>
      </c>
      <c r="D334">
        <v>6449</v>
      </c>
      <c r="E334">
        <v>45989</v>
      </c>
      <c r="F334">
        <v>46047</v>
      </c>
      <c r="J334">
        <f>IFERROR(IF(TODAY()&gt;=E334,(TODAY()-E334)/I334,0),0)</f>
        <v>0</v>
      </c>
      <c r="K334">
        <v>749.7</v>
      </c>
      <c r="L334">
        <v>749.8</v>
      </c>
      <c r="M334">
        <f>K334-L334</f>
        <v>-0.09999999999990905</v>
      </c>
      <c r="N334">
        <v>3682.4</v>
      </c>
      <c r="O334">
        <v>3797</v>
      </c>
      <c r="P334">
        <f>O334-N334</f>
        <v>114.59999999999991</v>
      </c>
      <c r="Q334">
        <f>K334*N334</f>
        <v>2760695.2800000003</v>
      </c>
      <c r="R334">
        <f>L334*O334</f>
        <v>2846990.5999999996</v>
      </c>
      <c r="S334">
        <f>R334-Q334</f>
        <v>86295.31999999937</v>
      </c>
      <c r="T334" t="str">
        <f>IF(R334&lt;= Q334,"No Monetizar","Monetizar")</f>
        <v>Monetizar</v>
      </c>
      <c r="V334">
        <v>45993</v>
      </c>
      <c r="W334" t="str">
        <v>Alfonso Fonseca A</v>
      </c>
      <c r="X334" t="str">
        <v>Alfonso Fonseca A</v>
      </c>
      <c r="Y334" t="str">
        <v>Se monetiza ya que el valor ofrecido por el banco en cada divisa es superior al valor facturado</v>
      </c>
      <c r="Z334">
        <f>K334*O334</f>
        <v>2846610.9000000004</v>
      </c>
      <c r="AA334">
        <f>Z334-Q334</f>
        <v>85915.62000000011</v>
      </c>
    </row>
    <row r="335">
      <c r="B335">
        <v>304</v>
      </c>
      <c r="C335" t="str">
        <v>Hong kong yonyou xinfushe cloud technology co</v>
      </c>
      <c r="D335" t="str">
        <v>FV-5-106</v>
      </c>
      <c r="E335">
        <v>45989</v>
      </c>
      <c r="F335">
        <v>46047</v>
      </c>
      <c r="J335">
        <f>IFERROR(IF(TODAY()&gt;=E335,(TODAY()-E335)/I335,0),0)</f>
        <v>0</v>
      </c>
      <c r="K335">
        <v>16075.42</v>
      </c>
      <c r="L335">
        <v>16075.42</v>
      </c>
      <c r="M335">
        <f>K335-L335</f>
        <v>0</v>
      </c>
      <c r="N335">
        <v>3682.4</v>
      </c>
      <c r="O335">
        <v>3797</v>
      </c>
      <c r="P335">
        <f>O335-N335</f>
        <v>114.59999999999991</v>
      </c>
      <c r="Q335">
        <f>K335*N335</f>
        <v>59196126.608</v>
      </c>
      <c r="R335">
        <f>L335*O335</f>
        <v>61038369.74</v>
      </c>
      <c r="S335">
        <f>R335-Q335</f>
        <v>1842243.1319999993</v>
      </c>
      <c r="T335" t="str">
        <f>IF(R335&lt;= Q335,"No Monetizar","Monetizar")</f>
        <v>Monetizar</v>
      </c>
      <c r="V335">
        <v>45993</v>
      </c>
      <c r="W335" t="str">
        <v>Alfonso Fonseca A</v>
      </c>
      <c r="X335" t="str">
        <v>Alfonso Fonseca A</v>
      </c>
      <c r="Y335" t="str">
        <v>Se monetiza ya que el valor ofrecido por el banco en cada divisa es superior al valor facturado</v>
      </c>
      <c r="Z335">
        <f>K335*O335</f>
        <v>61038369.74</v>
      </c>
      <c r="AA335">
        <f>Z335-Q335</f>
        <v>1842243.1319999993</v>
      </c>
    </row>
    <row r="336">
      <c r="B336">
        <v>305</v>
      </c>
      <c r="C336" t="str">
        <v>Bubble BPM</v>
      </c>
      <c r="D336">
        <v>6451</v>
      </c>
      <c r="E336">
        <v>45989</v>
      </c>
      <c r="F336">
        <v>46049</v>
      </c>
      <c r="J336">
        <f>IFERROR(IF(TODAY()&gt;=E336,(TODAY()-E336)/I336,0),0)</f>
        <v>0</v>
      </c>
      <c r="K336">
        <v>120.34</v>
      </c>
      <c r="L336">
        <v>117.36692909495183</v>
      </c>
      <c r="M336">
        <f>K336-L336</f>
        <v>2.973070905048175</v>
      </c>
      <c r="N336">
        <v>3663.81</v>
      </c>
      <c r="O336">
        <v>3797</v>
      </c>
      <c r="P336">
        <f>O336-N336</f>
        <v>133.19000000000005</v>
      </c>
      <c r="Q336">
        <f>K336*N336</f>
        <v>440902.8954</v>
      </c>
      <c r="R336">
        <f>L336*O336</f>
        <v>445642.2297735321</v>
      </c>
      <c r="S336">
        <f>R336-Q336</f>
        <v>4739.334373532096</v>
      </c>
      <c r="T336" t="str">
        <f>IF(R336&lt;= Q336,"No Monetizar","Monetizar")</f>
        <v>Monetizar</v>
      </c>
      <c r="V336">
        <v>45993</v>
      </c>
      <c r="W336" t="str">
        <v>Alfonso Fonseca A</v>
      </c>
      <c r="X336" t="str">
        <v>Alfonso Fonseca A</v>
      </c>
      <c r="Y336" t="str">
        <v>Se monetiza ya que el valor ofrecido por el banco en cada divisa es superior al valor facturado</v>
      </c>
      <c r="Z336">
        <f>K336*O336</f>
        <v>456930.98000000004</v>
      </c>
      <c r="AA336">
        <f>Z336-Q336</f>
        <v>16028.08460000006</v>
      </c>
    </row>
    <row r="337">
      <c r="B337">
        <v>306</v>
      </c>
      <c r="C337" t="str">
        <v>Bubble BPM</v>
      </c>
      <c r="D337" t="str">
        <v>FV-5-106</v>
      </c>
      <c r="E337">
        <v>45989</v>
      </c>
      <c r="F337">
        <v>46049</v>
      </c>
      <c r="J337">
        <f>IFERROR(IF(TODAY()&gt;=E337,(TODAY()-E337)/I337,0),0)</f>
        <v>0</v>
      </c>
      <c r="K337">
        <v>1093.96</v>
      </c>
      <c r="L337">
        <v>1066.9330709050482</v>
      </c>
      <c r="M337">
        <f>K337-L337</f>
        <v>27.02692909495181</v>
      </c>
      <c r="N337">
        <v>3663.81</v>
      </c>
      <c r="O337">
        <v>3797</v>
      </c>
      <c r="P337">
        <f>O337-N337</f>
        <v>133.19000000000005</v>
      </c>
      <c r="Q337">
        <f>K337*N337</f>
        <v>4008061.5876</v>
      </c>
      <c r="R337">
        <f>L337*O337</f>
        <v>4051144.870226468</v>
      </c>
      <c r="S337">
        <f>R337-Q337</f>
        <v>43083.28262646776</v>
      </c>
      <c r="T337" t="str">
        <f>IF(R337&lt;= Q337,"No Monetizar","Monetizar")</f>
        <v>Monetizar</v>
      </c>
      <c r="V337">
        <v>45993</v>
      </c>
      <c r="W337" t="str">
        <v>Alfonso Fonseca A</v>
      </c>
      <c r="X337" t="str">
        <v>Alfonso Fonseca A</v>
      </c>
      <c r="Y337" t="str">
        <v>Se monetiza ya que el valor ofrecido por el banco en cada divisa es superior al valor facturado</v>
      </c>
      <c r="Z337">
        <f>K337*O337</f>
        <v>4153766.12</v>
      </c>
      <c r="AA337">
        <f>Z337-Q337</f>
        <v>145704.5323999999</v>
      </c>
    </row>
    <row r="338">
      <c r="B338">
        <v>307</v>
      </c>
      <c r="C338" t="str">
        <v>Remofisrt</v>
      </c>
      <c r="D338" t="str">
        <v>FV-4-6404</v>
      </c>
      <c r="E338">
        <v>45989</v>
      </c>
      <c r="F338">
        <v>46049</v>
      </c>
      <c r="J338">
        <f>IFERROR(IF(TODAY()&gt;=E338,(TODAY()-E338)/I338,0),0)</f>
        <v>0</v>
      </c>
      <c r="K338">
        <v>428.4</v>
      </c>
      <c r="L338">
        <v>428.4</v>
      </c>
      <c r="M338">
        <f>K338-L338</f>
        <v>0</v>
      </c>
      <c r="N338">
        <v>3751.51</v>
      </c>
      <c r="O338">
        <v>3797</v>
      </c>
      <c r="P338">
        <f>O338-N338</f>
        <v>45.48999999999978</v>
      </c>
      <c r="Q338">
        <f>K338*N338</f>
        <v>1607146.884</v>
      </c>
      <c r="R338">
        <f>L338*O338</f>
        <v>1626634.7999999998</v>
      </c>
      <c r="S338">
        <f>R338-Q338</f>
        <v>19487.915999999736</v>
      </c>
      <c r="T338" t="str">
        <f>IF(R338&lt;= Q338,"No Monetizar","Monetizar")</f>
        <v>Monetizar</v>
      </c>
      <c r="V338">
        <v>45993</v>
      </c>
      <c r="W338" t="str">
        <v>Alfonso Fonseca A</v>
      </c>
      <c r="X338" t="str">
        <v>Alfonso Fonseca A</v>
      </c>
      <c r="Y338" t="str">
        <v>Se monetiza ya que el valor ofrecido por el banco en cada divisa es superior al valor facturado</v>
      </c>
      <c r="Z338">
        <f>K338*O338</f>
        <v>1626634.7999999998</v>
      </c>
      <c r="AA338">
        <f>Z338-Q338</f>
        <v>19487.915999999736</v>
      </c>
    </row>
    <row r="339">
      <c r="B339">
        <v>308</v>
      </c>
      <c r="C339" t="str">
        <v>Remofisrt</v>
      </c>
      <c r="D339" t="str">
        <v>FV-5-96</v>
      </c>
      <c r="E339">
        <v>45989</v>
      </c>
      <c r="F339">
        <v>46049</v>
      </c>
      <c r="J339">
        <f>IFERROR(IF(TODAY()&gt;=E339,(TODAY()-E339)/I339,0),0)</f>
        <v>0</v>
      </c>
      <c r="K339">
        <v>3154.02</v>
      </c>
      <c r="L339">
        <v>3154.02</v>
      </c>
      <c r="M339">
        <f>K339-L339</f>
        <v>0</v>
      </c>
      <c r="N339">
        <v>3751.51</v>
      </c>
      <c r="O339">
        <v>3797</v>
      </c>
      <c r="P339">
        <f>O339-N339</f>
        <v>45.48999999999978</v>
      </c>
      <c r="Q339">
        <f>K339*N339</f>
        <v>11832337.5702</v>
      </c>
      <c r="R339">
        <f>L339*O339</f>
        <v>11975813.94</v>
      </c>
      <c r="S339">
        <f>R339-Q339</f>
        <v>143476.36979999952</v>
      </c>
      <c r="T339" t="str">
        <f>IF(R339&lt;= Q339,"No Monetizar","Monetizar")</f>
        <v>Monetizar</v>
      </c>
      <c r="V339">
        <v>45993</v>
      </c>
      <c r="W339" t="str">
        <v>Alfonso Fonseca A</v>
      </c>
      <c r="X339" t="str">
        <v>Alfonso Fonseca A</v>
      </c>
      <c r="Y339" t="str">
        <v>Se monetiza ya que el valor ofrecido por el banco en cada divisa es superior al valor facturado</v>
      </c>
      <c r="Z339">
        <f>K339*O339</f>
        <v>11975813.94</v>
      </c>
      <c r="AA339">
        <f>Z339-Q339</f>
        <v>143476.36979999952</v>
      </c>
    </row>
    <row r="340" xml:space="preserve">
      <c r="B340">
        <v>309</v>
      </c>
      <c r="C340" t="str">
        <v>Safeguard World International Limited</v>
      </c>
      <c r="D340">
        <v>6158</v>
      </c>
      <c r="E340">
        <v>45936</v>
      </c>
      <c r="F340">
        <v>45996</v>
      </c>
      <c r="J340">
        <f>IFERROR(IF(TODAY()&gt;=E340,(TODAY()-E340)/I340,0),0)</f>
        <v>0</v>
      </c>
      <c r="K340">
        <v>2280</v>
      </c>
      <c r="L340">
        <v>2280</v>
      </c>
      <c r="M340">
        <f>K340-L340</f>
        <v>0</v>
      </c>
      <c r="N340">
        <v>4061.36</v>
      </c>
      <c r="O340">
        <v>3776</v>
      </c>
      <c r="P340">
        <f>O340-N340</f>
        <v>-285.3600000000001</v>
      </c>
      <c r="Q340">
        <f>K340*N340</f>
        <v>9259900.8</v>
      </c>
      <c r="R340">
        <f>L340*O340</f>
        <v>8609280</v>
      </c>
      <c r="S340">
        <f>R340-Q340</f>
        <v>-650620.8000000007</v>
      </c>
      <c r="T340" t="str">
        <f>IF(R340&lt;= Q340,"No Monetizar","Monetizar")</f>
        <v>No Monetizar</v>
      </c>
      <c r="V340">
        <v>45994</v>
      </c>
      <c r="W340" t="str">
        <v>Alfonso Fonseca A</v>
      </c>
      <c r="X340" t="str">
        <v>Alfonso Fonseca A</v>
      </c>
      <c r="Y340" t="str" xml:space="preserve">
        <v xml:space="preserve">Se ha decidido monetizar estas divisas a pesar de que el valor recibido está por debajo del monto facturado, considerando que la fecha límite para su devolución vencía el viernes 05 de diciembre y ese día no laboramos por motivo de despedida de año. _x000d_
_x000d_
Adicionalmente, al momento del cobro, fue  $ 4.061,32 . el dinero llego el 10 de octubre y de  ese tiempo la divisa no ha llegado a esos valores facturados _x000d_
_x000d_
</v>
      </c>
      <c r="Z340">
        <f>K340*O340</f>
        <v>8609280</v>
      </c>
      <c r="AA340">
        <f>Z340-Q340</f>
        <v>-650620.8000000007</v>
      </c>
    </row>
    <row r="341">
      <c r="B341">
        <v>310</v>
      </c>
      <c r="C341" t="str">
        <v>Endrington</v>
      </c>
      <c r="D341">
        <v>6363</v>
      </c>
      <c r="E341">
        <v>45960</v>
      </c>
      <c r="F341">
        <v>46020</v>
      </c>
      <c r="J341">
        <f>IFERROR(IF(TODAY()&gt;=E341,(TODAY()-E341)/I341,0),0)</f>
        <v>0</v>
      </c>
      <c r="K341">
        <f>597.71-16.62</f>
        <v>581.09</v>
      </c>
      <c r="L341">
        <f>597.71-16.62</f>
        <v>581.09</v>
      </c>
      <c r="M341">
        <f>K341-L341</f>
        <v>0</v>
      </c>
      <c r="N341">
        <v>3834.98</v>
      </c>
      <c r="O341">
        <v>3847.06</v>
      </c>
      <c r="P341">
        <f>O341-N341</f>
        <v>12.079999999999927</v>
      </c>
      <c r="Q341">
        <f>K341*N341</f>
        <v>2228468.5282</v>
      </c>
      <c r="R341">
        <f>L341*O341</f>
        <v>2235488.0954</v>
      </c>
      <c r="S341">
        <f>R341-Q341</f>
        <v>7019.567199999932</v>
      </c>
      <c r="T341" t="str">
        <f>IF(R341&lt;= Q341,"No Monetizar","Monetizar")</f>
        <v>Monetizar</v>
      </c>
      <c r="V341">
        <v>46000</v>
      </c>
      <c r="W341" t="str">
        <v>Alfonso Fonseca A</v>
      </c>
      <c r="X341" t="str">
        <v>Alfonso Fonseca A</v>
      </c>
      <c r="Y341" t="str">
        <v>Se monetiza ya que el valor ofrecido por el banco en cada divisa es superior al valor facturado</v>
      </c>
      <c r="Z341">
        <f>K341*O341</f>
        <v>2235488.0954</v>
      </c>
      <c r="AA341">
        <f>Z341-Q341</f>
        <v>7019.567199999932</v>
      </c>
    </row>
    <row r="342">
      <c r="B342">
        <v>311</v>
      </c>
      <c r="C342" t="str">
        <v>Endrington</v>
      </c>
      <c r="D342" t="str">
        <v>FV-5-84</v>
      </c>
      <c r="E342">
        <v>45960</v>
      </c>
      <c r="F342">
        <v>46020</v>
      </c>
      <c r="J342">
        <f>IFERROR(IF(TODAY()&gt;=E342,(TODAY()-E342)/I342,0),0)</f>
        <v>0</v>
      </c>
      <c r="K342">
        <v>10565.04</v>
      </c>
      <c r="L342">
        <v>10565.04</v>
      </c>
      <c r="M342">
        <f>K342-L342</f>
        <v>0</v>
      </c>
      <c r="N342">
        <v>3834.98</v>
      </c>
      <c r="O342">
        <v>3847.06</v>
      </c>
      <c r="P342">
        <f>O342-N342</f>
        <v>12.079999999999927</v>
      </c>
      <c r="Q342">
        <f>K342*N342</f>
        <v>40516717.0992</v>
      </c>
      <c r="R342">
        <f>L342*O342</f>
        <v>40644342.782400005</v>
      </c>
      <c r="S342">
        <f>R342-Q342</f>
        <v>127625.68320000172</v>
      </c>
      <c r="T342" t="str">
        <f>IF(R342&lt;= Q342,"No Monetizar","Monetizar")</f>
        <v>Monetizar</v>
      </c>
      <c r="V342">
        <v>46000</v>
      </c>
      <c r="W342" t="str">
        <v>Alfonso Fonseca A</v>
      </c>
      <c r="X342" t="str">
        <v>Alfonso Fonseca A</v>
      </c>
      <c r="Y342" t="str">
        <v>Se monetiza ya que el valor ofrecido por el banco en cada divisa es superior al valor facturado</v>
      </c>
      <c r="Z342">
        <f>K342*O342</f>
        <v>40644342.782400005</v>
      </c>
      <c r="AA342">
        <f>Z342-Q342</f>
        <v>127625.68320000172</v>
      </c>
    </row>
    <row r="343" xml:space="preserve">
      <c r="B343">
        <v>312</v>
      </c>
      <c r="C343" t="str">
        <v>Safeguard World International Limited X identificar</v>
      </c>
      <c r="D343" t="str">
        <v>PI</v>
      </c>
      <c r="E343">
        <v>45947</v>
      </c>
      <c r="F343">
        <v>46007</v>
      </c>
      <c r="J343">
        <f>IFERROR(IF(TODAY()&gt;=E343,(TODAY()-E343)/I343,0),0)</f>
        <v>0</v>
      </c>
      <c r="K343">
        <v>900</v>
      </c>
      <c r="L343">
        <v>900</v>
      </c>
      <c r="M343">
        <f>K343-L343</f>
        <v>0</v>
      </c>
      <c r="N343">
        <v>3847</v>
      </c>
      <c r="O343">
        <v>3847</v>
      </c>
      <c r="P343">
        <f>O343-N343</f>
        <v>0</v>
      </c>
      <c r="Q343">
        <f>K343*N343</f>
        <v>3462300</v>
      </c>
      <c r="R343">
        <f>L343*O343</f>
        <v>3462300</v>
      </c>
      <c r="S343">
        <f>R343-Q343</f>
        <v>0</v>
      </c>
      <c r="T343" t="str">
        <f>IF(R343&lt;= Q343,"No Monetizar","Monetizar")</f>
        <v>No Monetizar</v>
      </c>
      <c r="V343">
        <v>46000</v>
      </c>
      <c r="W343" t="str">
        <v>Alfonso Fonseca A</v>
      </c>
      <c r="X343" t="str">
        <v>Alfonso Fonseca A</v>
      </c>
      <c r="Y343" t="str" xml:space="preserve">
        <v xml:space="preserve">Se ha decidido monetizar estas divisa considerando que la fecha límite para su devolución vence el viernes 16 de diciembre . a la fecha no se ha podido identificar a que factura corresponde este pago pero se ingresa ya que durante mes y medio hoy 09 de diciembre la tasa supero los 3,830 _x000d_
_x000d_
</v>
      </c>
      <c r="Z343">
        <f>K343*O343</f>
        <v>3462300</v>
      </c>
      <c r="AA343">
        <f>Z343-Q343</f>
        <v>0</v>
      </c>
    </row>
    <row r="344" xml:space="preserve">
      <c r="B344">
        <v>313</v>
      </c>
      <c r="C344" t="str">
        <v>Oncehub</v>
      </c>
      <c r="D344" t="str">
        <v>FV-5-131</v>
      </c>
      <c r="E344">
        <v>46002</v>
      </c>
      <c r="F344">
        <v>46062</v>
      </c>
      <c r="J344">
        <f>IFERROR(IF(TODAY()&gt;=E344,(TODAY()-E344)/I344,0),0)</f>
        <v>0</v>
      </c>
      <c r="K344">
        <v>1341.98</v>
      </c>
      <c r="L344">
        <v>1321.98</v>
      </c>
      <c r="M344">
        <f>K344-L344</f>
        <v>20</v>
      </c>
      <c r="N344">
        <v>3754.92</v>
      </c>
      <c r="O344">
        <v>3804</v>
      </c>
      <c r="P344">
        <f>O344-N344</f>
        <v>49.07999999999993</v>
      </c>
      <c r="Q344">
        <f>K344*N344</f>
        <v>5039027.5416</v>
      </c>
      <c r="R344">
        <f>L344*O344</f>
        <v>5028811.92</v>
      </c>
      <c r="S344">
        <f>R344-Q344</f>
        <v>-10215.621600000188</v>
      </c>
      <c r="T344" t="str">
        <f>IF(R344&lt;= Q344,"No Monetizar","Monetizar")</f>
        <v>No Monetizar</v>
      </c>
      <c r="V344">
        <v>46006</v>
      </c>
      <c r="W344" t="str">
        <v>Alfonso Fonseca A</v>
      </c>
      <c r="X344" t="str">
        <v>Alfonso Fonseca A</v>
      </c>
      <c r="Y344" t="str" xml:space="preserve">
        <v xml:space="preserve">Se ha decidido monetizar estas divisa ya que el valor facturado versus el monetización tiene una diferencia muy pequeña de $ 10,215,92 que corresponde a 0,20% , estos recursos se requieren para realizar el pago de primas de S&amp;P y EOR_x000d_
</v>
      </c>
      <c r="Z344">
        <f>K344*O344</f>
        <v>5104891.92</v>
      </c>
      <c r="AA344">
        <f>Z344-Q344</f>
        <v>65864.37839999981</v>
      </c>
    </row>
    <row r="345">
      <c r="B345">
        <v>314</v>
      </c>
      <c r="C345" t="str">
        <v>Marketing Doctors</v>
      </c>
      <c r="D345">
        <v>6521</v>
      </c>
      <c r="E345">
        <v>46006</v>
      </c>
      <c r="F345">
        <v>46067</v>
      </c>
      <c r="J345">
        <f>IFERROR(IF(TODAY()&gt;=E345,(TODAY()-E345)/I345,0),0)</f>
        <v>0</v>
      </c>
      <c r="K345">
        <v>169.74</v>
      </c>
      <c r="L345">
        <v>169.74</v>
      </c>
      <c r="M345">
        <f>K345-L345</f>
        <v>0</v>
      </c>
      <c r="N345">
        <v>3772.88</v>
      </c>
      <c r="O345">
        <v>3804.45</v>
      </c>
      <c r="P345">
        <f>O345-N345</f>
        <v>31.56999999999971</v>
      </c>
      <c r="Q345">
        <f>K345*N345</f>
        <v>640408.6512000001</v>
      </c>
      <c r="R345">
        <f>L345*O345</f>
        <v>645767.343</v>
      </c>
      <c r="S345">
        <f>R345-Q345</f>
        <v>5358.691799999913</v>
      </c>
      <c r="T345" t="str">
        <f>IF(R345&lt;= Q345,"No Monetizar","Monetizar")</f>
        <v>Monetizar</v>
      </c>
      <c r="V345">
        <v>46006</v>
      </c>
      <c r="W345" t="str">
        <v>Alfonso Fonseca A</v>
      </c>
      <c r="X345" t="str">
        <v>Alfonso Fonseca A</v>
      </c>
      <c r="Y345" t="str">
        <v>Se monetiza ya que el valor ofrecido por el banco en cada divisa es superior al valor facturado</v>
      </c>
      <c r="Z345">
        <f>K345*O345</f>
        <v>645767.343</v>
      </c>
      <c r="AA345">
        <f>Z345-Q345</f>
        <v>5358.691799999913</v>
      </c>
    </row>
    <row r="346">
      <c r="B346">
        <v>315</v>
      </c>
      <c r="C346" t="str">
        <v>Marketing Doctors</v>
      </c>
      <c r="D346" t="str">
        <v>FV-5-134</v>
      </c>
      <c r="E346">
        <v>46006</v>
      </c>
      <c r="F346">
        <v>46067</v>
      </c>
      <c r="J346">
        <f>IFERROR(IF(TODAY()&gt;=E346,(TODAY()-E346)/I346,0),0)</f>
        <v>0</v>
      </c>
      <c r="K346">
        <v>1543.05</v>
      </c>
      <c r="L346">
        <v>1543.05</v>
      </c>
      <c r="M346">
        <f>K346-L346</f>
        <v>0</v>
      </c>
      <c r="N346">
        <v>3772.88</v>
      </c>
      <c r="O346">
        <v>3804.45</v>
      </c>
      <c r="P346">
        <f>O346-N346</f>
        <v>31.56999999999971</v>
      </c>
      <c r="Q346">
        <f>K346*N346</f>
        <v>5821742.484</v>
      </c>
      <c r="R346">
        <f>L346*O346</f>
        <v>5870456.5725</v>
      </c>
      <c r="S346">
        <f>R346-Q346</f>
        <v>48714.088499999605</v>
      </c>
      <c r="T346" t="str">
        <f>IF(R346&lt;= Q346,"No Monetizar","Monetizar")</f>
        <v>Monetizar</v>
      </c>
      <c r="V346">
        <v>46006</v>
      </c>
      <c r="W346" t="str">
        <v>Alfonso Fonseca A</v>
      </c>
      <c r="X346" t="str">
        <v>Alfonso Fonseca A</v>
      </c>
      <c r="Y346" t="str">
        <v>Se monetiza ya que el valor ofrecido por el banco en cada divisa es superior al valor facturado</v>
      </c>
      <c r="Z346">
        <f>K346*O346</f>
        <v>5870456.5725</v>
      </c>
      <c r="AA346">
        <f>Z346-Q346</f>
        <v>48714.088499999605</v>
      </c>
    </row>
    <row r="347" xml:space="preserve">
      <c r="B347">
        <v>316</v>
      </c>
      <c r="C347" t="str">
        <v>Global Project</v>
      </c>
      <c r="D347">
        <v>6268</v>
      </c>
      <c r="E347">
        <v>45952</v>
      </c>
      <c r="F347">
        <v>46012</v>
      </c>
      <c r="J347">
        <f>IFERROR(IF(TODAY()&gt;=E347,(TODAY()-E347)/I347,0),0)</f>
        <v>0</v>
      </c>
      <c r="K347">
        <v>650</v>
      </c>
      <c r="L347">
        <v>645</v>
      </c>
      <c r="M347">
        <f>K347-L347</f>
        <v>5</v>
      </c>
      <c r="N347">
        <v>4116.94</v>
      </c>
      <c r="O347">
        <v>3806.41</v>
      </c>
      <c r="P347">
        <f>O347-N347</f>
        <v>-310.52999999999975</v>
      </c>
      <c r="Q347">
        <f>K347*N347</f>
        <v>2676010.9999999995</v>
      </c>
      <c r="R347">
        <f>L347*O347</f>
        <v>2455134.4499999997</v>
      </c>
      <c r="S347">
        <f>R347-Q347</f>
        <v>-220876.5499999998</v>
      </c>
      <c r="T347" t="str">
        <f>IF(R347&lt;= Q347,"No Monetizar","Monetizar")</f>
        <v>No Monetizar</v>
      </c>
      <c r="V347">
        <v>46006</v>
      </c>
      <c r="W347" t="str">
        <v>Alfonso Fonseca A</v>
      </c>
      <c r="X347" t="str">
        <v>Alfonso Fonseca A</v>
      </c>
      <c r="Y347" t="str" xml:space="preserve">
        <v xml:space="preserve">Se ha decidido monetizar estas divisa ya que la tasa con la que se uso al momento de facturar  nunca volvio a llegar a ese rango y  desde octubre 22 que llego el dinero la trm se ha ubicado por debajo del rango de 3,800 hasta 3,700. Adicional se requiere el dinero para el pago de las primas para EOR y S&amp;P y su vencimiento para que esta divisa se devuelva al cliente vence el proximo lunes 22 de diciembre_x000d_
</v>
      </c>
      <c r="Z347">
        <f>K347*O347</f>
        <v>2474166.5</v>
      </c>
      <c r="AA347">
        <f>Z347-Q347</f>
        <v>-201844.49999999953</v>
      </c>
    </row>
    <row r="348" xml:space="preserve">
      <c r="B348">
        <v>317</v>
      </c>
      <c r="C348" t="str">
        <v>Deel</v>
      </c>
      <c r="D348" t="str">
        <v>6333-6414-6418</v>
      </c>
      <c r="E348">
        <v>45989</v>
      </c>
      <c r="F348">
        <v>46048</v>
      </c>
      <c r="J348">
        <f>IFERROR(IF(TODAY()&gt;=E348,(TODAY()-E348)/I348,0),0)</f>
        <v>0</v>
      </c>
      <c r="K348">
        <v>8982.49</v>
      </c>
      <c r="L348">
        <v>8982.49</v>
      </c>
      <c r="M348">
        <f>K348-L348</f>
        <v>0</v>
      </c>
      <c r="N348">
        <v>3901.29</v>
      </c>
      <c r="O348">
        <v>3806.41</v>
      </c>
      <c r="P348">
        <f>O348-N348</f>
        <v>-94.88000000000011</v>
      </c>
      <c r="Q348">
        <f>K348*N348</f>
        <v>35043298.4121</v>
      </c>
      <c r="R348">
        <f>L348*O348</f>
        <v>34191039.7609</v>
      </c>
      <c r="S348">
        <f>R348-Q348</f>
        <v>-852258.6512000039</v>
      </c>
      <c r="T348" t="str">
        <f>IF(R348&lt;= Q348,"No Monetizar","Monetizar")</f>
        <v>No Monetizar</v>
      </c>
      <c r="V348">
        <v>46006</v>
      </c>
      <c r="W348" t="str">
        <v>Alfonso Fonseca A</v>
      </c>
      <c r="X348" t="str">
        <v>Alfonso Fonseca A</v>
      </c>
      <c r="Y348" t="str" xml:space="preserve">
        <v xml:space="preserve">A la fecha no se ha podido identificar a que factura corresponde este pago pero se ingresa ya que se requiere dinero para el pago de primas de S&amp;P y EOR , esta operación la autorizo Eduard Forero _x000d_
_x000d_
</v>
      </c>
      <c r="Z348">
        <f>K348*O348</f>
        <v>34191039.7609</v>
      </c>
      <c r="AA348">
        <f>Z348-Q348</f>
        <v>-852258.6512000039</v>
      </c>
    </row>
    <row r="349" xml:space="preserve">
      <c r="B349">
        <v>318</v>
      </c>
      <c r="C349" t="str">
        <v>Deel</v>
      </c>
      <c r="D349" t="str">
        <v>6320-6321-6322-6323-6324-6326-6327-6328</v>
      </c>
      <c r="E349">
        <v>45989</v>
      </c>
      <c r="F349">
        <v>46048</v>
      </c>
      <c r="J349">
        <f>IFERROR(IF(TODAY()&gt;=E349,(TODAY()-E349)/I349,0),0)</f>
        <v>0</v>
      </c>
      <c r="K349">
        <v>8576.2</v>
      </c>
      <c r="L349">
        <v>8586.2</v>
      </c>
      <c r="M349">
        <f>L349-K349</f>
        <v>10</v>
      </c>
      <c r="N349">
        <v>3901.29</v>
      </c>
      <c r="O349">
        <v>3806.41</v>
      </c>
      <c r="P349">
        <f>O349-N349</f>
        <v>-94.88000000000011</v>
      </c>
      <c r="Q349">
        <f>K349*N349</f>
        <v>33458243.298000004</v>
      </c>
      <c r="R349">
        <f>L349*O349</f>
        <v>32682597.542000003</v>
      </c>
      <c r="S349">
        <f>R349-Q349</f>
        <v>-775645.756000001</v>
      </c>
      <c r="T349" t="str">
        <f>IF(R349&lt;= Q349,"No Monetizar","Monetizar")</f>
        <v>No Monetizar</v>
      </c>
      <c r="V349">
        <v>46006</v>
      </c>
      <c r="W349" t="str">
        <v>Alfonso Fonseca A</v>
      </c>
      <c r="X349" t="str">
        <v>Alfonso Fonseca A</v>
      </c>
      <c r="Y349" t="str" xml:space="preserve">
        <v xml:space="preserve">A la fecha no se ha podido identificar a que factura corresponde este pago pero se ingresa ya que se requiere dinero para el pago de primas de S&amp;P y EOR , esta operación la autorizo Eduard Forero _x000d_
_x000d_
</v>
      </c>
      <c r="Z349">
        <f>K349*O349</f>
        <v>32644533.442</v>
      </c>
      <c r="AA349">
        <f>Z349-Q349</f>
        <v>-813709.8560000025</v>
      </c>
    </row>
    <row r="350" xml:space="preserve">
      <c r="B350">
        <v>319</v>
      </c>
      <c r="C350" t="str">
        <v>Deel</v>
      </c>
      <c r="D350" t="str">
        <v>6405-6406</v>
      </c>
      <c r="E350">
        <v>45989</v>
      </c>
      <c r="F350">
        <v>46048</v>
      </c>
      <c r="J350">
        <f>IFERROR(IF(TODAY()&gt;=E350,(TODAY()-E350)/I350,0),0)</f>
        <v>0</v>
      </c>
      <c r="K350">
        <v>4116.28</v>
      </c>
      <c r="L350">
        <v>4106.28</v>
      </c>
      <c r="M350">
        <f>K350-L350</f>
        <v>10</v>
      </c>
      <c r="N350">
        <v>3870.42</v>
      </c>
      <c r="O350">
        <v>3806.41</v>
      </c>
      <c r="P350">
        <f>O350-N350</f>
        <v>-64.01000000000022</v>
      </c>
      <c r="Q350">
        <f>K350*N350</f>
        <v>15931732.4376</v>
      </c>
      <c r="R350">
        <f>L350*O350</f>
        <v>15630185.2548</v>
      </c>
      <c r="S350">
        <f>R350-Q350</f>
        <v>-301547.18280000053</v>
      </c>
      <c r="T350" t="str">
        <f>IF(R350&lt;= Q350,"No Monetizar","Monetizar")</f>
        <v>No Monetizar</v>
      </c>
      <c r="V350">
        <v>46006</v>
      </c>
      <c r="W350" t="str">
        <v>Alfonso Fonseca A</v>
      </c>
      <c r="X350" t="str">
        <v>Alfonso Fonseca A</v>
      </c>
      <c r="Y350" t="str" xml:space="preserve">
        <v xml:space="preserve">A la fecha no se ha podido identificar a que factura corresponde este pago pero se ingresa ya que se requiere dinero para el pago de primas de S&amp;P y EOR , esta operación la autorizo Eduard Forero _x000d_
_x000d_
</v>
      </c>
      <c r="Z350">
        <f>K350*O350</f>
        <v>15668249.354799999</v>
      </c>
      <c r="AA350">
        <f>Z350-Q350</f>
        <v>-263483.0828000009</v>
      </c>
    </row>
    <row r="351" xml:space="preserve">
      <c r="B351">
        <v>320</v>
      </c>
      <c r="C351" t="str">
        <v>Deel</v>
      </c>
      <c r="D351" t="str">
        <v>6329-6330-6331-6332</v>
      </c>
      <c r="E351">
        <v>45989</v>
      </c>
      <c r="F351">
        <v>46048</v>
      </c>
      <c r="J351">
        <f>IFERROR(IF(TODAY()&gt;=E351,(TODAY()-E351)/I351,0),0)</f>
        <v>0</v>
      </c>
      <c r="K351">
        <v>2070</v>
      </c>
      <c r="L351">
        <v>2070</v>
      </c>
      <c r="M351">
        <f>K351-L351</f>
        <v>0</v>
      </c>
      <c r="N351">
        <v>3901.29</v>
      </c>
      <c r="O351">
        <v>3806.41</v>
      </c>
      <c r="P351">
        <f>O351-N351</f>
        <v>-94.88000000000011</v>
      </c>
      <c r="Q351">
        <f>K351*N351</f>
        <v>8075670.3</v>
      </c>
      <c r="R351">
        <f>L351*O351</f>
        <v>7879268.699999999</v>
      </c>
      <c r="S351">
        <f>R351-Q351</f>
        <v>-196401.60000000056</v>
      </c>
      <c r="T351" t="str">
        <f>IF(R351&lt;= Q351,"No Monetizar","Monetizar")</f>
        <v>No Monetizar</v>
      </c>
      <c r="V351">
        <v>46006</v>
      </c>
      <c r="W351" t="str">
        <v>Alfonso Fonseca A</v>
      </c>
      <c r="X351" t="str">
        <v>Alfonso Fonseca A</v>
      </c>
      <c r="Y351" t="str" xml:space="preserve">
        <v xml:space="preserve">A la fecha no se ha podido identificar a que factura corresponde este pago pero se ingresa ya que se requiere dinero para el pago de primas de S&amp;P y EOR , esta operación la autorizo Eduard Forero _x000d_
_x000d_
</v>
      </c>
      <c r="Z351">
        <f>K351*O351</f>
        <v>7879268.699999999</v>
      </c>
      <c r="AA351">
        <f>Z351-Q351</f>
        <v>-196401.60000000056</v>
      </c>
    </row>
    <row r="352">
      <c r="B352">
        <v>321</v>
      </c>
      <c r="C352" t="str">
        <v>Solutions &amp; Payroll SAS</v>
      </c>
      <c r="D352" t="str">
        <v>Sucursales</v>
      </c>
      <c r="E352">
        <v>46007</v>
      </c>
      <c r="F352">
        <v>46066</v>
      </c>
      <c r="J352">
        <f>IFERROR(IF(TODAY()&gt;=E352,(TODAY()-E352)/I352,0),0)</f>
        <v>0</v>
      </c>
      <c r="K352">
        <v>48000</v>
      </c>
      <c r="L352">
        <v>48000</v>
      </c>
      <c r="M352">
        <f>K352-L352</f>
        <v>0</v>
      </c>
      <c r="N352">
        <v>3831.66</v>
      </c>
      <c r="O352">
        <v>3831.66</v>
      </c>
      <c r="P352">
        <f>O352-N352</f>
        <v>0</v>
      </c>
      <c r="Q352">
        <f>K352*N352</f>
        <v>183919680</v>
      </c>
      <c r="R352">
        <f>L352*O352</f>
        <v>183919680</v>
      </c>
      <c r="S352">
        <f>R352-Q352</f>
        <v>0</v>
      </c>
      <c r="T352" t="str">
        <f>IF(R352&lt;= Q352,"No Monetizar","Monetizar")</f>
        <v>No Monetizar</v>
      </c>
      <c r="V352">
        <v>46007</v>
      </c>
      <c r="W352" t="str">
        <v>Alfonso Fonseca A</v>
      </c>
      <c r="X352" t="str">
        <v>Alfonso Fonseca A</v>
      </c>
      <c r="Y352" t="str">
        <v>Se ingresa este dinero que corresponde alas divisas que se trajeron de Panamá para completar el pago de la prima de EOR y S&amp;P</v>
      </c>
      <c r="Z352">
        <f>K352*O352</f>
        <v>183919680</v>
      </c>
      <c r="AA352">
        <f>Z352-Q352</f>
        <v>0</v>
      </c>
    </row>
    <row r="353">
      <c r="B353">
        <v>322</v>
      </c>
      <c r="C353" t="str">
        <v>Insider</v>
      </c>
      <c r="D353" t="str">
        <v>FV-5-134</v>
      </c>
      <c r="E353">
        <v>46010</v>
      </c>
      <c r="F353">
        <v>46070</v>
      </c>
      <c r="J353">
        <f>IFERROR(IF(TODAY()&gt;=E353,(TODAY()-E353)/I353,0),0)</f>
        <v>0</v>
      </c>
      <c r="K353">
        <v>38059.98</v>
      </c>
      <c r="L353">
        <v>38044.98</v>
      </c>
      <c r="M353">
        <f>K353-L353</f>
        <v>15</v>
      </c>
      <c r="N353">
        <v>3798.5</v>
      </c>
      <c r="O353">
        <v>3798</v>
      </c>
      <c r="P353">
        <f>O353-N353</f>
        <v>-0.5</v>
      </c>
      <c r="Q353">
        <f>K353*N353</f>
        <v>144570834.03</v>
      </c>
      <c r="R353">
        <f>L353*O353</f>
        <v>144494834.04000002</v>
      </c>
      <c r="S353">
        <f>R353-Q353</f>
        <v>-75999.98999997973</v>
      </c>
      <c r="T353" t="str">
        <f>IF(R353&lt;= Q353,"No Monetizar","Monetizar")</f>
        <v>No Monetizar</v>
      </c>
      <c r="V353">
        <v>46010</v>
      </c>
      <c r="W353" t="str">
        <v>Alfonso Fonseca A</v>
      </c>
      <c r="X353" t="str">
        <v>Alfonso Fonseca A</v>
      </c>
      <c r="Y353" t="str">
        <v>Se ingresa este dinero con una diferencia de 75,999,99 de perdida. Se requeria para el pago de las primas del cliente insider cuyo vencimiento legal es 19 de diciembre y no da espera a que la tasa mejore mas tarde u otro día</v>
      </c>
      <c r="Z353">
        <f>K353*O353</f>
        <v>144551804.04000002</v>
      </c>
      <c r="AA353">
        <f>Z353-Q353</f>
        <v>-19029.989999979734</v>
      </c>
    </row>
    <row r="354">
      <c r="B354">
        <v>323</v>
      </c>
      <c r="C354" t="str">
        <v>Remofirst</v>
      </c>
      <c r="D354">
        <v>6506</v>
      </c>
      <c r="E354">
        <v>46009</v>
      </c>
      <c r="F354">
        <v>46069</v>
      </c>
      <c r="J354">
        <f>IFERROR(IF(TODAY()&gt;=E354,(TODAY()-E354)/I354,0),0)</f>
        <v>0</v>
      </c>
      <c r="K354">
        <v>12423.6</v>
      </c>
      <c r="L354">
        <v>12423.6</v>
      </c>
      <c r="M354">
        <f>K354-L354</f>
        <v>0</v>
      </c>
      <c r="N354">
        <v>3743.01</v>
      </c>
      <c r="O354">
        <v>3759.01</v>
      </c>
      <c r="P354">
        <f>O354-N354</f>
        <v>16</v>
      </c>
      <c r="Q354">
        <f>K354*N354</f>
        <v>46501659.036000006</v>
      </c>
      <c r="R354">
        <f>L354*O354</f>
        <v>46700436.63600001</v>
      </c>
      <c r="S354">
        <f>R354-Q354</f>
        <v>198777.6000000015</v>
      </c>
      <c r="T354" t="str">
        <f>IF(R354&lt;= Q354,"No Monetizar","Monetizar")</f>
        <v>Monetizar</v>
      </c>
      <c r="V354">
        <v>46010</v>
      </c>
      <c r="W354" t="str">
        <v>Alfonso Fonseca A</v>
      </c>
      <c r="X354" t="str">
        <v>Alfonso Fonseca A</v>
      </c>
      <c r="Y354" t="str">
        <v>Se monetiza ya que el valor ofrecido por el banco en cada divisa es superior al valor facturado</v>
      </c>
      <c r="Z354">
        <f>K354*O354</f>
        <v>46700436.63600001</v>
      </c>
      <c r="AA354">
        <f>Z354-Q354</f>
        <v>198777.6000000015</v>
      </c>
    </row>
    <row r="355">
      <c r="B355">
        <v>324</v>
      </c>
      <c r="C355" t="str">
        <v>Remofirst</v>
      </c>
      <c r="D355" t="str">
        <v>FV-5-129</v>
      </c>
      <c r="E355">
        <v>46009</v>
      </c>
      <c r="F355">
        <v>46069</v>
      </c>
      <c r="J355">
        <f>IFERROR(IF(TODAY()&gt;=E355,(TODAY()-E355)/I355,0),0)</f>
        <v>0</v>
      </c>
      <c r="K355">
        <v>312007.49</v>
      </c>
      <c r="L355">
        <v>312007.49</v>
      </c>
      <c r="M355">
        <f>K355-L355</f>
        <v>0</v>
      </c>
      <c r="N355">
        <v>3743.01</v>
      </c>
      <c r="O355">
        <v>3759.01</v>
      </c>
      <c r="P355">
        <f>O355-N355</f>
        <v>16</v>
      </c>
      <c r="Q355">
        <f>K355*N355</f>
        <v>1167847155.1449</v>
      </c>
      <c r="R355">
        <f>L355*O355</f>
        <v>1172839274.9849</v>
      </c>
      <c r="S355">
        <f>R355-Q355</f>
        <v>4992119.839999914</v>
      </c>
      <c r="T355" t="str">
        <f>IF(R355&lt;= Q355,"No Monetizar","Monetizar")</f>
        <v>Monetizar</v>
      </c>
      <c r="V355">
        <v>46010</v>
      </c>
      <c r="W355" t="str">
        <v>Alfonso Fonseca A</v>
      </c>
      <c r="X355" t="str">
        <v>Alfonso Fonseca A</v>
      </c>
      <c r="Y355" t="str">
        <v>Se monetiza ya que el valor ofrecido por el banco en cada divisa es superior al valor facturado</v>
      </c>
      <c r="Z355">
        <f>K355*O355</f>
        <v>1172839274.9849</v>
      </c>
      <c r="AA355">
        <f>Z355-Q355</f>
        <v>4992119.839999914</v>
      </c>
    </row>
    <row r="356">
      <c r="B356">
        <v>325</v>
      </c>
      <c r="C356" t="str">
        <v>Equus Global Expansion, LLC</v>
      </c>
      <c r="D356">
        <v>6524</v>
      </c>
      <c r="E356">
        <v>46007</v>
      </c>
      <c r="F356">
        <v>46067</v>
      </c>
      <c r="J356">
        <f>IFERROR(IF(TODAY()&gt;=E356,(TODAY()-E356)/I356,0),0)</f>
        <v>0</v>
      </c>
      <c r="K356">
        <v>178.5</v>
      </c>
      <c r="L356">
        <v>178.5</v>
      </c>
      <c r="M356">
        <f>K356-L356</f>
        <v>0</v>
      </c>
      <c r="N356">
        <v>3753.83</v>
      </c>
      <c r="O356">
        <v>3788.5</v>
      </c>
      <c r="P356">
        <f>O356-N356</f>
        <v>34.67000000000007</v>
      </c>
      <c r="Q356">
        <f>K356*N356</f>
        <v>670058.655</v>
      </c>
      <c r="R356">
        <f>L356*O356</f>
        <v>676247.25</v>
      </c>
      <c r="S356">
        <f>R356-Q356</f>
        <v>6188.594999999972</v>
      </c>
      <c r="T356" t="str">
        <f>IF(R356&lt;= Q356,"No Monetizar","Monetizar")</f>
        <v>Monetizar</v>
      </c>
      <c r="V356">
        <v>46010</v>
      </c>
      <c r="W356" t="str">
        <v>Alfonso Fonseca A</v>
      </c>
      <c r="X356" t="str">
        <v>Alfonso Fonseca A</v>
      </c>
      <c r="Y356" t="str">
        <v>Se monetiza ya que el valor ofrecido por el banco en cada divisa es superior al valor facturado</v>
      </c>
      <c r="Z356">
        <f>K356*O356</f>
        <v>676247.25</v>
      </c>
      <c r="AA356">
        <f>Z356-Q356</f>
        <v>6188.594999999972</v>
      </c>
    </row>
    <row r="357">
      <c r="B357">
        <v>326</v>
      </c>
      <c r="C357" t="str">
        <v>Equus Global Expansion, LLC</v>
      </c>
      <c r="D357" t="str">
        <v>FV-5-137</v>
      </c>
      <c r="E357">
        <v>46007</v>
      </c>
      <c r="F357">
        <v>46067</v>
      </c>
      <c r="J357">
        <f>IFERROR(IF(TODAY()&gt;=E357,(TODAY()-E357)/I357,0),0)</f>
        <v>0</v>
      </c>
      <c r="K357">
        <v>1564.75</v>
      </c>
      <c r="L357">
        <v>1564.75</v>
      </c>
      <c r="M357">
        <f>K357-L357</f>
        <v>0</v>
      </c>
      <c r="N357">
        <v>3753.83</v>
      </c>
      <c r="O357">
        <v>3788.5</v>
      </c>
      <c r="P357">
        <f>O357-N357</f>
        <v>34.67000000000007</v>
      </c>
      <c r="Q357">
        <f>K357*N357</f>
        <v>5873805.4925</v>
      </c>
      <c r="R357">
        <f>L357*O357</f>
        <v>5928055.375</v>
      </c>
      <c r="S357">
        <f>R357-Q357</f>
        <v>54249.8825000003</v>
      </c>
      <c r="T357" t="str">
        <f>IF(R357&lt;= Q357,"No Monetizar","Monetizar")</f>
        <v>Monetizar</v>
      </c>
      <c r="V357">
        <v>46010</v>
      </c>
      <c r="W357" t="str">
        <v>Alfonso Fonseca A</v>
      </c>
      <c r="X357" t="str">
        <v>Alfonso Fonseca A</v>
      </c>
      <c r="Y357" t="str">
        <v>Se monetiza ya que el valor ofrecido por el banco en cada divisa es superior al valor facturado</v>
      </c>
      <c r="Z357">
        <f>K357*O357</f>
        <v>5928055.375</v>
      </c>
      <c r="AA357">
        <f>Z357-Q357</f>
        <v>54249.8825000003</v>
      </c>
    </row>
    <row r="358">
      <c r="B358">
        <v>327</v>
      </c>
      <c r="C358" t="str">
        <v>Endrington</v>
      </c>
      <c r="D358">
        <v>6527</v>
      </c>
      <c r="E358">
        <v>46009</v>
      </c>
      <c r="F358">
        <v>46069</v>
      </c>
      <c r="J358">
        <f>IFERROR(IF(TODAY()&gt;=E358,(TODAY()-E358)/I358,0),0)</f>
        <v>0</v>
      </c>
      <c r="K358">
        <v>428.1</v>
      </c>
      <c r="L358">
        <v>428.1</v>
      </c>
      <c r="M358">
        <f>K358-L358</f>
        <v>0</v>
      </c>
      <c r="N358">
        <v>3772.88</v>
      </c>
      <c r="O358">
        <v>3788</v>
      </c>
      <c r="P358">
        <f>O358-N358</f>
        <v>15.11999999999989</v>
      </c>
      <c r="Q358">
        <f>K358*N358</f>
        <v>1615169.928</v>
      </c>
      <c r="R358">
        <f>L358*O358</f>
        <v>1621642.8</v>
      </c>
      <c r="S358">
        <f>R358-Q358</f>
        <v>6472.871999999974</v>
      </c>
      <c r="T358" t="str">
        <f>IF(R358&lt;= Q358,"No Monetizar","Monetizar")</f>
        <v>Monetizar</v>
      </c>
      <c r="V358">
        <v>46010</v>
      </c>
      <c r="W358" t="str">
        <v>Alfonso Fonseca A</v>
      </c>
      <c r="X358" t="str">
        <v>Alfonso Fonseca A</v>
      </c>
      <c r="Y358" t="str">
        <v>Se monetiza ya que el valor ofrecido por el banco en cada divisa es superior al valor facturado</v>
      </c>
      <c r="Z358">
        <f>K358*O358</f>
        <v>1621642.8</v>
      </c>
      <c r="AA358">
        <f>Z358-Q358</f>
        <v>6472.871999999974</v>
      </c>
    </row>
    <row r="359">
      <c r="B359">
        <v>328</v>
      </c>
      <c r="C359" t="str">
        <v>Endrington</v>
      </c>
      <c r="D359" t="str">
        <v>FV-5-139</v>
      </c>
      <c r="E359">
        <v>46009</v>
      </c>
      <c r="F359">
        <v>46069</v>
      </c>
      <c r="J359">
        <f>IFERROR(IF(TODAY()&gt;=E359,(TODAY()-E359)/I359,0),0)</f>
        <v>0</v>
      </c>
      <c r="K359">
        <v>7783.65</v>
      </c>
      <c r="L359">
        <v>7783.65</v>
      </c>
      <c r="M359">
        <f>K359-L359</f>
        <v>0</v>
      </c>
      <c r="N359">
        <v>3772.88</v>
      </c>
      <c r="O359">
        <v>3788</v>
      </c>
      <c r="P359">
        <f>O359-N359</f>
        <v>15.11999999999989</v>
      </c>
      <c r="Q359">
        <f>K359*N359</f>
        <v>29366777.412</v>
      </c>
      <c r="R359">
        <f>L359*O359</f>
        <v>29484466.2</v>
      </c>
      <c r="S359">
        <f>R359-Q359</f>
        <v>117688.78799999878</v>
      </c>
      <c r="T359" t="str">
        <f>IF(R359&lt;= Q359,"No Monetizar","Monetizar")</f>
        <v>Monetizar</v>
      </c>
      <c r="V359">
        <v>46010</v>
      </c>
      <c r="W359" t="str">
        <v>Alfonso Fonseca A</v>
      </c>
      <c r="X359" t="str">
        <v>Alfonso Fonseca A</v>
      </c>
      <c r="Y359" t="str">
        <v>Se monetiza ya que el valor ofrecido por el banco en cada divisa es superior al valor facturado</v>
      </c>
      <c r="Z359">
        <f>K359*O359</f>
        <v>29484466.2</v>
      </c>
      <c r="AA359">
        <f>Z359-Q359</f>
        <v>117688.78799999878</v>
      </c>
    </row>
    <row r="360">
      <c r="B360">
        <v>329</v>
      </c>
      <c r="C360" t="str">
        <v>Remofirst</v>
      </c>
      <c r="D360">
        <v>6535</v>
      </c>
      <c r="E360">
        <v>46009</v>
      </c>
      <c r="F360">
        <v>46069</v>
      </c>
      <c r="J360">
        <f>IFERROR(IF(TODAY()&gt;=E360,(TODAY()-E360)/I360,0),0)</f>
        <v>0</v>
      </c>
      <c r="K360">
        <v>285.6</v>
      </c>
      <c r="L360">
        <v>303.55547871819897</v>
      </c>
      <c r="M360">
        <f>K360-L360</f>
        <v>-17.955478718198947</v>
      </c>
      <c r="N360">
        <v>3743.01</v>
      </c>
      <c r="O360">
        <v>3771.5</v>
      </c>
      <c r="P360">
        <f>O360-N360</f>
        <v>28.48999999999978</v>
      </c>
      <c r="Q360">
        <f>K360*N360</f>
        <v>1069003.6560000002</v>
      </c>
      <c r="R360">
        <f>L360*O360</f>
        <v>1144859.4879856873</v>
      </c>
      <c r="S360">
        <f>R360-Q360</f>
        <v>75855.83198568714</v>
      </c>
      <c r="T360" t="str">
        <f>IF(R360&lt;= Q360,"No Monetizar","Monetizar")</f>
        <v>Monetizar</v>
      </c>
      <c r="V360">
        <v>46010</v>
      </c>
      <c r="W360" t="str">
        <v>Alfonso Fonseca A</v>
      </c>
      <c r="X360" t="str">
        <v>Alfonso Fonseca A</v>
      </c>
      <c r="Y360" t="str">
        <v>Se monetiza ya que el valor ofrecido por el banco en cada divisa es superior al valor facturado</v>
      </c>
      <c r="Z360">
        <f>K360*O360</f>
        <v>1077140.4000000001</v>
      </c>
      <c r="AA360">
        <f>Z360-Q360</f>
        <v>8136.743999999948</v>
      </c>
    </row>
    <row r="361">
      <c r="B361">
        <v>330</v>
      </c>
      <c r="C361" t="str">
        <v>Remofirst</v>
      </c>
      <c r="D361" t="str">
        <v>FV-5-150</v>
      </c>
      <c r="E361">
        <v>46009</v>
      </c>
      <c r="F361">
        <v>46069</v>
      </c>
      <c r="J361">
        <f>IFERROR(IF(TODAY()&gt;=E361,(TODAY()-E361)/I361,0),0)</f>
        <v>0</v>
      </c>
      <c r="K361">
        <v>7685.06</v>
      </c>
      <c r="L361">
        <v>8168.214521281801</v>
      </c>
      <c r="M361">
        <f>K361-L361</f>
        <v>-483.15452128180095</v>
      </c>
      <c r="N361">
        <v>3743.01</v>
      </c>
      <c r="O361">
        <v>3771.5</v>
      </c>
      <c r="P361">
        <f>O361-N361</f>
        <v>28.48999999999978</v>
      </c>
      <c r="Q361">
        <f>K361*N361</f>
        <v>28765256.430600002</v>
      </c>
      <c r="R361">
        <f>L361*O361</f>
        <v>30806421.067014314</v>
      </c>
      <c r="S361">
        <f>R361-Q361</f>
        <v>2041164.6364143118</v>
      </c>
      <c r="T361" t="str">
        <f>IF(R361&lt;= Q361,"No Monetizar","Monetizar")</f>
        <v>Monetizar</v>
      </c>
      <c r="V361">
        <v>46010</v>
      </c>
      <c r="W361" t="str">
        <v>Alfonso Fonseca A</v>
      </c>
      <c r="X361" t="str">
        <v>Alfonso Fonseca A</v>
      </c>
      <c r="Y361" t="str">
        <v>Se monetiza ya que el valor ofrecido por el banco en cada divisa es superior al valor facturado</v>
      </c>
      <c r="Z361">
        <f>K361*O361</f>
        <v>28984203.790000003</v>
      </c>
      <c r="AA361">
        <f>Z361-Q361</f>
        <v>218947.35940000042</v>
      </c>
    </row>
    <row r="362">
      <c r="B362">
        <v>331</v>
      </c>
      <c r="C362" t="str">
        <v>Europortage</v>
      </c>
      <c r="D362">
        <v>6225</v>
      </c>
      <c r="E362">
        <v>46013</v>
      </c>
      <c r="F362">
        <v>46073</v>
      </c>
      <c r="J362">
        <f>IFERROR(IF(TODAY()&gt;=E362,(TODAY()-E362)/I362,0),0)</f>
        <v>0</v>
      </c>
      <c r="K362">
        <v>825.96</v>
      </c>
      <c r="L362">
        <v>825.4089867567588</v>
      </c>
      <c r="M362">
        <f>K362-L362</f>
        <v>0.5510132432411865</v>
      </c>
      <c r="N362">
        <v>3753.83</v>
      </c>
      <c r="O362">
        <v>3767.36</v>
      </c>
      <c r="P362">
        <f>O362-N362</f>
        <v>13.5300000000002</v>
      </c>
      <c r="Q362">
        <f>K362*N362</f>
        <v>3100513.4268</v>
      </c>
      <c r="R362">
        <f>L362*O362</f>
        <v>3109612.8003479433</v>
      </c>
      <c r="S362">
        <f>R362-Q362</f>
        <v>9099.373547943309</v>
      </c>
      <c r="T362" t="str">
        <f>IF(R362&lt;= Q362,"No Monetizar","Monetizar")</f>
        <v>Monetizar</v>
      </c>
      <c r="V362">
        <v>46014</v>
      </c>
      <c r="W362" t="str">
        <v>Alfonso Fonseca A</v>
      </c>
      <c r="X362" t="str">
        <v>Alfonso Fonseca A</v>
      </c>
      <c r="Y362" t="str">
        <v>Se monetiza ya que el valor ofrecido por el banco en cada divisa es superior al valor facturado</v>
      </c>
      <c r="Z362">
        <f>K362*O362</f>
        <v>3111688.6656000004</v>
      </c>
      <c r="AA362">
        <f>Z362-Q362</f>
        <v>11175.2388000004</v>
      </c>
    </row>
    <row r="363">
      <c r="B363">
        <v>332</v>
      </c>
      <c r="C363" t="str">
        <v>Europortage</v>
      </c>
      <c r="D363" t="str">
        <v>FV-5-138</v>
      </c>
      <c r="E363">
        <v>46013</v>
      </c>
      <c r="F363">
        <v>46073</v>
      </c>
      <c r="J363">
        <f>IFERROR(IF(TODAY()&gt;=E363,(TODAY()-E363)/I363,0),0)</f>
        <v>0</v>
      </c>
      <c r="K363">
        <v>14103.92</v>
      </c>
      <c r="L363">
        <v>14094.51101324324</v>
      </c>
      <c r="M363">
        <f>K363-L363</f>
        <v>9.408986756759987</v>
      </c>
      <c r="N363">
        <v>3753.83</v>
      </c>
      <c r="O363">
        <v>3767.36</v>
      </c>
      <c r="P363">
        <f>O363-N363</f>
        <v>13.5300000000002</v>
      </c>
      <c r="Q363">
        <f>K363*N363</f>
        <v>52943718.0136</v>
      </c>
      <c r="R363">
        <f>L363*O363</f>
        <v>53099097.010852054</v>
      </c>
      <c r="S363">
        <f>R363-Q363</f>
        <v>155378.9972520545</v>
      </c>
      <c r="T363" t="str">
        <f>IF(R363&lt;= Q363,"No Monetizar","Monetizar")</f>
        <v>Monetizar</v>
      </c>
      <c r="V363">
        <v>46014</v>
      </c>
      <c r="W363" t="str">
        <v>Alfonso Fonseca A</v>
      </c>
      <c r="X363" t="str">
        <v>Alfonso Fonseca A</v>
      </c>
      <c r="Y363" t="str">
        <v>Se monetiza ya que el valor ofrecido por el banco en cada divisa es superior al valor facturado</v>
      </c>
      <c r="Z363">
        <f>K363*O363</f>
        <v>53134544.0512</v>
      </c>
      <c r="AA363">
        <f>Z363-Q363</f>
        <v>190826.03760000318</v>
      </c>
    </row>
    <row r="364" xml:space="preserve">
      <c r="B364">
        <v>333</v>
      </c>
      <c r="C364" t="str">
        <v>Flexco</v>
      </c>
      <c r="D364">
        <v>6558</v>
      </c>
      <c r="E364">
        <v>46010</v>
      </c>
      <c r="F364">
        <v>46070</v>
      </c>
      <c r="J364">
        <f>IFERROR(IF(TODAY()&gt;=E364,(TODAY()-E364)/I364,0),0)</f>
        <v>0</v>
      </c>
      <c r="K364">
        <v>596.29</v>
      </c>
      <c r="L364">
        <v>595.464315991786</v>
      </c>
      <c r="M364">
        <f>K364-L364</f>
        <v>0.8256840082140116</v>
      </c>
      <c r="N364">
        <v>3828.1</v>
      </c>
      <c r="O364">
        <v>3745</v>
      </c>
      <c r="P364">
        <f>O364-N364</f>
        <v>-83.09999999999991</v>
      </c>
      <c r="Q364">
        <f>K364*N364</f>
        <v>2282657.749</v>
      </c>
      <c r="R364">
        <f>L364*O364</f>
        <v>2230013.8633892382</v>
      </c>
      <c r="S364">
        <f>R364-Q364</f>
        <v>-52643.88561076159</v>
      </c>
      <c r="T364" t="str">
        <f>IF(R364&lt;= Q364,"No Monetizar","Monetizar")</f>
        <v>No Monetizar</v>
      </c>
      <c r="V364">
        <v>46014</v>
      </c>
      <c r="W364" t="str">
        <v>Alfonso Fonseca A</v>
      </c>
      <c r="X364" t="str">
        <v>Alfonso Fonseca A</v>
      </c>
      <c r="Y364" t="str" xml:space="preserve">
        <v xml:space="preserve">El ingreso de estos recursos se realiza con una diferencia del 2,17%,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4">
        <f>K364*O364</f>
        <v>2233106.05</v>
      </c>
      <c r="AA364">
        <f>Z364-Q364</f>
        <v>-49551.69900000002</v>
      </c>
    </row>
    <row r="365" xml:space="preserve">
      <c r="B365">
        <v>334</v>
      </c>
      <c r="C365" t="str">
        <v>Flexco</v>
      </c>
      <c r="D365" t="str">
        <v>FV-5-150</v>
      </c>
      <c r="E365">
        <v>46010</v>
      </c>
      <c r="F365">
        <v>46070</v>
      </c>
      <c r="J365">
        <f>IFERROR(IF(TODAY()&gt;=E365,(TODAY()-E365)/I365,0),0)</f>
        <v>0</v>
      </c>
      <c r="K365">
        <v>6625.48</v>
      </c>
      <c r="L365">
        <v>6616.3056840082145</v>
      </c>
      <c r="M365">
        <f>K365-L365</f>
        <v>9.174315991785079</v>
      </c>
      <c r="N365">
        <v>3828.1</v>
      </c>
      <c r="O365">
        <v>3745</v>
      </c>
      <c r="P365">
        <f>O365-N365</f>
        <v>-83.09999999999991</v>
      </c>
      <c r="Q365">
        <f>K365*N365</f>
        <v>25362999.987999998</v>
      </c>
      <c r="R365">
        <f>L365*O365</f>
        <v>24778064.786610764</v>
      </c>
      <c r="S365">
        <f>R365-Q365</f>
        <v>-584935.2013892345</v>
      </c>
      <c r="T365" t="str">
        <f>IF(R365&lt;= Q365,"No Monetizar","Monetizar")</f>
        <v>No Monetizar</v>
      </c>
      <c r="V365">
        <v>46014</v>
      </c>
      <c r="W365" t="str">
        <v>Alfonso Fonseca A</v>
      </c>
      <c r="X365" t="str">
        <v>Alfonso Fonseca A</v>
      </c>
      <c r="Y365" t="str" xml:space="preserve">
        <v xml:space="preserve">El ingreso de estos recursos se realiza con una diferencia del 2,17%,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5">
        <f>K365*O365</f>
        <v>24812422.599999998</v>
      </c>
      <c r="AA365">
        <f>Z365-Q365</f>
        <v>-550577.3880000003</v>
      </c>
    </row>
    <row r="366" xml:space="preserve">
      <c r="B366">
        <v>335</v>
      </c>
      <c r="C366" t="str">
        <v>Action</v>
      </c>
      <c r="D366">
        <v>6556</v>
      </c>
      <c r="E366">
        <v>46013</v>
      </c>
      <c r="F366">
        <v>46073</v>
      </c>
      <c r="J366">
        <f>IFERROR(IF(TODAY()&gt;=E366,(TODAY()-E366)/I366,0),0)</f>
        <v>0</v>
      </c>
      <c r="K366">
        <v>337.83</v>
      </c>
      <c r="L366">
        <v>337.83</v>
      </c>
      <c r="M366">
        <f>K366-L366</f>
        <v>0</v>
      </c>
      <c r="N366">
        <v>3827.86</v>
      </c>
      <c r="O366">
        <v>3745</v>
      </c>
      <c r="P366">
        <f>O366-N366</f>
        <v>-82.86000000000013</v>
      </c>
      <c r="Q366">
        <f>K366*N366</f>
        <v>1293165.9438</v>
      </c>
      <c r="R366">
        <f>L366*O366</f>
        <v>1265173.3499999999</v>
      </c>
      <c r="S366">
        <f>R366-Q366</f>
        <v>-27992.593800000148</v>
      </c>
      <c r="T366" t="str">
        <f>IF(R366&lt;= Q366,"No Monetizar","Monetizar")</f>
        <v>No Monetizar</v>
      </c>
      <c r="V366">
        <v>46014</v>
      </c>
      <c r="W366" t="str">
        <v>Alfonso Fonseca A</v>
      </c>
      <c r="X366" t="str">
        <v>Alfonso Fonseca A</v>
      </c>
      <c r="Y366" t="str" xml:space="preserve">
        <v xml:space="preserve">El ingreso de estos recursos se realiza con una diferencia del 2,16%,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6">
        <f>K366*O366</f>
        <v>1265173.3499999999</v>
      </c>
      <c r="AA366">
        <f>Z366-Q366</f>
        <v>-27992.593800000148</v>
      </c>
    </row>
    <row r="367" xml:space="preserve">
      <c r="B367">
        <v>336</v>
      </c>
      <c r="C367" t="str">
        <v>Action</v>
      </c>
      <c r="D367" t="str">
        <v>FV-5-150</v>
      </c>
      <c r="E367">
        <v>46013</v>
      </c>
      <c r="F367">
        <v>46073</v>
      </c>
      <c r="J367">
        <f>IFERROR(IF(TODAY()&gt;=E367,(TODAY()-E367)/I367,0),0)</f>
        <v>0</v>
      </c>
      <c r="K367">
        <v>3071.21</v>
      </c>
      <c r="L367">
        <v>3071.21</v>
      </c>
      <c r="M367">
        <f>K367-L367</f>
        <v>0</v>
      </c>
      <c r="N367">
        <v>3827.86</v>
      </c>
      <c r="O367">
        <v>3745</v>
      </c>
      <c r="P367">
        <f>O367-N367</f>
        <v>-82.86000000000013</v>
      </c>
      <c r="Q367">
        <f>K367*N367</f>
        <v>11756161.910600001</v>
      </c>
      <c r="R367">
        <f>L367*O367</f>
        <v>11501681.45</v>
      </c>
      <c r="S367">
        <f>R367-Q367</f>
        <v>-254480.46060000174</v>
      </c>
      <c r="T367" t="str">
        <f>IF(R367&lt;= Q367,"No Monetizar","Monetizar")</f>
        <v>No Monetizar</v>
      </c>
      <c r="V367">
        <v>46014</v>
      </c>
      <c r="W367" t="str">
        <v>Alfonso Fonseca A</v>
      </c>
      <c r="X367" t="str">
        <v>Alfonso Fonseca A</v>
      </c>
      <c r="Y367" t="str" xml:space="preserve">
        <v xml:space="preserve">El ingreso de estos recursos se realiza con una diferencia del 2,16%,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7">
        <f>K367*O367</f>
        <v>11501681.45</v>
      </c>
      <c r="AA367">
        <f>Z367-Q367</f>
        <v>-254480.46060000174</v>
      </c>
    </row>
    <row r="368" xml:space="preserve">
      <c r="B368">
        <v>337</v>
      </c>
      <c r="C368" t="str">
        <v>Oncehub</v>
      </c>
      <c r="D368">
        <v>6561</v>
      </c>
      <c r="E368">
        <v>46014</v>
      </c>
      <c r="F368">
        <v>46074</v>
      </c>
      <c r="J368">
        <f>IFERROR(IF(TODAY()&gt;=E368,(TODAY()-E368)/I368,0),0)</f>
        <v>0</v>
      </c>
      <c r="K368">
        <v>285.6</v>
      </c>
      <c r="L368">
        <v>283.9114729383386</v>
      </c>
      <c r="M368">
        <f>K368-L368</f>
        <v>1.688527061661432</v>
      </c>
      <c r="N368">
        <v>3754.92</v>
      </c>
      <c r="O368">
        <v>3742.75</v>
      </c>
      <c r="P368">
        <f>O368-N368</f>
        <v>-12.170000000000073</v>
      </c>
      <c r="Q368">
        <f>K368*N368</f>
        <v>1072405.152</v>
      </c>
      <c r="R368">
        <f>L368*O368</f>
        <v>1062609.6653399668</v>
      </c>
      <c r="S368">
        <f>R368-Q368</f>
        <v>-9795.486660033232</v>
      </c>
      <c r="T368" t="str">
        <f>IF(R368&lt;= Q368,"No Monetizar","Monetizar")</f>
        <v>No Monetizar</v>
      </c>
      <c r="V368">
        <v>46014</v>
      </c>
      <c r="W368" t="str">
        <v>Alfonso Fonseca A</v>
      </c>
      <c r="X368" t="str">
        <v>Alfonso Fonseca A</v>
      </c>
      <c r="Y368" t="str" xml:space="preserve">
        <v xml:space="preserve">El ingreso de estos recursos se realiza con una diferencia del 0,32%,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8">
        <f>K368*O368</f>
        <v>1068929.4000000001</v>
      </c>
      <c r="AA368">
        <f>Z368-Q368</f>
        <v>-3475.751999999862</v>
      </c>
    </row>
    <row r="369" xml:space="preserve">
      <c r="B369">
        <v>338</v>
      </c>
      <c r="C369" t="str">
        <v>Oncehub</v>
      </c>
      <c r="D369" t="str">
        <v>FV-5-156</v>
      </c>
      <c r="E369">
        <v>46014</v>
      </c>
      <c r="F369">
        <v>46074</v>
      </c>
      <c r="J369">
        <f>IFERROR(IF(TODAY()&gt;=E369,(TODAY()-E369)/I369,0),0)</f>
        <v>0</v>
      </c>
      <c r="K369">
        <v>3097.23</v>
      </c>
      <c r="L369">
        <v>3078.9185270616613</v>
      </c>
      <c r="M369">
        <f>K369-L369</f>
        <v>18.31147293833874</v>
      </c>
      <c r="N369">
        <v>3754.92</v>
      </c>
      <c r="O369">
        <v>3742.75</v>
      </c>
      <c r="P369">
        <f>O369-N369</f>
        <v>-12.170000000000073</v>
      </c>
      <c r="Q369">
        <f>K369*N369</f>
        <v>11629850.8716</v>
      </c>
      <c r="R369">
        <f>L369*O369</f>
        <v>11523622.317160033</v>
      </c>
      <c r="S369">
        <f>R369-Q369</f>
        <v>-106228.5544399675</v>
      </c>
      <c r="T369" t="str">
        <f>IF(R369&lt;= Q369,"No Monetizar","Monetizar")</f>
        <v>No Monetizar</v>
      </c>
      <c r="V369">
        <v>46014</v>
      </c>
      <c r="W369" t="str">
        <v>Alfonso Fonseca A</v>
      </c>
      <c r="X369" t="str">
        <v>Alfonso Fonseca A</v>
      </c>
      <c r="Y369" t="str" xml:space="preserve">
        <v xml:space="preserve">El ingreso de estos recursos se realiza con una diferencia del 0,32%,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9">
        <f>K369*O369</f>
        <v>11592157.5825</v>
      </c>
      <c r="AA369">
        <f>Z369-Q369</f>
        <v>-37693.289100000635</v>
      </c>
    </row>
    <row r="370" xml:space="preserve">
      <c r="B370">
        <v>339</v>
      </c>
      <c r="C370" t="str">
        <v>Nazdar ink technologies</v>
      </c>
      <c r="D370">
        <v>6538</v>
      </c>
      <c r="E370">
        <v>46014</v>
      </c>
      <c r="F370">
        <v>46074</v>
      </c>
      <c r="J370">
        <f>IFERROR(IF(TODAY()&gt;=E370,(TODAY()-E370)/I370,0),0)</f>
        <v>0</v>
      </c>
      <c r="K370">
        <v>995.54</v>
      </c>
      <c r="L370">
        <v>994.6909369594956</v>
      </c>
      <c r="M370">
        <f>K370-L370</f>
        <v>0.8490630405043476</v>
      </c>
      <c r="N370">
        <v>3779.41</v>
      </c>
      <c r="O370">
        <v>3745</v>
      </c>
      <c r="P370">
        <f>O370-N370</f>
        <v>-34.409999999999854</v>
      </c>
      <c r="Q370">
        <f>K370*N370</f>
        <v>3762553.8313999996</v>
      </c>
      <c r="R370">
        <f>L370*O370</f>
        <v>3725117.558913311</v>
      </c>
      <c r="S370">
        <f>R370-Q370</f>
        <v>-37436.27248668857</v>
      </c>
      <c r="T370" t="str">
        <f>IF(R370&lt;= Q370,"No Monetizar","Monetizar")</f>
        <v>No Monetizar</v>
      </c>
      <c r="V370">
        <v>46014</v>
      </c>
      <c r="W370" t="str">
        <v>Alfonso Fonseca A</v>
      </c>
      <c r="X370" t="str">
        <v>Alfonso Fonseca A</v>
      </c>
      <c r="Y370" t="str" xml:space="preserve">
        <v xml:space="preserve">El ingreso de estos recursos se realiza con una diferencia del 0,91%,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70">
        <f>K370*O370</f>
        <v>3728297.3</v>
      </c>
      <c r="AA370">
        <f>Z370-Q370</f>
        <v>-34256.531399999745</v>
      </c>
    </row>
    <row r="371" xml:space="preserve">
      <c r="B371">
        <v>340</v>
      </c>
      <c r="C371" t="str">
        <v>Nazdar ink technologies</v>
      </c>
      <c r="D371" t="str">
        <v>FV-5-142</v>
      </c>
      <c r="E371">
        <v>46014</v>
      </c>
      <c r="F371">
        <v>46074</v>
      </c>
      <c r="J371">
        <f>IFERROR(IF(TODAY()&gt;=E371,(TODAY()-E371)/I371,0),0)</f>
        <v>0</v>
      </c>
      <c r="K371">
        <v>16592.2</v>
      </c>
      <c r="L371">
        <v>16578.049063040507</v>
      </c>
      <c r="M371">
        <f>K371-L371</f>
        <v>14.150936959493265</v>
      </c>
      <c r="N371">
        <v>3779.41</v>
      </c>
      <c r="O371">
        <v>3745</v>
      </c>
      <c r="P371">
        <f>O371-N371</f>
        <v>-34.409999999999854</v>
      </c>
      <c r="Q371">
        <f>K371*N371</f>
        <v>62708726.602</v>
      </c>
      <c r="R371">
        <f>L371*O371</f>
        <v>62084793.7410867</v>
      </c>
      <c r="S371">
        <f>R371-Q371</f>
        <v>-623932.860913299</v>
      </c>
      <c r="T371" t="str">
        <f>IF(R371&lt;= Q371,"No Monetizar","Monetizar")</f>
        <v>No Monetizar</v>
      </c>
      <c r="V371">
        <v>46014</v>
      </c>
      <c r="W371" t="str">
        <v>Alfonso Fonseca A</v>
      </c>
      <c r="X371" t="str">
        <v>Alfonso Fonseca A</v>
      </c>
      <c r="Y371" t="str" xml:space="preserve">
        <v xml:space="preserve">El ingreso de estos recursos se realiza con una diferencia del 0,91%,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71">
        <f>K371*O371</f>
        <v>62137789</v>
      </c>
      <c r="AA371">
        <f>Z371-Q371</f>
        <v>-570937.6019999981</v>
      </c>
    </row>
    <row r="372">
      <c r="B372">
        <v>341</v>
      </c>
      <c r="C372" t="str">
        <v>Insider</v>
      </c>
      <c r="D372">
        <v>159</v>
      </c>
      <c r="E372">
        <v>46015</v>
      </c>
      <c r="F372">
        <v>46075</v>
      </c>
      <c r="J372">
        <f>IFERROR(IF(TODAY()&gt;=E372,(TODAY()-E372)/I372,0),0)</f>
        <v>0</v>
      </c>
      <c r="K372">
        <v>206353.61</v>
      </c>
      <c r="L372">
        <v>206338.61</v>
      </c>
      <c r="M372">
        <f>K372-L372</f>
        <v>15</v>
      </c>
      <c r="N372">
        <v>3798.5</v>
      </c>
      <c r="O372">
        <v>3690</v>
      </c>
      <c r="P372">
        <f>O372-N372</f>
        <v>-108.5</v>
      </c>
      <c r="Q372">
        <f>K372*N372</f>
        <v>783834187.5849999</v>
      </c>
      <c r="R372">
        <f>L372*O372</f>
        <v>761389470.9</v>
      </c>
      <c r="S372">
        <f>R372-Q372</f>
        <v>-22444716.684999943</v>
      </c>
      <c r="T372" t="str">
        <f>IF(R372&lt;= Q372,"No Monetizar","Monetizar")</f>
        <v>No Monetizar</v>
      </c>
      <c r="V372">
        <v>46017</v>
      </c>
      <c r="W372" t="str">
        <v>Alfonso Fonseca A</v>
      </c>
      <c r="X372" t="str">
        <v>Alfonso Fonseca A</v>
      </c>
      <c r="Y372" t="str">
        <v>Se debe monetizar por debajo de lo facturado ya que se requiere para el pago de la nómina del día de hoy 26 de diciembre</v>
      </c>
      <c r="Z372">
        <f>K372*O372</f>
        <v>761444820.9</v>
      </c>
      <c r="AA372">
        <f>Z372-Q372</f>
        <v>-22389366.684999943</v>
      </c>
    </row>
    <row r="373">
      <c r="B373">
        <v>342</v>
      </c>
      <c r="C373" t="str">
        <v xml:space="preserve">Neo </v>
      </c>
      <c r="D373">
        <v>6522</v>
      </c>
      <c r="E373">
        <v>46015</v>
      </c>
      <c r="F373">
        <v>46075</v>
      </c>
      <c r="J373">
        <f>IFERROR(IF(TODAY()&gt;=E373,(TODAY()-E373)/I373,0),0)</f>
        <v>0</v>
      </c>
      <c r="K373">
        <v>2006.45</v>
      </c>
      <c r="L373">
        <v>2002.0247502847715</v>
      </c>
      <c r="M373">
        <f>K373-L373</f>
        <v>4.425249715228574</v>
      </c>
      <c r="N373">
        <v>3753.83</v>
      </c>
      <c r="O373">
        <v>3776.5</v>
      </c>
      <c r="P373">
        <f>O373-N373</f>
        <v>22.670000000000073</v>
      </c>
      <c r="Q373">
        <f>K373*N373</f>
        <v>7531872.2035</v>
      </c>
      <c r="R373">
        <f>L373*O373</f>
        <v>7560646.469450439</v>
      </c>
      <c r="S373">
        <f>R373-Q373</f>
        <v>28774.265950439498</v>
      </c>
      <c r="T373" t="str">
        <f>IF(R373&lt;= Q373,"No Monetizar","Monetizar")</f>
        <v>Monetizar</v>
      </c>
      <c r="V373">
        <v>46024</v>
      </c>
      <c r="W373" t="str">
        <v>Alfonso Fonseca A</v>
      </c>
      <c r="X373" t="str">
        <v>Alfonso Fonseca A</v>
      </c>
      <c r="Y373" t="str">
        <v>Se monetiza ya que el valor ofrecido por el banco en cada divisa es superior al valor facturado</v>
      </c>
      <c r="Z373">
        <f>K373*O373</f>
        <v>7577358.425</v>
      </c>
      <c r="AA373">
        <f>Z373-Q373</f>
        <v>45486.221499999985</v>
      </c>
    </row>
    <row r="374">
      <c r="B374">
        <v>343</v>
      </c>
      <c r="C374" t="str">
        <v xml:space="preserve">Neo </v>
      </c>
      <c r="D374" t="str">
        <v>FV-5-135</v>
      </c>
      <c r="E374">
        <v>46015</v>
      </c>
      <c r="F374">
        <v>46075</v>
      </c>
      <c r="J374">
        <f>IFERROR(IF(TODAY()&gt;=E374,(TODAY()-E374)/I374,0),0)</f>
        <v>0</v>
      </c>
      <c r="K374">
        <v>25613.43</v>
      </c>
      <c r="L374">
        <v>25556.939270695246</v>
      </c>
      <c r="M374">
        <f>K374-L374</f>
        <v>56.490729304754495</v>
      </c>
      <c r="N374">
        <v>3753.83</v>
      </c>
      <c r="O374">
        <v>3776.5</v>
      </c>
      <c r="P374">
        <f>O374-N374</f>
        <v>22.670000000000073</v>
      </c>
      <c r="Q374">
        <f>K374*N374</f>
        <v>96148461.9369</v>
      </c>
      <c r="R374">
        <f>L374*O374</f>
        <v>96515781.1557806</v>
      </c>
      <c r="S374">
        <f>R374-Q374</f>
        <v>367319.2188805938</v>
      </c>
      <c r="T374" t="str">
        <f>IF(R374&lt;= Q374,"No Monetizar","Monetizar")</f>
        <v>Monetizar</v>
      </c>
      <c r="V374">
        <v>46024</v>
      </c>
      <c r="W374" t="str">
        <v>Alfonso Fonseca A</v>
      </c>
      <c r="X374" t="str">
        <v>Alfonso Fonseca A</v>
      </c>
      <c r="Y374" t="str">
        <v>Se debe monetizar por debajo de lo facturado ya que se requiere para el pago de la nómina del día de hoy 26 de diciembre</v>
      </c>
      <c r="Z374">
        <f>K374*O374</f>
        <v>96729118.395</v>
      </c>
      <c r="AA374">
        <f>Z374-Q374</f>
        <v>580656.4580999911</v>
      </c>
    </row>
    <row r="375">
      <c r="B375">
        <v>344</v>
      </c>
      <c r="C375" t="str">
        <v xml:space="preserve">Neo </v>
      </c>
      <c r="D375">
        <v>6557</v>
      </c>
      <c r="E375">
        <v>46015</v>
      </c>
      <c r="F375">
        <v>46075</v>
      </c>
      <c r="J375">
        <f>IFERROR(IF(TODAY()&gt;=E375,(TODAY()-E375)/I375,0),0)</f>
        <v>0</v>
      </c>
      <c r="K375">
        <v>42.63</v>
      </c>
      <c r="L375">
        <v>42.535979019980466</v>
      </c>
      <c r="M375">
        <f>K375-L375</f>
        <v>0.09402098001953618</v>
      </c>
      <c r="N375">
        <v>3753.83</v>
      </c>
      <c r="O375">
        <v>3776.5</v>
      </c>
      <c r="P375">
        <f>O375-N375</f>
        <v>22.670000000000073</v>
      </c>
      <c r="Q375">
        <f>K375*N375</f>
        <v>160025.7729</v>
      </c>
      <c r="R375">
        <f>L375*O375</f>
        <v>160637.12476895624</v>
      </c>
      <c r="S375">
        <f>R375-Q375</f>
        <v>611.3518689562334</v>
      </c>
      <c r="T375" t="str">
        <f>IF(R375&lt;= Q375,"No Monetizar","Monetizar")</f>
        <v>Monetizar</v>
      </c>
      <c r="V375">
        <v>46024</v>
      </c>
      <c r="W375" t="str">
        <v>Alfonso Fonseca A</v>
      </c>
      <c r="X375" t="str">
        <v>Alfonso Fonseca A</v>
      </c>
      <c r="Y375" t="str">
        <v>Se debe monetizar por debajo de lo facturado ya que se requiere para el pago de la nómina del día de hoy 26 de diciembre</v>
      </c>
      <c r="Z375">
        <f>K375*O375</f>
        <v>160992.195</v>
      </c>
      <c r="AA375">
        <f>Z375-Q375</f>
        <v>966.4220999999961</v>
      </c>
    </row>
    <row r="376">
      <c r="B376">
        <v>345</v>
      </c>
      <c r="C376" t="str">
        <v>Bubble BPM</v>
      </c>
      <c r="D376" t="str">
        <v>FV-4-6523</v>
      </c>
      <c r="E376">
        <v>46015</v>
      </c>
      <c r="F376">
        <v>46075</v>
      </c>
      <c r="J376">
        <f>IFERROR(IF(TODAY()&gt;=E376,(TODAY()-E376)/I376,0),0)</f>
        <v>0</v>
      </c>
      <c r="K376">
        <v>131.41</v>
      </c>
      <c r="L376">
        <v>128.43708001840022</v>
      </c>
      <c r="M376">
        <f>K376-L376</f>
        <v>2.972919981599773</v>
      </c>
      <c r="N376">
        <v>3753.83</v>
      </c>
      <c r="O376">
        <v>3774.55</v>
      </c>
      <c r="P376">
        <f>O376-N376</f>
        <v>20.720000000000255</v>
      </c>
      <c r="Q376">
        <f>K376*N376</f>
        <v>493290.8003</v>
      </c>
      <c r="R376">
        <f>L376*O376</f>
        <v>484792.18038345256</v>
      </c>
      <c r="S376">
        <f>R376-Q376</f>
        <v>-8498.619916547439</v>
      </c>
      <c r="T376" t="str">
        <f>IF(R376&lt;= Q376,"No Monetizar","Monetizar")</f>
        <v>No Monetizar</v>
      </c>
      <c r="V376">
        <v>46024</v>
      </c>
      <c r="W376" t="str">
        <v>Alfonso Fonseca A</v>
      </c>
      <c r="X376" t="str">
        <v>Alfonso Fonseca A</v>
      </c>
      <c r="Y376" t="str">
        <v>Se debe monetizar por debajo de lo facturado ya que se requiere para el pago de la nómina del día de hoy 26 de diciembre</v>
      </c>
      <c r="Z376">
        <f>K376*O376</f>
        <v>496013.6155</v>
      </c>
      <c r="AA376">
        <f>Z376-Q376</f>
        <v>2722.815200000012</v>
      </c>
    </row>
    <row r="377">
      <c r="B377">
        <v>346</v>
      </c>
      <c r="C377" t="str">
        <v>Bubble BPM</v>
      </c>
      <c r="D377" t="str">
        <v>FV-5-136</v>
      </c>
      <c r="E377">
        <v>46015</v>
      </c>
      <c r="F377">
        <v>46075</v>
      </c>
      <c r="J377">
        <f>IFERROR(IF(TODAY()&gt;=E377,(TODAY()-E377)/I377,0),0)</f>
        <v>0</v>
      </c>
      <c r="K377">
        <v>1194.66</v>
      </c>
      <c r="L377">
        <v>1167.6329199815996</v>
      </c>
      <c r="M377">
        <f>K377-L377</f>
        <v>27.02708001840051</v>
      </c>
      <c r="N377">
        <v>3753.83</v>
      </c>
      <c r="O377">
        <v>3774.55</v>
      </c>
      <c r="P377">
        <f>O377-N377</f>
        <v>20.720000000000255</v>
      </c>
      <c r="Q377">
        <f>K377*N377</f>
        <v>4484550.5478</v>
      </c>
      <c r="R377">
        <f>L377*O377</f>
        <v>4407288.838116547</v>
      </c>
      <c r="S377">
        <f>R377-Q377</f>
        <v>-77261.70968345273</v>
      </c>
      <c r="T377" t="str">
        <f>IF(R377&lt;= Q377,"No Monetizar","Monetizar")</f>
        <v>No Monetizar</v>
      </c>
      <c r="V377">
        <v>46024</v>
      </c>
      <c r="W377" t="str">
        <v>Alfonso Fonseca A</v>
      </c>
      <c r="X377" t="str">
        <v>Alfonso Fonseca A</v>
      </c>
      <c r="Y377" t="str">
        <v>Se debe monetizar por debajo de lo facturado ya que se requiere para el pago de la nómina del día de hoy 26 de diciembre</v>
      </c>
      <c r="Z377">
        <f>K377*O377</f>
        <v>4509303.903000001</v>
      </c>
      <c r="AA377">
        <f>Z377-Q377</f>
        <v>24753.35520000104</v>
      </c>
    </row>
    <row r="378">
      <c r="B378">
        <v>347</v>
      </c>
      <c r="C378" t="str">
        <v>Flexco</v>
      </c>
      <c r="D378" t="str">
        <v>FV-4-6603</v>
      </c>
      <c r="E378">
        <v>46038</v>
      </c>
      <c r="F378">
        <v>46098</v>
      </c>
      <c r="J378">
        <f>IFERROR(IF(TODAY()&gt;=E378,(TODAY()-E378)/I378,0),0)</f>
        <v>0</v>
      </c>
      <c r="K378">
        <v>1116.57</v>
      </c>
      <c r="L378">
        <v>1115.3289767539884</v>
      </c>
      <c r="M378">
        <f>K378-L378</f>
        <v>1.2410232460115367</v>
      </c>
      <c r="N378">
        <v>3618.59</v>
      </c>
      <c r="O378">
        <v>3653.5</v>
      </c>
      <c r="P378">
        <f>O378-N378</f>
        <v>34.909999999999854</v>
      </c>
      <c r="Q378">
        <f>K378*N378</f>
        <v>4040409.0363</v>
      </c>
      <c r="R378">
        <f>L378*O378</f>
        <v>4074854.4165706965</v>
      </c>
      <c r="S378">
        <f>R378-Q378</f>
        <v>34445.38027069671</v>
      </c>
      <c r="T378" t="str">
        <f>IF(R378&lt;= Q378,"No Monetizar","Monetizar")</f>
        <v>Monetizar</v>
      </c>
      <c r="V378">
        <v>46043</v>
      </c>
      <c r="W378" t="str">
        <v>Alfonso Fonseca A</v>
      </c>
      <c r="X378" t="str">
        <v>Alfonso Fonseca A</v>
      </c>
      <c r="Y378" t="str">
        <v>Se monetiza ya que el valor ofrecido por el banco en cada divisa es superior al valor facturado</v>
      </c>
      <c r="Z378">
        <f>K378*O378</f>
        <v>4079388.4949999996</v>
      </c>
      <c r="AA378">
        <f>Z378-Q378</f>
        <v>38979.45869999984</v>
      </c>
    </row>
    <row r="379">
      <c r="B379">
        <v>348</v>
      </c>
      <c r="C379" t="str">
        <v>Flexco</v>
      </c>
      <c r="D379" t="str">
        <v>FV-5-169</v>
      </c>
      <c r="E379">
        <v>46038</v>
      </c>
      <c r="F379">
        <v>46098</v>
      </c>
      <c r="J379">
        <f>IFERROR(IF(TODAY()&gt;=E379,(TODAY()-E379)/I379,0),0)</f>
        <v>0</v>
      </c>
      <c r="K379">
        <v>12406.18</v>
      </c>
      <c r="L379">
        <v>12392.391023246011</v>
      </c>
      <c r="M379">
        <f>K379-L379</f>
        <v>13.788976753989118</v>
      </c>
      <c r="N379">
        <v>3618.59</v>
      </c>
      <c r="O379">
        <v>3653.5</v>
      </c>
      <c r="P379">
        <f>O379-N379</f>
        <v>34.909999999999854</v>
      </c>
      <c r="Q379">
        <f>K379*N379</f>
        <v>44892878.8862</v>
      </c>
      <c r="R379">
        <f>L379*O379</f>
        <v>45275600.6034293</v>
      </c>
      <c r="S379">
        <f>R379-Q379</f>
        <v>382721.71722929925</v>
      </c>
      <c r="T379" t="str">
        <f>IF(R379&lt;= Q379,"No Monetizar","Monetizar")</f>
        <v>Monetizar</v>
      </c>
      <c r="V379">
        <v>46043</v>
      </c>
      <c r="W379" t="str">
        <v>Alfonso Fonseca A</v>
      </c>
      <c r="X379" t="str">
        <v>Alfonso Fonseca A</v>
      </c>
      <c r="Y379" t="str">
        <v>Se monetiza ya que el valor ofrecido por el banco en cada divisa es superior al valor facturado</v>
      </c>
      <c r="Z379">
        <f>K379*O379</f>
        <v>45325978.63</v>
      </c>
      <c r="AA379">
        <f>Z379-Q379</f>
        <v>433099.74379999936</v>
      </c>
    </row>
    <row r="380">
      <c r="B380">
        <v>349</v>
      </c>
      <c r="C380" t="str">
        <v>Europortage</v>
      </c>
      <c r="D380" t="str">
        <v>FV-4-6607</v>
      </c>
      <c r="E380">
        <v>46045</v>
      </c>
      <c r="F380">
        <v>46105</v>
      </c>
      <c r="J380">
        <f>IFERROR(IF(TODAY()&gt;=E380,(TODAY()-E380)/I380,0),0)</f>
        <v>0</v>
      </c>
      <c r="K380">
        <v>825.96</v>
      </c>
      <c r="L380">
        <v>825.3351928977326</v>
      </c>
      <c r="M380">
        <f>K380-L380</f>
        <v>0.6248071022674822</v>
      </c>
      <c r="N380">
        <v>3600.31</v>
      </c>
      <c r="O380">
        <v>3641.5</v>
      </c>
      <c r="P380">
        <f>O380-N380</f>
        <v>41.190000000000055</v>
      </c>
      <c r="Q380">
        <f>K380*N380</f>
        <v>2973712.0476</v>
      </c>
      <c r="R380">
        <f>L380*O380</f>
        <v>3005458.104937093</v>
      </c>
      <c r="S380">
        <f>R380-Q380</f>
        <v>31746.0573370927</v>
      </c>
      <c r="T380" t="str">
        <f>IF(R380&lt;= Q380,"No Monetizar","Monetizar")</f>
        <v>Monetizar</v>
      </c>
      <c r="V380">
        <v>46048</v>
      </c>
      <c r="W380" t="str">
        <v>Alfonso Fonseca A</v>
      </c>
      <c r="X380" t="str">
        <v>Alfonso Fonseca A</v>
      </c>
      <c r="Y380" t="str">
        <v>Se monetiza ya que el valor ofrecido por el banco en cada divisa es superior al valor facturado</v>
      </c>
      <c r="Z380">
        <f>K380*O380</f>
        <v>3007733.3400000003</v>
      </c>
      <c r="AA380">
        <f>Z380-Q380</f>
        <v>34021.29240000015</v>
      </c>
    </row>
    <row r="381">
      <c r="B381">
        <v>350</v>
      </c>
      <c r="C381" t="str">
        <v>Europortage</v>
      </c>
      <c r="D381" t="str">
        <v>FV-5-173</v>
      </c>
      <c r="E381">
        <v>46045</v>
      </c>
      <c r="F381">
        <v>46105</v>
      </c>
      <c r="J381">
        <f>IFERROR(IF(TODAY()&gt;=E381,(TODAY()-E381)/I381,0),0)</f>
        <v>0</v>
      </c>
      <c r="K381">
        <v>12393.48</v>
      </c>
      <c r="L381">
        <v>12384.104807102269</v>
      </c>
      <c r="M381">
        <f>K381-L381</f>
        <v>9.375192897730813</v>
      </c>
      <c r="N381">
        <v>3600.31</v>
      </c>
      <c r="O381">
        <v>3641.5</v>
      </c>
      <c r="P381">
        <f>O381-N381</f>
        <v>41.190000000000055</v>
      </c>
      <c r="Q381">
        <f>K381*N381</f>
        <v>44620369.9788</v>
      </c>
      <c r="R381">
        <f>L381*O381</f>
        <v>45096717.655062914</v>
      </c>
      <c r="S381">
        <f>R381-Q381</f>
        <v>476347.67626291513</v>
      </c>
      <c r="T381" t="str">
        <f>IF(R381&lt;= Q381,"No Monetizar","Monetizar")</f>
        <v>Monetizar</v>
      </c>
      <c r="V381">
        <v>46048</v>
      </c>
      <c r="W381" t="str">
        <v>Alfonso Fonseca A</v>
      </c>
      <c r="X381" t="str">
        <v>Alfonso Fonseca A</v>
      </c>
      <c r="Y381" t="str">
        <v>Se monetiza ya que el valor ofrecido por el banco en cada divisa es superior al valor facturado</v>
      </c>
      <c r="Z381">
        <f>K381*O381</f>
        <v>45130857.42</v>
      </c>
      <c r="AA381">
        <f>Z381-Q381</f>
        <v>510487.441200003</v>
      </c>
    </row>
    <row r="382">
      <c r="B382">
        <v>351</v>
      </c>
      <c r="C382" t="str">
        <v>Endrington</v>
      </c>
      <c r="D382" t="str">
        <v>FV-4-6606</v>
      </c>
      <c r="E382">
        <v>46045</v>
      </c>
      <c r="F382">
        <v>46105</v>
      </c>
      <c r="J382">
        <f>IFERROR(IF(TODAY()&gt;=E382,(TODAY()-E382)/I382,0),0)</f>
        <v>0</v>
      </c>
      <c r="K382">
        <v>980.36</v>
      </c>
      <c r="L382">
        <v>980.36</v>
      </c>
      <c r="M382">
        <f>K382-L382</f>
        <v>0</v>
      </c>
      <c r="N382">
        <v>3618.59</v>
      </c>
      <c r="O382">
        <v>3643.5</v>
      </c>
      <c r="P382">
        <f>O382-N382</f>
        <v>24.909999999999854</v>
      </c>
      <c r="Q382">
        <f>K382*N382</f>
        <v>3547520.8924000002</v>
      </c>
      <c r="R382">
        <f>L382*O382</f>
        <v>3571941.66</v>
      </c>
      <c r="S382">
        <f>R382-Q382</f>
        <v>24420.767599999905</v>
      </c>
      <c r="T382" t="str">
        <f>IF(R382&lt;= Q382,"No Monetizar","Monetizar")</f>
        <v>Monetizar</v>
      </c>
      <c r="V382">
        <v>46048</v>
      </c>
      <c r="W382" t="str">
        <v>Alfonso Fonseca A</v>
      </c>
      <c r="X382" t="str">
        <v>Alfonso Fonseca A</v>
      </c>
      <c r="Y382" t="str">
        <v>Se monetiza ya que el valor ofrecido por el banco en cada divisa es superior al valor facturado</v>
      </c>
      <c r="Z382">
        <f>K382*O382</f>
        <v>3571941.66</v>
      </c>
      <c r="AA382">
        <f>Z382-Q382</f>
        <v>24420.767599999905</v>
      </c>
    </row>
    <row r="383">
      <c r="B383">
        <v>352</v>
      </c>
      <c r="C383" t="str">
        <v>Endrington</v>
      </c>
      <c r="D383" t="str">
        <v>FV-5-172</v>
      </c>
      <c r="E383">
        <v>46045</v>
      </c>
      <c r="F383">
        <v>46105</v>
      </c>
      <c r="J383">
        <f>IFERROR(IF(TODAY()&gt;=E383,(TODAY()-E383)/I383,0),0)</f>
        <v>0</v>
      </c>
      <c r="K383">
        <v>17824.73</v>
      </c>
      <c r="L383">
        <v>17824.73</v>
      </c>
      <c r="M383">
        <f>K383-L383</f>
        <v>0</v>
      </c>
      <c r="N383">
        <v>3618.59</v>
      </c>
      <c r="O383">
        <v>3643.5</v>
      </c>
      <c r="P383">
        <f>O383-N383</f>
        <v>24.909999999999854</v>
      </c>
      <c r="Q383">
        <f>K383*N383</f>
        <v>64500389.7307</v>
      </c>
      <c r="R383">
        <f>L383*O383</f>
        <v>64944403.754999995</v>
      </c>
      <c r="S383">
        <f>R383-Q383</f>
        <v>444014.0242999941</v>
      </c>
      <c r="T383" t="str">
        <f>IF(R383&lt;= Q383,"No Monetizar","Monetizar")</f>
        <v>Monetizar</v>
      </c>
      <c r="V383">
        <v>46048</v>
      </c>
      <c r="W383" t="str">
        <v>Alfonso Fonseca A</v>
      </c>
      <c r="X383" t="str">
        <v>Alfonso Fonseca A</v>
      </c>
      <c r="Y383" t="str">
        <v>Se monetiza ya que el valor ofrecido por el banco en cada divisa es superior al valor facturado</v>
      </c>
      <c r="Z383">
        <f>K383*O383</f>
        <v>64944403.754999995</v>
      </c>
      <c r="AA383">
        <f>Z383-Q383</f>
        <v>444014.0242999941</v>
      </c>
    </row>
    <row r="384">
      <c r="B384">
        <v>353</v>
      </c>
      <c r="C384" t="str">
        <v>Poc Pharma Limited</v>
      </c>
      <c r="D384" t="str">
        <v>FV-4-6614</v>
      </c>
      <c r="E384">
        <v>46044</v>
      </c>
      <c r="F384">
        <v>46104</v>
      </c>
      <c r="J384">
        <f>IFERROR(IF(TODAY()&gt;=E384,(TODAY()-E384)/I384,0),0)</f>
        <v>0</v>
      </c>
      <c r="K384">
        <v>480</v>
      </c>
      <c r="L384">
        <v>480</v>
      </c>
      <c r="M384">
        <f>K384-L384</f>
        <v>0</v>
      </c>
      <c r="N384">
        <v>3644.55</v>
      </c>
      <c r="O384">
        <v>3649.5</v>
      </c>
      <c r="P384">
        <f>O384-N384</f>
        <v>4.949999999999818</v>
      </c>
      <c r="Q384">
        <f>K384*N384</f>
        <v>1749384</v>
      </c>
      <c r="R384">
        <f>L384*O384</f>
        <v>1751760</v>
      </c>
      <c r="S384">
        <f>R384-Q384</f>
        <v>2376</v>
      </c>
      <c r="T384" t="str">
        <f>IF(R384&lt;= Q384,"No Monetizar","Monetizar")</f>
        <v>Monetizar</v>
      </c>
      <c r="V384">
        <v>46048</v>
      </c>
      <c r="W384" t="str">
        <v>Alfonso Fonseca A</v>
      </c>
      <c r="X384" t="str">
        <v>Alfonso Fonseca A</v>
      </c>
      <c r="Y384" t="str">
        <v>Se monetiza ya que el valor ofrecido por el banco en cada divisa es superior al valor facturado</v>
      </c>
      <c r="Z384">
        <f>K384*O384</f>
        <v>1751760</v>
      </c>
      <c r="AA384">
        <f>Z384-Q384</f>
        <v>2376</v>
      </c>
    </row>
    <row r="385">
      <c r="B385">
        <v>354</v>
      </c>
      <c r="C385" t="str">
        <v>Poc Pharma Limited</v>
      </c>
      <c r="D385" t="str">
        <v>FV-5-182</v>
      </c>
      <c r="E385">
        <v>46044</v>
      </c>
      <c r="F385">
        <v>46104</v>
      </c>
      <c r="J385">
        <f>IFERROR(IF(TODAY()&gt;=E385,(TODAY()-E385)/I385,0),0)</f>
        <v>0</v>
      </c>
      <c r="K385">
        <v>1484.58</v>
      </c>
      <c r="L385">
        <v>1484.58</v>
      </c>
      <c r="M385">
        <f>K385-L385</f>
        <v>0</v>
      </c>
      <c r="N385">
        <v>3644.55</v>
      </c>
      <c r="O385">
        <v>3649.5</v>
      </c>
      <c r="P385">
        <f>O385-N385</f>
        <v>4.949999999999818</v>
      </c>
      <c r="Q385">
        <f>K385*N385</f>
        <v>5410626.039</v>
      </c>
      <c r="R385">
        <f>L385*O385</f>
        <v>5417974.71</v>
      </c>
      <c r="S385">
        <f>R385-Q385</f>
        <v>7348.671000000089</v>
      </c>
      <c r="T385" t="str">
        <f>IF(R385&lt;= Q385,"No Monetizar","Monetizar")</f>
        <v>Monetizar</v>
      </c>
      <c r="V385">
        <v>46048</v>
      </c>
      <c r="W385" t="str">
        <v>Alfonso Fonseca A</v>
      </c>
      <c r="X385" t="str">
        <v>Alfonso Fonseca A</v>
      </c>
      <c r="Y385" t="str">
        <v>Se monetiza ya que el valor ofrecido por el banco en cada divisa es superior al valor facturado</v>
      </c>
      <c r="Z385">
        <f>K385*O385</f>
        <v>5417974.71</v>
      </c>
      <c r="AA385">
        <f>Z385-Q385</f>
        <v>7348.671000000089</v>
      </c>
    </row>
    <row r="386">
      <c r="B386">
        <v>355</v>
      </c>
      <c r="C386" t="str">
        <v>Poc Pharma Limited</v>
      </c>
      <c r="D386" t="str">
        <v>FV-5-183</v>
      </c>
      <c r="E386">
        <v>46044</v>
      </c>
      <c r="F386">
        <v>46104</v>
      </c>
      <c r="J386">
        <f>IFERROR(IF(TODAY()&gt;=E386,(TODAY()-E386)/I386,0),0)</f>
        <v>0</v>
      </c>
      <c r="K386">
        <v>1500</v>
      </c>
      <c r="L386">
        <v>1500</v>
      </c>
      <c r="M386">
        <f>K386-L386</f>
        <v>0</v>
      </c>
      <c r="N386">
        <v>3644.55</v>
      </c>
      <c r="O386">
        <v>3649.5</v>
      </c>
      <c r="P386">
        <f>O386-N386</f>
        <v>4.949999999999818</v>
      </c>
      <c r="Q386">
        <f>K386*N386</f>
        <v>5466825</v>
      </c>
      <c r="R386">
        <f>L386*O386</f>
        <v>5474250</v>
      </c>
      <c r="S386">
        <f>R386-Q386</f>
        <v>7425</v>
      </c>
      <c r="T386" t="str">
        <f>IF(R386&lt;= Q386,"No Monetizar","Monetizar")</f>
        <v>Monetizar</v>
      </c>
      <c r="V386">
        <v>46048</v>
      </c>
      <c r="W386" t="str">
        <v>Alfonso Fonseca A</v>
      </c>
      <c r="X386" t="str">
        <v>Alfonso Fonseca A</v>
      </c>
      <c r="Y386" t="str">
        <v>Se monetiza ya que el valor ofrecido por el banco en cada divisa es superior al valor facturado</v>
      </c>
      <c r="Z386">
        <f>K386*O386</f>
        <v>5474250</v>
      </c>
      <c r="AA386">
        <f>Z386-Q386</f>
        <v>7425</v>
      </c>
    </row>
    <row r="387">
      <c r="B387">
        <v>356</v>
      </c>
      <c r="C387" t="str">
        <v>Oncehub</v>
      </c>
      <c r="D387" t="str">
        <v>FV-5-161</v>
      </c>
      <c r="E387">
        <v>46044</v>
      </c>
      <c r="F387">
        <v>46104</v>
      </c>
      <c r="J387">
        <f>IFERROR(IF(TODAY()&gt;=E387,(TODAY()-E387)/I387,0),0)</f>
        <v>0</v>
      </c>
      <c r="K387">
        <v>2978.57</v>
      </c>
      <c r="L387">
        <v>2969.4338847437975</v>
      </c>
      <c r="M387">
        <f>K387-L387</f>
        <v>9.136115256202629</v>
      </c>
      <c r="N387">
        <v>3789.43</v>
      </c>
      <c r="O387">
        <v>3644.5</v>
      </c>
      <c r="P387">
        <f>O387-N387</f>
        <v>-144.92999999999984</v>
      </c>
      <c r="Q387">
        <f>K387*N387</f>
        <v>11287082.5151</v>
      </c>
      <c r="R387">
        <f>L387*O387</f>
        <v>10822101.79294877</v>
      </c>
      <c r="S387">
        <f>R387-Q387</f>
        <v>-464980.722151231</v>
      </c>
      <c r="T387" t="str">
        <f>IF(R387&lt;= Q387,"No Monetizar","Monetizar")</f>
        <v>No Monetizar</v>
      </c>
      <c r="V387">
        <v>46048</v>
      </c>
      <c r="W387" t="str">
        <v>Alfonso Fonseca A</v>
      </c>
      <c r="X387" t="str">
        <v>Alfonso Fonseca A</v>
      </c>
      <c r="Y387" t="str">
        <v>Se monetiza ya que el valor ofrecido por el banco en cada divisa es superior al valor facturado</v>
      </c>
      <c r="Z387">
        <f>K387*O387</f>
        <v>10855398.365</v>
      </c>
      <c r="AA387">
        <f>Z387-Q387</f>
        <v>-431684.1501000002</v>
      </c>
    </row>
    <row r="388">
      <c r="B388">
        <v>357</v>
      </c>
      <c r="C388" t="str">
        <v>Oncehub</v>
      </c>
      <c r="D388" t="str">
        <v>FV-4-6617</v>
      </c>
      <c r="E388">
        <v>46044</v>
      </c>
      <c r="F388">
        <v>46104</v>
      </c>
      <c r="J388">
        <f>IFERROR(IF(TODAY()&gt;=E388,(TODAY()-E388)/I388,0),0)</f>
        <v>0</v>
      </c>
      <c r="K388">
        <v>285.6</v>
      </c>
      <c r="L388">
        <v>284.72398415441927</v>
      </c>
      <c r="M388">
        <f>K388-L388</f>
        <v>0.8760158455807527</v>
      </c>
      <c r="N388">
        <v>3610.75</v>
      </c>
      <c r="O388">
        <v>3644.5</v>
      </c>
      <c r="P388">
        <f>O388-N388</f>
        <v>33.75</v>
      </c>
      <c r="Q388">
        <f>K388*N388</f>
        <v>1031230.2000000001</v>
      </c>
      <c r="R388">
        <f>L388*O388</f>
        <v>1037676.560250781</v>
      </c>
      <c r="S388">
        <f>R388-Q388</f>
        <v>6446.360250780941</v>
      </c>
      <c r="T388" t="str">
        <f>IF(R388&lt;= Q388,"No Monetizar","Monetizar")</f>
        <v>Monetizar</v>
      </c>
      <c r="V388">
        <v>46048</v>
      </c>
      <c r="W388" t="str">
        <v>Alfonso Fonseca A</v>
      </c>
      <c r="X388" t="str">
        <v>Alfonso Fonseca A</v>
      </c>
      <c r="Y388" t="str">
        <v>Se monetiza ya que el valor ofrecido por el banco en cada divisa es superior al valor facturado</v>
      </c>
      <c r="Z388">
        <f>K388*O388</f>
        <v>1040869.2000000001</v>
      </c>
      <c r="AA388">
        <f>Z388-Q388</f>
        <v>9639</v>
      </c>
    </row>
    <row r="389">
      <c r="B389">
        <v>358</v>
      </c>
      <c r="C389" t="str">
        <v>Oncehub</v>
      </c>
      <c r="D389" t="str">
        <v>FV-5-171</v>
      </c>
      <c r="E389">
        <v>46044</v>
      </c>
      <c r="F389">
        <v>46104</v>
      </c>
      <c r="J389">
        <f>IFERROR(IF(TODAY()&gt;=E389,(TODAY()-E389)/I389,0),0)</f>
        <v>0</v>
      </c>
      <c r="K389">
        <v>3256.26</v>
      </c>
      <c r="L389">
        <v>3246.272131101783</v>
      </c>
      <c r="M389">
        <f>K389-L389</f>
        <v>9.98786889821713</v>
      </c>
      <c r="N389">
        <v>3610.75</v>
      </c>
      <c r="O389">
        <v>3644.5</v>
      </c>
      <c r="P389">
        <f>O389-N389</f>
        <v>33.75</v>
      </c>
      <c r="Q389">
        <f>K389*N389</f>
        <v>11757540.795</v>
      </c>
      <c r="R389">
        <f>L389*O389</f>
        <v>11831038.781800449</v>
      </c>
      <c r="S389">
        <f>R389-Q389</f>
        <v>73497.98680044897</v>
      </c>
      <c r="T389" t="str">
        <f>IF(R389&lt;= Q389,"No Monetizar","Monetizar")</f>
        <v>Monetizar</v>
      </c>
      <c r="V389">
        <v>46048</v>
      </c>
      <c r="W389" t="str">
        <v>Alfonso Fonseca A</v>
      </c>
      <c r="X389" t="str">
        <v>Alfonso Fonseca A</v>
      </c>
      <c r="Y389" t="str">
        <v>Se monetiza ya que el valor ofrecido por el banco en cada divisa es superior al valor facturado</v>
      </c>
      <c r="Z389">
        <f>K389*O389</f>
        <v>11867439.57</v>
      </c>
      <c r="AA389">
        <f>Z389-Q389</f>
        <v>109898.77500000037</v>
      </c>
    </row>
    <row r="390">
      <c r="B390">
        <v>359</v>
      </c>
      <c r="C390" t="str">
        <v>Nazdar ink technologies</v>
      </c>
      <c r="D390" t="str">
        <v>FV-4-6604</v>
      </c>
      <c r="E390">
        <v>46044</v>
      </c>
      <c r="F390">
        <v>46104</v>
      </c>
      <c r="J390">
        <f>IFERROR(IF(TODAY()&gt;=E390,(TODAY()-E390)/I390,0),0)</f>
        <v>0</v>
      </c>
      <c r="K390">
        <v>885.9</v>
      </c>
      <c r="L390">
        <v>885.0509352586937</v>
      </c>
      <c r="M390">
        <f>K390-L390</f>
        <v>0.8490647413062788</v>
      </c>
      <c r="N390">
        <v>3618.59</v>
      </c>
      <c r="O390">
        <v>3660</v>
      </c>
      <c r="P390">
        <f>O390-N390</f>
        <v>41.409999999999854</v>
      </c>
      <c r="Q390">
        <f>K390*N390</f>
        <v>3205708.881</v>
      </c>
      <c r="R390">
        <f>L390*O390</f>
        <v>3239286.423046819</v>
      </c>
      <c r="S390">
        <f>R390-Q390</f>
        <v>33577.54204681888</v>
      </c>
      <c r="T390" t="str">
        <f>IF(R390&lt;= Q390,"No Monetizar","Monetizar")</f>
        <v>Monetizar</v>
      </c>
      <c r="V390">
        <v>46048</v>
      </c>
      <c r="W390" t="str">
        <v>Alfonso Fonseca A</v>
      </c>
      <c r="X390" t="str">
        <v>Alfonso Fonseca A</v>
      </c>
      <c r="Y390" t="str">
        <v>Se monetiza ya que el valor ofrecido por el banco en cada divisa es superior al valor facturado</v>
      </c>
      <c r="Z390">
        <f>K390*O390</f>
        <v>3242394</v>
      </c>
      <c r="AA390">
        <f>Z390-Q390</f>
        <v>36685.11899999995</v>
      </c>
    </row>
    <row r="391">
      <c r="B391">
        <v>360</v>
      </c>
      <c r="C391" t="str">
        <v>Nazdar ink technologies</v>
      </c>
      <c r="D391" t="str">
        <v>FV-5-170</v>
      </c>
      <c r="E391">
        <v>46044</v>
      </c>
      <c r="F391">
        <v>46104</v>
      </c>
      <c r="J391">
        <f>IFERROR(IF(TODAY()&gt;=E391,(TODAY()-E391)/I391,0),0)</f>
        <v>0</v>
      </c>
      <c r="K391">
        <v>14764.85</v>
      </c>
      <c r="L391">
        <v>14750.699064741306</v>
      </c>
      <c r="M391">
        <f>K391-L391</f>
        <v>14.150935258694517</v>
      </c>
      <c r="N391">
        <v>3618.59</v>
      </c>
      <c r="O391">
        <v>3660</v>
      </c>
      <c r="P391">
        <f>O391-N391</f>
        <v>41.409999999999854</v>
      </c>
      <c r="Q391">
        <f>K391*N391</f>
        <v>53427938.561500005</v>
      </c>
      <c r="R391">
        <f>L391*O391</f>
        <v>53987558.57695318</v>
      </c>
      <c r="S391">
        <f>R391-Q391</f>
        <v>559620.0154531747</v>
      </c>
      <c r="T391" t="str">
        <f>IF(R391&lt;= Q391,"No Monetizar","Monetizar")</f>
        <v>Monetizar</v>
      </c>
      <c r="V391">
        <v>46048</v>
      </c>
      <c r="W391" t="str">
        <v>Alfonso Fonseca A</v>
      </c>
      <c r="X391" t="str">
        <v>Alfonso Fonseca A</v>
      </c>
      <c r="Y391" t="str">
        <v>Se monetiza ya que el valor ofrecido por el banco en cada divisa es superior al valor facturado</v>
      </c>
      <c r="Z391">
        <f>K391*O391</f>
        <v>54039351</v>
      </c>
      <c r="AA391">
        <f>Z391-Q391</f>
        <v>611412.4384999946</v>
      </c>
    </row>
    <row r="392">
      <c r="B392">
        <v>361</v>
      </c>
      <c r="C392" t="str">
        <v>Equus</v>
      </c>
      <c r="D392" t="str">
        <v>FV-4-6600</v>
      </c>
      <c r="E392">
        <v>46042</v>
      </c>
      <c r="F392">
        <v>46102</v>
      </c>
      <c r="J392">
        <f>IFERROR(IF(TODAY()&gt;=E392,(TODAY()-E392)/I392,0),0)</f>
        <v>0</v>
      </c>
      <c r="K392">
        <v>178.5</v>
      </c>
      <c r="L392">
        <v>179.1350395653205</v>
      </c>
      <c r="M392">
        <f>K392-L392</f>
        <v>-0.6350395653205112</v>
      </c>
      <c r="N392">
        <v>3661.33</v>
      </c>
      <c r="O392">
        <v>3660</v>
      </c>
      <c r="P392">
        <f>O392-N392</f>
        <v>-1.3299999999999272</v>
      </c>
      <c r="Q392">
        <f>K392*N392</f>
        <v>653547.405</v>
      </c>
      <c r="R392">
        <f>L392*O392</f>
        <v>655634.244809073</v>
      </c>
      <c r="S392">
        <f>R392-Q392</f>
        <v>2086.839809073019</v>
      </c>
      <c r="T392" t="str">
        <f>IF(R392&lt;= Q392,"No Monetizar","Monetizar")</f>
        <v>Monetizar</v>
      </c>
      <c r="V392">
        <v>46048</v>
      </c>
      <c r="W392" t="str">
        <v>Alfonso Fonseca A</v>
      </c>
      <c r="X392" t="str">
        <v>Alfonso Fonseca A</v>
      </c>
      <c r="Y392" t="str">
        <v>Se monetiza ya que el valor ofrecido por el banco en cada divisa es superior al valor facturado</v>
      </c>
      <c r="Z392">
        <f>K392*O392</f>
        <v>653310</v>
      </c>
      <c r="AA392">
        <f>Z392-Q392</f>
        <v>-237.40500000002794</v>
      </c>
    </row>
    <row r="393">
      <c r="B393">
        <v>362</v>
      </c>
      <c r="C393" t="str">
        <v>Equus</v>
      </c>
      <c r="D393" t="str">
        <v>FV-5-165</v>
      </c>
      <c r="E393">
        <v>46042</v>
      </c>
      <c r="F393">
        <v>46102</v>
      </c>
      <c r="J393">
        <f>IFERROR(IF(TODAY()&gt;=E393,(TODAY()-E393)/I393,0),0)</f>
        <v>0</v>
      </c>
      <c r="K393">
        <v>1212.87</v>
      </c>
      <c r="L393">
        <v>1217.1849604346794</v>
      </c>
      <c r="M393">
        <f>K393-L393</f>
        <v>-4.314960434679506</v>
      </c>
      <c r="N393">
        <v>3661.33</v>
      </c>
      <c r="O393">
        <v>3660</v>
      </c>
      <c r="P393">
        <f>O393-N393</f>
        <v>-1.3299999999999272</v>
      </c>
      <c r="Q393">
        <f>K393*N393</f>
        <v>4440717.3171</v>
      </c>
      <c r="R393">
        <f>L393*O393</f>
        <v>4454896.955190927</v>
      </c>
      <c r="S393">
        <f>R393-Q393</f>
        <v>14179.638090927154</v>
      </c>
      <c r="T393" t="str">
        <f>IF(R393&lt;= Q393,"No Monetizar","Monetizar")</f>
        <v>Monetizar</v>
      </c>
      <c r="V393">
        <v>46048</v>
      </c>
      <c r="W393" t="str">
        <v>Alfonso Fonseca A</v>
      </c>
      <c r="X393" t="str">
        <v>Alfonso Fonseca A</v>
      </c>
      <c r="Y393" t="str">
        <v>Se monetiza ya que el valor ofrecido por el banco en cada divisa es superior al valor facturado</v>
      </c>
      <c r="Z393">
        <f>K393*O393</f>
        <v>4439104.199999999</v>
      </c>
      <c r="AA393">
        <f>Z393-Q393</f>
        <v>-1613.1171000003815</v>
      </c>
    </row>
    <row r="394">
      <c r="B394">
        <v>363</v>
      </c>
      <c r="C394" t="str">
        <v>Action</v>
      </c>
      <c r="D394" t="str">
        <v>FV-4-6619</v>
      </c>
      <c r="E394">
        <v>46048</v>
      </c>
      <c r="F394">
        <v>46108</v>
      </c>
      <c r="J394">
        <f>IFERROR(IF(TODAY()&gt;=E394,(TODAY()-E394)/I394,0),0)</f>
        <v>0</v>
      </c>
      <c r="K394">
        <v>357.12</v>
      </c>
      <c r="L394">
        <v>357.12</v>
      </c>
      <c r="M394">
        <f>K394-L394</f>
        <v>0</v>
      </c>
      <c r="N394">
        <v>3627.73</v>
      </c>
      <c r="O394">
        <v>3647</v>
      </c>
      <c r="P394">
        <f>O394-N394</f>
        <v>19.269999999999982</v>
      </c>
      <c r="Q394">
        <f>K394*N394</f>
        <v>1295534.9376</v>
      </c>
      <c r="R394">
        <f>L394*O394</f>
        <v>1302416.6400000001</v>
      </c>
      <c r="S394">
        <f>R394-Q394</f>
        <v>6881.702400000067</v>
      </c>
      <c r="T394" t="str">
        <f>IF(R394&lt;= Q394,"No Monetizar","Monetizar")</f>
        <v>Monetizar</v>
      </c>
      <c r="V394">
        <v>46049</v>
      </c>
      <c r="W394" t="str">
        <v>Alfonso Fonseca A</v>
      </c>
      <c r="X394" t="str">
        <v>Alfonso Fonseca A</v>
      </c>
      <c r="Y394" t="str">
        <v>Se monetiza ya que el valor ofrecido por el banco en cada divisa es superior al valor facturado</v>
      </c>
      <c r="Z394">
        <f>K394*O394</f>
        <v>1302416.6400000001</v>
      </c>
      <c r="AA394">
        <f>Z394-Q394</f>
        <v>6881.702400000067</v>
      </c>
    </row>
    <row r="395">
      <c r="B395">
        <v>364</v>
      </c>
      <c r="C395" t="str">
        <v>Action</v>
      </c>
      <c r="D395" t="str">
        <v>FV-5-187</v>
      </c>
      <c r="E395">
        <v>46048</v>
      </c>
      <c r="F395">
        <v>46108</v>
      </c>
      <c r="J395">
        <f>IFERROR(IF(TODAY()&gt;=E395,(TODAY()-E395)/I395,0),0)</f>
        <v>0</v>
      </c>
      <c r="K395">
        <v>3246.56</v>
      </c>
      <c r="L395">
        <v>3246.56</v>
      </c>
      <c r="M395">
        <f>K395-L395</f>
        <v>0</v>
      </c>
      <c r="N395">
        <v>3627.73</v>
      </c>
      <c r="O395">
        <v>3647</v>
      </c>
      <c r="P395">
        <f>O395-N395</f>
        <v>19.269999999999982</v>
      </c>
      <c r="Q395">
        <f>K395*N395</f>
        <v>11777643.1088</v>
      </c>
      <c r="R395">
        <f>L395*O395</f>
        <v>11840204.32</v>
      </c>
      <c r="S395">
        <f>R395-Q395</f>
        <v>62561.21120000072</v>
      </c>
      <c r="T395" t="str">
        <f>IF(R395&lt;= Q395,"No Monetizar","Monetizar")</f>
        <v>Monetizar</v>
      </c>
      <c r="V395">
        <v>46049</v>
      </c>
      <c r="W395" t="str">
        <v>Alfonso Fonseca A</v>
      </c>
      <c r="X395" t="str">
        <v>Alfonso Fonseca A</v>
      </c>
      <c r="Y395" t="str">
        <v>Se monetiza ya que el valor ofrecido por el banco en cada divisa es superior al valor facturado</v>
      </c>
      <c r="Z395">
        <f>K395*O395</f>
        <v>11840204.32</v>
      </c>
      <c r="AA395">
        <f>Z395-Q395</f>
        <v>62561.21120000072</v>
      </c>
    </row>
    <row r="396">
      <c r="B396">
        <v>365</v>
      </c>
      <c r="C396" t="str">
        <v>Marketing Doctors</v>
      </c>
      <c r="D396" t="str">
        <v>FV-4-6602</v>
      </c>
      <c r="E396">
        <v>46048</v>
      </c>
      <c r="F396">
        <v>46108</v>
      </c>
      <c r="J396">
        <f>IFERROR(IF(TODAY()&gt;=E396,(TODAY()-E396)/I396,0),0)</f>
        <v>0</v>
      </c>
      <c r="K396">
        <v>138.39</v>
      </c>
      <c r="L396">
        <v>138.39</v>
      </c>
      <c r="M396">
        <f>K396-L396</f>
        <v>0</v>
      </c>
      <c r="N396">
        <v>3600.31</v>
      </c>
      <c r="O396">
        <v>3675</v>
      </c>
      <c r="P396">
        <f>O396-N396</f>
        <v>74.69000000000005</v>
      </c>
      <c r="Q396">
        <f>K396*N396</f>
        <v>498246.90089999995</v>
      </c>
      <c r="R396">
        <f>L396*O396</f>
        <v>508583.24999999994</v>
      </c>
      <c r="S396">
        <f>R396-Q396</f>
        <v>10336.349099999992</v>
      </c>
      <c r="T396" t="str">
        <f>IF(R396&lt;= Q396,"No Monetizar","Monetizar")</f>
        <v>Monetizar</v>
      </c>
      <c r="V396">
        <v>46049</v>
      </c>
      <c r="W396" t="str">
        <v>Alfonso Fonseca A</v>
      </c>
      <c r="X396" t="str">
        <v>Alfonso Fonseca A</v>
      </c>
      <c r="Y396" t="str">
        <v>Se monetiza ya que el valor ofrecido por el banco en cada divisa es superior al valor facturado</v>
      </c>
      <c r="Z396">
        <f>K396*O396</f>
        <v>508583.24999999994</v>
      </c>
      <c r="AA396">
        <f>Z396-Q396</f>
        <v>10336.349099999992</v>
      </c>
    </row>
    <row r="397">
      <c r="B397">
        <v>366</v>
      </c>
      <c r="C397" t="str">
        <v>Marketing Doctors</v>
      </c>
      <c r="D397" t="str">
        <v>FV-5-168</v>
      </c>
      <c r="E397">
        <v>46048</v>
      </c>
      <c r="F397">
        <v>46108</v>
      </c>
      <c r="J397">
        <f>IFERROR(IF(TODAY()&gt;=E397,(TODAY()-E397)/I397,0),0)</f>
        <v>0</v>
      </c>
      <c r="K397">
        <v>1257.99</v>
      </c>
      <c r="L397">
        <v>1257.99</v>
      </c>
      <c r="M397">
        <f>K397-L397</f>
        <v>0</v>
      </c>
      <c r="N397">
        <v>3600.31</v>
      </c>
      <c r="O397">
        <v>3675</v>
      </c>
      <c r="P397">
        <f>O397-N397</f>
        <v>74.69000000000005</v>
      </c>
      <c r="Q397">
        <f>K397*N397</f>
        <v>4529153.9769</v>
      </c>
      <c r="R397">
        <f>L397*O397</f>
        <v>4623113.25</v>
      </c>
      <c r="S397">
        <f>R397-Q397</f>
        <v>93959.27309999987</v>
      </c>
      <c r="T397" t="str">
        <f>IF(R397&lt;= Q397,"No Monetizar","Monetizar")</f>
        <v>Monetizar</v>
      </c>
      <c r="V397">
        <v>46049</v>
      </c>
      <c r="W397" t="str">
        <v>Alfonso Fonseca A</v>
      </c>
      <c r="X397" t="str">
        <v>Alfonso Fonseca A</v>
      </c>
      <c r="Y397" t="str">
        <v>Se monetiza ya que el valor ofrecido por el banco en cada divisa es superior al valor facturado</v>
      </c>
      <c r="Z397">
        <f>K397*O397</f>
        <v>4623113.25</v>
      </c>
      <c r="AA397">
        <f>Z397-Q397</f>
        <v>93959.27309999987</v>
      </c>
    </row>
    <row r="398">
      <c r="B398">
        <v>367</v>
      </c>
      <c r="C398" t="str">
        <v>Advancio</v>
      </c>
      <c r="D398" t="str">
        <v>FV-6461</v>
      </c>
      <c r="E398">
        <v>46020</v>
      </c>
      <c r="F398">
        <v>46080</v>
      </c>
      <c r="J398">
        <f>IFERROR(IF(TODAY()&gt;=E398,(TODAY()-E398)/I398,0),0)</f>
        <v>0</v>
      </c>
      <c r="K398">
        <v>2219.58</v>
      </c>
      <c r="L398">
        <v>2219.58</v>
      </c>
      <c r="M398">
        <f>K398-L398</f>
        <v>0</v>
      </c>
      <c r="N398">
        <v>3660.98</v>
      </c>
      <c r="O398">
        <v>3669.5</v>
      </c>
      <c r="P398">
        <f>O398-N398</f>
        <v>8.519999999999982</v>
      </c>
      <c r="Q398">
        <f>K398*N398</f>
        <v>8125837.9884</v>
      </c>
      <c r="R398">
        <f>L398*O398</f>
        <v>8144748.81</v>
      </c>
      <c r="S398">
        <f>R398-Q398</f>
        <v>18910.821599999443</v>
      </c>
      <c r="T398" t="str">
        <f>IF(R398&lt;= Q398,"No Monetizar","Monetizar")</f>
        <v>Monetizar</v>
      </c>
      <c r="V398">
        <v>46049</v>
      </c>
      <c r="W398" t="str">
        <v>Alfonso Fonseca A</v>
      </c>
      <c r="X398" t="str">
        <v>Alfonso Fonseca A</v>
      </c>
      <c r="Y398" t="str">
        <v>Se monetiza ya que el valor ofrecido por el banco en cada divisa es superior al valor facturado</v>
      </c>
      <c r="Z398">
        <f>K398*O398</f>
        <v>8144748.81</v>
      </c>
      <c r="AA398">
        <f>Z398-Q398</f>
        <v>18910.821599999443</v>
      </c>
    </row>
    <row r="399">
      <c r="B399">
        <v>368</v>
      </c>
      <c r="C399" t="str">
        <v>Remofirst</v>
      </c>
      <c r="D399">
        <v>6338</v>
      </c>
      <c r="E399">
        <v>46014</v>
      </c>
      <c r="F399">
        <v>46074</v>
      </c>
      <c r="J399">
        <f>IFERROR(IF(TODAY()&gt;=E399,(TODAY()-E399)/I399,0),0)</f>
        <v>0</v>
      </c>
      <c r="K399">
        <v>856.8</v>
      </c>
      <c r="L399">
        <v>856.8</v>
      </c>
      <c r="M399">
        <f>K399-L399</f>
        <v>0</v>
      </c>
      <c r="N399">
        <v>3890.28</v>
      </c>
      <c r="O399">
        <v>3632.5</v>
      </c>
      <c r="P399">
        <f>O399-N399</f>
        <v>-257.7800000000002</v>
      </c>
      <c r="Q399">
        <f>K399*N399</f>
        <v>3333191.904</v>
      </c>
      <c r="R399">
        <f>L399*O399</f>
        <v>3112326</v>
      </c>
      <c r="S399">
        <f>R399-Q399</f>
        <v>-220865.9040000001</v>
      </c>
      <c r="T399" t="str">
        <f>IF(R399&lt;= Q399,"No Monetizar","Monetizar")</f>
        <v>No Monetizar</v>
      </c>
      <c r="V399">
        <v>45685</v>
      </c>
      <c r="W399" t="str">
        <v>Alfonso Fonseca A</v>
      </c>
      <c r="X399" t="str">
        <v>Alfonso Fonseca A</v>
      </c>
      <c r="Y399" t="str">
        <v>Se monetiza el dinero por debajo de un 7% frente a lo facturado que fue de $ 3,890,28.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v>
      </c>
      <c r="Z399">
        <f>K399*O399</f>
        <v>3112326</v>
      </c>
      <c r="AA399">
        <f>Z399-Q399</f>
        <v>-220865.9040000001</v>
      </c>
    </row>
    <row r="400">
      <c r="B400">
        <v>369</v>
      </c>
      <c r="C400" t="str">
        <v>Remofirst</v>
      </c>
      <c r="D400" t="str">
        <v>FV-5-60</v>
      </c>
      <c r="E400">
        <v>46014</v>
      </c>
      <c r="F400">
        <v>46074</v>
      </c>
      <c r="J400">
        <f>IFERROR(IF(TODAY()&gt;=E400,(TODAY()-E400)/I400,0),0)</f>
        <v>0</v>
      </c>
      <c r="K400">
        <v>3255.57</v>
      </c>
      <c r="L400">
        <v>3255.57</v>
      </c>
      <c r="M400">
        <f>K400-L400</f>
        <v>0</v>
      </c>
      <c r="N400">
        <v>3890.28</v>
      </c>
      <c r="O400">
        <v>3632.5</v>
      </c>
      <c r="P400">
        <f>O400-N400</f>
        <v>-257.7800000000002</v>
      </c>
      <c r="Q400">
        <f>K400*N400</f>
        <v>12665078.859600002</v>
      </c>
      <c r="R400">
        <f>L400*O400</f>
        <v>11825858.025</v>
      </c>
      <c r="S400">
        <f>R400-Q400</f>
        <v>-839220.8346000016</v>
      </c>
      <c r="T400" t="str">
        <f>IF(R400&lt;= Q400,"No Monetizar","Monetizar")</f>
        <v>No Monetizar</v>
      </c>
      <c r="V400">
        <v>45685</v>
      </c>
      <c r="W400" t="str">
        <v>Alfonso Fonseca A</v>
      </c>
      <c r="X400" t="str">
        <v>Alfonso Fonseca A</v>
      </c>
      <c r="Y400" t="str">
        <v>Se monetiza el dinero por debajo de un 7% frente a lo facturado que fue de $ 3,890,28.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v>
      </c>
      <c r="Z400">
        <f>K400*O400</f>
        <v>11825858.025</v>
      </c>
      <c r="AA400">
        <f>Z400-Q400</f>
        <v>-839220.8346000016</v>
      </c>
    </row>
    <row r="401">
      <c r="B401">
        <v>370</v>
      </c>
      <c r="C401" t="str">
        <v>Remofirst</v>
      </c>
      <c r="D401" t="str">
        <v>FV-5-79</v>
      </c>
      <c r="E401">
        <v>46014</v>
      </c>
      <c r="F401">
        <v>46074</v>
      </c>
      <c r="J401">
        <f>IFERROR(IF(TODAY()&gt;=E401,(TODAY()-E401)/I401,0),0)</f>
        <v>0</v>
      </c>
      <c r="K401">
        <v>231.52</v>
      </c>
      <c r="L401">
        <v>231.52</v>
      </c>
      <c r="M401">
        <f>K401-L401</f>
        <v>0</v>
      </c>
      <c r="N401">
        <v>3751.51</v>
      </c>
      <c r="O401">
        <v>3632.5</v>
      </c>
      <c r="P401">
        <f>O401-N401</f>
        <v>-119.01000000000022</v>
      </c>
      <c r="Q401">
        <f>K401*N401</f>
        <v>868549.5952000001</v>
      </c>
      <c r="R401">
        <f>L401*O401</f>
        <v>840996.4</v>
      </c>
      <c r="S401">
        <f>R401-Q401</f>
        <v>-27553.195200000075</v>
      </c>
      <c r="T401" t="str">
        <f>IF(R401&lt;= Q401,"No Monetizar","Monetizar")</f>
        <v>No Monetizar</v>
      </c>
      <c r="V401">
        <v>45685</v>
      </c>
      <c r="W401" t="str">
        <v>Alfonso Fonseca A</v>
      </c>
      <c r="X401" t="str">
        <v>Alfonso Fonseca A</v>
      </c>
      <c r="Y401" t="str">
        <v>Se monetiza el dinero por debajo de un 3% frente a lo facturado que fue de $ 3,751,28.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v>
      </c>
      <c r="Z401">
        <f>K401*O401</f>
        <v>840996.4</v>
      </c>
      <c r="AA401">
        <f>Z401-Q401</f>
        <v>-27553.195200000075</v>
      </c>
    </row>
    <row r="402">
      <c r="B402">
        <v>371</v>
      </c>
      <c r="C402" t="str">
        <v>Hemmebarsch GMBH &amp; Co KG</v>
      </c>
      <c r="D402" t="str">
        <v>FV-4-6447</v>
      </c>
      <c r="E402">
        <v>46037</v>
      </c>
      <c r="F402">
        <v>46097</v>
      </c>
      <c r="J402">
        <f>IFERROR(IF(TODAY()&gt;=E402,(TODAY()-E402)/I402,0),0)</f>
        <v>0</v>
      </c>
      <c r="K402">
        <v>185.72</v>
      </c>
      <c r="L402">
        <v>185.72</v>
      </c>
      <c r="M402">
        <f>K402-L402</f>
        <v>0</v>
      </c>
      <c r="N402">
        <v>3682.4</v>
      </c>
      <c r="O402">
        <v>3632.01</v>
      </c>
      <c r="P402">
        <f>O402-N402</f>
        <v>-50.38999999999987</v>
      </c>
      <c r="Q402">
        <f>K402*N402</f>
        <v>683895.328</v>
      </c>
      <c r="R402">
        <f>L402*O402</f>
        <v>674536.8972</v>
      </c>
      <c r="S402">
        <f>R402-Q402</f>
        <v>-9358.430799999973</v>
      </c>
      <c r="T402" t="str">
        <f>IF(R402&lt;= Q402,"No Monetizar","Monetizar")</f>
        <v>No Monetizar</v>
      </c>
      <c r="V402">
        <v>45685</v>
      </c>
      <c r="W402" t="str">
        <v>Alfonso Fonseca A</v>
      </c>
      <c r="X402" t="str">
        <v>Alfonso Fonseca A</v>
      </c>
      <c r="Y402"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2">
        <f>K402*O402</f>
        <v>674536.8972</v>
      </c>
      <c r="AA402">
        <f>Z402-Q402</f>
        <v>-9358.430799999973</v>
      </c>
    </row>
    <row r="403">
      <c r="B403">
        <v>372</v>
      </c>
      <c r="C403" t="str">
        <v>Hemmebarsch GMBH &amp; Co KG</v>
      </c>
      <c r="D403" t="str">
        <v>FV-5-104</v>
      </c>
      <c r="E403">
        <v>46037</v>
      </c>
      <c r="F403">
        <v>46097</v>
      </c>
      <c r="J403">
        <f>IFERROR(IF(TODAY()&gt;=E403,(TODAY()-E403)/I403,0),0)</f>
        <v>0</v>
      </c>
      <c r="K403">
        <v>1857.19</v>
      </c>
      <c r="L403">
        <v>1857.19</v>
      </c>
      <c r="M403">
        <f>K403-L403</f>
        <v>0</v>
      </c>
      <c r="N403">
        <v>3682.4</v>
      </c>
      <c r="O403">
        <v>3632.01</v>
      </c>
      <c r="P403">
        <f>O403-N403</f>
        <v>-50.38999999999987</v>
      </c>
      <c r="Q403">
        <f>K403*N403</f>
        <v>6838916.456</v>
      </c>
      <c r="R403">
        <f>L403*O403</f>
        <v>6745332.651900001</v>
      </c>
      <c r="S403">
        <f>R403-Q403</f>
        <v>-93583.80409999937</v>
      </c>
      <c r="T403" t="str">
        <f>IF(R403&lt;= Q403,"No Monetizar","Monetizar")</f>
        <v>No Monetizar</v>
      </c>
      <c r="V403">
        <v>45685</v>
      </c>
      <c r="W403" t="str">
        <v>Alfonso Fonseca A</v>
      </c>
      <c r="X403" t="str">
        <v>Alfonso Fonseca A</v>
      </c>
      <c r="Y403"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3">
        <f>K403*O403</f>
        <v>6745332.651900001</v>
      </c>
      <c r="AA403">
        <f>Z403-Q403</f>
        <v>-93583.80409999937</v>
      </c>
    </row>
    <row r="404">
      <c r="B404">
        <v>373</v>
      </c>
      <c r="C404" t="str">
        <v>Hemmebarsch GMBH &amp; Co KG</v>
      </c>
      <c r="D404" t="str">
        <v>FV-4-6448</v>
      </c>
      <c r="E404">
        <v>46037</v>
      </c>
      <c r="F404">
        <v>46097</v>
      </c>
      <c r="J404">
        <f>IFERROR(IF(TODAY()&gt;=E404,(TODAY()-E404)/I404,0),0)</f>
        <v>0</v>
      </c>
      <c r="K404">
        <v>116.08</v>
      </c>
      <c r="L404">
        <v>116.08</v>
      </c>
      <c r="M404">
        <f>K404-L404</f>
        <v>0</v>
      </c>
      <c r="N404">
        <v>3682.4</v>
      </c>
      <c r="O404">
        <v>3632.01</v>
      </c>
      <c r="P404">
        <f>O404-N404</f>
        <v>-50.38999999999987</v>
      </c>
      <c r="Q404">
        <f>K404*N404</f>
        <v>427452.992</v>
      </c>
      <c r="R404">
        <f>L404*O404</f>
        <v>421603.7208</v>
      </c>
      <c r="S404">
        <f>R404-Q404</f>
        <v>-5849.271200000017</v>
      </c>
      <c r="T404" t="str">
        <f>IF(R404&lt;= Q404,"No Monetizar","Monetizar")</f>
        <v>No Monetizar</v>
      </c>
      <c r="V404">
        <v>45685</v>
      </c>
      <c r="W404" t="str">
        <v>Alfonso Fonseca A</v>
      </c>
      <c r="X404" t="str">
        <v>Alfonso Fonseca A</v>
      </c>
      <c r="Y404"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4">
        <f>K404*O404</f>
        <v>421603.7208</v>
      </c>
      <c r="AA404">
        <f>Z404-Q404</f>
        <v>-5849.271200000017</v>
      </c>
    </row>
    <row r="405">
      <c r="B405">
        <v>374</v>
      </c>
      <c r="C405" t="str">
        <v>Hemmebarsch GMBH &amp; Co KG</v>
      </c>
      <c r="D405" t="str">
        <v>FV-5-105</v>
      </c>
      <c r="E405">
        <v>46037</v>
      </c>
      <c r="F405">
        <v>46097</v>
      </c>
      <c r="J405">
        <f>IFERROR(IF(TODAY()&gt;=E405,(TODAY()-E405)/I405,0),0)</f>
        <v>0</v>
      </c>
      <c r="K405">
        <v>1160.83</v>
      </c>
      <c r="L405">
        <v>1160.83</v>
      </c>
      <c r="M405">
        <f>K405-L405</f>
        <v>0</v>
      </c>
      <c r="N405">
        <v>3682.4</v>
      </c>
      <c r="O405">
        <v>3632.01</v>
      </c>
      <c r="P405">
        <f>O405-N405</f>
        <v>-50.38999999999987</v>
      </c>
      <c r="Q405">
        <f>K405*N405</f>
        <v>4274640.392</v>
      </c>
      <c r="R405">
        <f>L405*O405</f>
        <v>4216146.1683</v>
      </c>
      <c r="S405">
        <f>R405-Q405</f>
        <v>-58494.22369999997</v>
      </c>
      <c r="T405" t="str">
        <f>IF(R405&lt;= Q405,"No Monetizar","Monetizar")</f>
        <v>No Monetizar</v>
      </c>
      <c r="V405">
        <v>45685</v>
      </c>
      <c r="W405" t="str">
        <v>Alfonso Fonseca A</v>
      </c>
      <c r="X405" t="str">
        <v>Alfonso Fonseca A</v>
      </c>
      <c r="Y405"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5">
        <f>K405*O405</f>
        <v>4216146.1683</v>
      </c>
      <c r="AA405">
        <f>Z405-Q405</f>
        <v>-58494.22369999997</v>
      </c>
    </row>
    <row r="406">
      <c r="B406">
        <v>375</v>
      </c>
      <c r="C406" t="str">
        <v>Hemmebarsch GMBH &amp; Co KG</v>
      </c>
      <c r="D406" t="str">
        <v>FV-4-6539</v>
      </c>
      <c r="E406">
        <v>46037</v>
      </c>
      <c r="F406">
        <v>46097</v>
      </c>
      <c r="J406">
        <f>IFERROR(IF(TODAY()&gt;=E406,(TODAY()-E406)/I406,0),0)</f>
        <v>0</v>
      </c>
      <c r="K406">
        <v>180.74</v>
      </c>
      <c r="L406">
        <v>180.74</v>
      </c>
      <c r="M406">
        <f>K406-L406</f>
        <v>0</v>
      </c>
      <c r="N406">
        <v>3779.41</v>
      </c>
      <c r="O406">
        <v>3632.01</v>
      </c>
      <c r="P406">
        <f>O406-N406</f>
        <v>-147.39999999999964</v>
      </c>
      <c r="Q406">
        <f>K406*N406</f>
        <v>683090.5634</v>
      </c>
      <c r="R406">
        <f>L406*O406</f>
        <v>656449.4874000001</v>
      </c>
      <c r="S406">
        <f>R406-Q406</f>
        <v>-26641.075999999885</v>
      </c>
      <c r="T406" t="str">
        <f>IF(R406&lt;= Q406,"No Monetizar","Monetizar")</f>
        <v>No Monetizar</v>
      </c>
      <c r="V406">
        <v>45685</v>
      </c>
      <c r="W406" t="str">
        <v>Alfonso Fonseca A</v>
      </c>
      <c r="X406" t="str">
        <v>Alfonso Fonseca A</v>
      </c>
      <c r="Y406"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6">
        <f>K406*O406</f>
        <v>656449.4874000001</v>
      </c>
      <c r="AA406">
        <f>Z406-Q406</f>
        <v>-26641.075999999885</v>
      </c>
    </row>
    <row r="407">
      <c r="B407">
        <v>376</v>
      </c>
      <c r="C407" t="str">
        <v>Hemmebarsch GMBH &amp; Co KG</v>
      </c>
      <c r="D407" t="str">
        <v>FV-5-143</v>
      </c>
      <c r="E407">
        <v>46037</v>
      </c>
      <c r="F407">
        <v>46097</v>
      </c>
      <c r="J407">
        <f>IFERROR(IF(TODAY()&gt;=E407,(TODAY()-E407)/I407,0),0)</f>
        <v>0</v>
      </c>
      <c r="K407">
        <v>1807.42</v>
      </c>
      <c r="L407">
        <v>1807.42</v>
      </c>
      <c r="M407">
        <f>K407-L407</f>
        <v>0</v>
      </c>
      <c r="N407">
        <v>3779.41</v>
      </c>
      <c r="O407">
        <v>3632.01</v>
      </c>
      <c r="P407">
        <f>O407-N407</f>
        <v>-147.39999999999964</v>
      </c>
      <c r="Q407">
        <f>K407*N407</f>
        <v>6830981.2222</v>
      </c>
      <c r="R407">
        <f>L407*O407</f>
        <v>6564567.514200001</v>
      </c>
      <c r="S407">
        <f>R407-Q407</f>
        <v>-266413.7079999987</v>
      </c>
      <c r="T407" t="str">
        <f>IF(R407&lt;= Q407,"No Monetizar","Monetizar")</f>
        <v>No Monetizar</v>
      </c>
      <c r="V407">
        <v>45685</v>
      </c>
      <c r="W407" t="str">
        <v>Alfonso Fonseca A</v>
      </c>
      <c r="X407" t="str">
        <v>Alfonso Fonseca A</v>
      </c>
      <c r="Y407"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7">
        <f>K407*O407</f>
        <v>6564567.514200001</v>
      </c>
      <c r="AA407">
        <f>Z407-Q407</f>
        <v>-266413.7079999987</v>
      </c>
    </row>
    <row r="408">
      <c r="B408">
        <v>377</v>
      </c>
      <c r="C408" t="str">
        <v>Hemmebarsch GMBH &amp; Co KG</v>
      </c>
      <c r="D408" t="str">
        <v>FV-4-6540</v>
      </c>
      <c r="E408">
        <v>46037</v>
      </c>
      <c r="F408">
        <v>46097</v>
      </c>
      <c r="J408">
        <f>IFERROR(IF(TODAY()&gt;=E408,(TODAY()-E408)/I408,0),0)</f>
        <v>0</v>
      </c>
      <c r="K408">
        <v>113.24</v>
      </c>
      <c r="L408">
        <v>113.24</v>
      </c>
      <c r="M408">
        <f>K408-L408</f>
        <v>0</v>
      </c>
      <c r="N408">
        <v>3779.41</v>
      </c>
      <c r="O408">
        <v>3632.01</v>
      </c>
      <c r="P408">
        <f>O408-N408</f>
        <v>-147.39999999999964</v>
      </c>
      <c r="Q408">
        <f>K408*N408</f>
        <v>427980.38839999994</v>
      </c>
      <c r="R408">
        <f>L408*O408</f>
        <v>411288.8124</v>
      </c>
      <c r="S408">
        <f>R408-Q408</f>
        <v>-16691.575999999943</v>
      </c>
      <c r="T408" t="str">
        <f>IF(R408&lt;= Q408,"No Monetizar","Monetizar")</f>
        <v>No Monetizar</v>
      </c>
      <c r="V408">
        <v>45685</v>
      </c>
      <c r="W408" t="str">
        <v>Alfonso Fonseca A</v>
      </c>
      <c r="X408" t="str">
        <v>Alfonso Fonseca A</v>
      </c>
      <c r="Y408"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8">
        <f>K408*O408</f>
        <v>411288.8124</v>
      </c>
      <c r="AA408">
        <f>Z408-Q408</f>
        <v>-16691.575999999943</v>
      </c>
    </row>
    <row r="409">
      <c r="B409">
        <v>378</v>
      </c>
      <c r="C409" t="str">
        <v>Hemmebarsch GMBH &amp; Co KG</v>
      </c>
      <c r="D409" t="str">
        <v>FV-5-144</v>
      </c>
      <c r="E409">
        <v>46037</v>
      </c>
      <c r="F409">
        <v>46097</v>
      </c>
      <c r="J409">
        <f>IFERROR(IF(TODAY()&gt;=E409,(TODAY()-E409)/I409,0),0)</f>
        <v>0</v>
      </c>
      <c r="K409">
        <v>1132.42</v>
      </c>
      <c r="L409">
        <v>1132.42</v>
      </c>
      <c r="M409">
        <f>K409-L409</f>
        <v>0</v>
      </c>
      <c r="N409">
        <v>3779.41</v>
      </c>
      <c r="O409">
        <v>3632.01</v>
      </c>
      <c r="P409">
        <f>O409-N409</f>
        <v>-147.39999999999964</v>
      </c>
      <c r="Q409">
        <f>K409*N409</f>
        <v>4279879.4722</v>
      </c>
      <c r="R409">
        <f>L409*O409</f>
        <v>4112960.7642000006</v>
      </c>
      <c r="S409">
        <f>R409-Q409</f>
        <v>-166918.70799999917</v>
      </c>
      <c r="T409" t="str">
        <f>IF(R409&lt;= Q409,"No Monetizar","Monetizar")</f>
        <v>No Monetizar</v>
      </c>
      <c r="V409">
        <v>45685</v>
      </c>
      <c r="W409" t="str">
        <v>Alfonso Fonseca A</v>
      </c>
      <c r="X409" t="str">
        <v>Alfonso Fonseca A</v>
      </c>
      <c r="Y409"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9">
        <f>K409*O409</f>
        <v>4112960.7642000006</v>
      </c>
      <c r="AA409">
        <f>Z409-Q409</f>
        <v>-166918.70799999917</v>
      </c>
    </row>
    <row r="410">
      <c r="B410">
        <v>379</v>
      </c>
      <c r="C410" t="str">
        <v>Remofirst</v>
      </c>
      <c r="D410" t="str">
        <v>FV-4-6610</v>
      </c>
      <c r="E410">
        <v>46043</v>
      </c>
      <c r="F410">
        <v>46103</v>
      </c>
      <c r="J410">
        <f>IFERROR(IF(TODAY()&gt;=E410,(TODAY()-E410)/I410,0),0)</f>
        <v>0</v>
      </c>
      <c r="K410">
        <v>12852</v>
      </c>
      <c r="L410">
        <v>12852</v>
      </c>
      <c r="M410">
        <f>K410-L410</f>
        <v>0</v>
      </c>
      <c r="N410">
        <v>3697.32</v>
      </c>
      <c r="O410">
        <v>3632</v>
      </c>
      <c r="P410">
        <f>O410-N410</f>
        <v>-65.32000000000016</v>
      </c>
      <c r="Q410">
        <f>K410*N410</f>
        <v>47517956.64</v>
      </c>
      <c r="R410">
        <f>L410*O410</f>
        <v>46678464</v>
      </c>
      <c r="S410">
        <f>R410-Q410</f>
        <v>-839492.6400000006</v>
      </c>
      <c r="T410" t="str">
        <f>IF(R410&lt;= Q410,"No Monetizar","Monetizar")</f>
        <v>No Monetizar</v>
      </c>
      <c r="V410">
        <v>45685</v>
      </c>
      <c r="W410" t="str">
        <v>Alfonso Fonseca A</v>
      </c>
      <c r="X410" t="str">
        <v>Alfonso Fonseca A</v>
      </c>
      <c r="Y410" t="str">
        <v>Se monetiza el dinero por debajo de un 2%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10">
        <f>K410*O410</f>
        <v>46678464</v>
      </c>
      <c r="AA410">
        <f>Z410-Q410</f>
        <v>-839492.6400000006</v>
      </c>
    </row>
    <row r="411">
      <c r="B411">
        <v>380</v>
      </c>
      <c r="C411" t="str">
        <v>Remofirst</v>
      </c>
      <c r="D411" t="str">
        <v>FV-5-176</v>
      </c>
      <c r="E411">
        <v>46043</v>
      </c>
      <c r="F411">
        <v>46103</v>
      </c>
      <c r="J411">
        <f>IFERROR(IF(TODAY()&gt;=E411,(TODAY()-E411)/I411,0),0)</f>
        <v>0</v>
      </c>
      <c r="K411">
        <v>261153</v>
      </c>
      <c r="L411">
        <v>261153</v>
      </c>
      <c r="M411">
        <f>K411-L411</f>
        <v>0</v>
      </c>
      <c r="N411">
        <v>3697.32</v>
      </c>
      <c r="O411">
        <v>3632</v>
      </c>
      <c r="P411">
        <f>O411-N411</f>
        <v>-65.32000000000016</v>
      </c>
      <c r="Q411">
        <f>K411*N411</f>
        <v>965566209.96</v>
      </c>
      <c r="R411">
        <f>L411*O411</f>
        <v>948507696</v>
      </c>
      <c r="S411">
        <f>R411-Q411</f>
        <v>-17058513.96000004</v>
      </c>
      <c r="T411" t="str">
        <f>IF(R411&lt;= Q411,"No Monetizar","Monetizar")</f>
        <v>No Monetizar</v>
      </c>
      <c r="V411">
        <v>45685</v>
      </c>
      <c r="W411" t="str">
        <v>Alfonso Fonseca A</v>
      </c>
      <c r="X411" t="str">
        <v>Alfonso Fonseca A</v>
      </c>
      <c r="Y411"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1">
        <f>K411*O411</f>
        <v>948507696</v>
      </c>
      <c r="AA411">
        <f>Z411-Q411</f>
        <v>-17058513.96000004</v>
      </c>
    </row>
    <row r="412">
      <c r="B412">
        <v>381</v>
      </c>
      <c r="C412" t="str">
        <v>Remofirst</v>
      </c>
      <c r="D412" t="str">
        <v>FV-4-6637</v>
      </c>
      <c r="E412">
        <v>46050</v>
      </c>
      <c r="F412">
        <v>46110</v>
      </c>
      <c r="J412">
        <f>IFERROR(IF(TODAY()&gt;=E412,(TODAY()-E412)/I412,0),0)</f>
        <v>0</v>
      </c>
      <c r="K412">
        <v>642.6</v>
      </c>
      <c r="L412">
        <v>642.6</v>
      </c>
      <c r="M412">
        <f>K412-L412</f>
        <v>0</v>
      </c>
      <c r="N412">
        <v>3697.32</v>
      </c>
      <c r="O412">
        <v>3667</v>
      </c>
      <c r="P412">
        <f>O412-N412</f>
        <v>-30.320000000000164</v>
      </c>
      <c r="Q412">
        <f>K412*N412</f>
        <v>2375897.8320000004</v>
      </c>
      <c r="R412">
        <f>L412*O412</f>
        <v>2356414.2</v>
      </c>
      <c r="S412">
        <f>R412-Q412</f>
        <v>-19483.632000000216</v>
      </c>
      <c r="T412" t="str">
        <f>IF(R412&lt;= Q412,"No Monetizar","Monetizar")</f>
        <v>No Monetizar</v>
      </c>
      <c r="V412">
        <v>45685</v>
      </c>
      <c r="W412" t="str">
        <v>Alfonso Fonseca A</v>
      </c>
      <c r="X412" t="str">
        <v>Alfonso Fonseca A</v>
      </c>
      <c r="Y412"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2">
        <f>K412*O412</f>
        <v>2356414.2</v>
      </c>
      <c r="AA412">
        <f>Z412-Q412</f>
        <v>-19483.632000000216</v>
      </c>
    </row>
    <row r="413">
      <c r="B413">
        <v>382</v>
      </c>
      <c r="C413" t="str">
        <v>Remofirst</v>
      </c>
      <c r="D413" t="str">
        <v>FV-5-195</v>
      </c>
      <c r="E413">
        <v>46050</v>
      </c>
      <c r="F413">
        <v>46110</v>
      </c>
      <c r="J413">
        <f>IFERROR(IF(TODAY()&gt;=E413,(TODAY()-E413)/I413,0),0)</f>
        <v>0</v>
      </c>
      <c r="K413">
        <v>17133.3</v>
      </c>
      <c r="L413">
        <v>17133.3</v>
      </c>
      <c r="M413">
        <f>K413-L413</f>
        <v>0</v>
      </c>
      <c r="N413">
        <v>3697.32</v>
      </c>
      <c r="O413">
        <v>3667</v>
      </c>
      <c r="P413">
        <f>O413-N413</f>
        <v>-30.320000000000164</v>
      </c>
      <c r="Q413">
        <f>K413*N413</f>
        <v>63347292.756</v>
      </c>
      <c r="R413">
        <f>L413*O413</f>
        <v>62827811.099999994</v>
      </c>
      <c r="S413">
        <f>R413-Q413</f>
        <v>-519481.6560000032</v>
      </c>
      <c r="T413" t="str">
        <f>IF(R413&lt;= Q413,"No Monetizar","Monetizar")</f>
        <v>No Monetizar</v>
      </c>
      <c r="V413">
        <v>45685</v>
      </c>
      <c r="W413" t="str">
        <v>Alfonso Fonseca A</v>
      </c>
      <c r="X413" t="str">
        <v>Alfonso Fonseca A</v>
      </c>
      <c r="Y413"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3">
        <f>K413*O413</f>
        <v>62827811.099999994</v>
      </c>
      <c r="AA413">
        <f>Z413-Q413</f>
        <v>-519481.6560000032</v>
      </c>
    </row>
    <row r="414">
      <c r="B414">
        <v>383</v>
      </c>
      <c r="C414" t="str">
        <v>Insider</v>
      </c>
      <c r="D414" t="str">
        <v>FV-4-6639</v>
      </c>
      <c r="E414">
        <v>46051</v>
      </c>
      <c r="F414">
        <v>46111</v>
      </c>
      <c r="J414">
        <f>IFERROR(IF(TODAY()&gt;=E414,(TODAY()-E414)/I414,0),0)</f>
        <v>0</v>
      </c>
      <c r="K414">
        <v>6330.8</v>
      </c>
      <c r="L414">
        <v>6330.499970403665</v>
      </c>
      <c r="M414">
        <f>K414-L414</f>
        <v>0.30002959633475257</v>
      </c>
      <c r="N414">
        <v>3632.46</v>
      </c>
      <c r="O414">
        <v>3642.12</v>
      </c>
      <c r="Q414">
        <f>K414*N414</f>
        <v>22996377.768</v>
      </c>
      <c r="R414">
        <f>L414*O414</f>
        <v>23056440.5522066</v>
      </c>
      <c r="S414">
        <f>R414-Q414</f>
        <v>60062.784206599</v>
      </c>
      <c r="T414" t="str">
        <f>IF(R414&lt;= Q414,"No Monetizar","Monetizar")</f>
        <v>Monetizar</v>
      </c>
      <c r="V414">
        <v>45693</v>
      </c>
      <c r="W414" t="str">
        <v>Alfonso Fonseca A</v>
      </c>
      <c r="X414" t="str">
        <v>Alfonso Fonseca A</v>
      </c>
      <c r="Y414"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4">
        <f>K414*O414</f>
        <v>23057533.296</v>
      </c>
      <c r="AA414">
        <f>Z414-Q414</f>
        <v>61155.528000000864</v>
      </c>
    </row>
    <row r="415">
      <c r="B415">
        <v>384</v>
      </c>
      <c r="C415" t="str">
        <v>Insider</v>
      </c>
      <c r="D415" t="str">
        <v>FV-5-199</v>
      </c>
      <c r="E415">
        <v>46051</v>
      </c>
      <c r="F415">
        <v>46111</v>
      </c>
      <c r="J415">
        <f>IFERROR(IF(TODAY()&gt;=E415,(TODAY()-E415)/I415,0),0)</f>
        <v>0</v>
      </c>
      <c r="K415">
        <v>204675.05</v>
      </c>
      <c r="L415">
        <v>204665.35002959636</v>
      </c>
      <c r="M415">
        <f>K415-L415</f>
        <v>9.699970403627958</v>
      </c>
      <c r="N415">
        <v>3632.46</v>
      </c>
      <c r="O415">
        <v>3642.12</v>
      </c>
      <c r="Q415">
        <f>K415*N415</f>
        <v>743473932.1229999</v>
      </c>
      <c r="R415">
        <f>L415*O415</f>
        <v>745415764.6497935</v>
      </c>
      <c r="S415">
        <f>R415-Q415</f>
        <v>1941832.5267935991</v>
      </c>
      <c r="T415" t="str">
        <f>IF(R415&lt;= Q415,"No Monetizar","Monetizar")</f>
        <v>Monetizar</v>
      </c>
      <c r="V415">
        <v>45693</v>
      </c>
      <c r="W415" t="str">
        <v>Alfonso Fonseca A</v>
      </c>
      <c r="X415" t="str">
        <v>Alfonso Fonseca A</v>
      </c>
      <c r="Y415"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5">
        <f>K415*O415</f>
        <v>745451093.106</v>
      </c>
      <c r="AA415">
        <f>Z415-Q415</f>
        <v>1977160.98300004</v>
      </c>
    </row>
    <row r="416">
      <c r="B416">
        <v>385</v>
      </c>
      <c r="C416" t="str">
        <v>Hong kong yonyou xinfushe cloud technology co</v>
      </c>
      <c r="D416" t="str">
        <v>FV-4-6608</v>
      </c>
      <c r="E416">
        <v>46051</v>
      </c>
      <c r="F416">
        <v>46111</v>
      </c>
      <c r="J416">
        <f>IFERROR(IF(TODAY()&gt;=E416,(TODAY()-E416)/I416,0),0)</f>
        <v>0</v>
      </c>
      <c r="K416">
        <v>749.7</v>
      </c>
      <c r="L416">
        <v>749.7</v>
      </c>
      <c r="M416">
        <f>K416-L416</f>
        <v>0</v>
      </c>
      <c r="N416">
        <v>3611.28</v>
      </c>
      <c r="O416">
        <v>3642.12</v>
      </c>
      <c r="Q416">
        <f>K416*N416</f>
        <v>2707376.6160000004</v>
      </c>
      <c r="R416">
        <f>L416*O416</f>
        <v>2730497.364</v>
      </c>
      <c r="S416">
        <f>R416-Q416</f>
        <v>23120.747999999672</v>
      </c>
      <c r="T416" t="str">
        <f>IF(R416&lt;= Q416,"No Monetizar","Monetizar")</f>
        <v>Monetizar</v>
      </c>
      <c r="V416">
        <v>45693</v>
      </c>
      <c r="W416" t="str">
        <v>Alfonso Fonseca A</v>
      </c>
      <c r="X416" t="str">
        <v>Alfonso Fonseca A</v>
      </c>
      <c r="Y416"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6">
        <f>K416*O416</f>
        <v>2730497.364</v>
      </c>
      <c r="AA416">
        <f>Z416-Q416</f>
        <v>23120.747999999672</v>
      </c>
    </row>
    <row r="417">
      <c r="B417">
        <v>386</v>
      </c>
      <c r="C417" t="str">
        <v>Hong kong yonyou xinfushe cloud technology co</v>
      </c>
      <c r="D417" t="str">
        <v>FV-5-174</v>
      </c>
      <c r="E417">
        <v>46051</v>
      </c>
      <c r="F417">
        <v>46111</v>
      </c>
      <c r="J417">
        <f>IFERROR(IF(TODAY()&gt;=E417,(TODAY()-E417)/I417,0),0)</f>
        <v>0</v>
      </c>
      <c r="K417">
        <v>12047.78</v>
      </c>
      <c r="L417">
        <v>12047.78</v>
      </c>
      <c r="M417">
        <f>K417-L417</f>
        <v>0</v>
      </c>
      <c r="N417">
        <v>3611.28</v>
      </c>
      <c r="O417">
        <v>3642.12</v>
      </c>
      <c r="Q417">
        <f>K417*N417</f>
        <v>43507906.9584</v>
      </c>
      <c r="R417">
        <f>L417*O417</f>
        <v>43879460.4936</v>
      </c>
      <c r="S417">
        <f>R417-Q417</f>
        <v>371553.5351999998</v>
      </c>
      <c r="T417" t="str">
        <f>IF(R417&lt;= Q417,"No Monetizar","Monetizar")</f>
        <v>Monetizar</v>
      </c>
      <c r="V417">
        <v>45693</v>
      </c>
      <c r="W417" t="str">
        <v>Alfonso Fonseca A</v>
      </c>
      <c r="X417" t="str">
        <v>Alfonso Fonseca A</v>
      </c>
      <c r="Y417"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7">
        <f>K417*O417</f>
        <v>43879460.4936</v>
      </c>
      <c r="AA417">
        <f>Z417-Q417</f>
        <v>371553.5351999998</v>
      </c>
    </row>
    <row r="418">
      <c r="B418">
        <v>387</v>
      </c>
      <c r="C418" t="str">
        <v>Hong kong yonyou xinfushe cloud technology co</v>
      </c>
      <c r="D418" t="str">
        <v>FV-5-186</v>
      </c>
      <c r="E418">
        <v>46051</v>
      </c>
      <c r="F418">
        <v>46111</v>
      </c>
      <c r="J418">
        <f>IFERROR(IF(TODAY()&gt;=E418,(TODAY()-E418)/I418,0),0)</f>
        <v>0</v>
      </c>
      <c r="K418">
        <v>5875.38</v>
      </c>
      <c r="L418">
        <v>5875.38</v>
      </c>
      <c r="M418">
        <f>K418-L418</f>
        <v>0</v>
      </c>
      <c r="N418">
        <v>3611.28</v>
      </c>
      <c r="O418">
        <v>3642.12</v>
      </c>
      <c r="Q418">
        <f>K418*N418</f>
        <v>21217642.2864</v>
      </c>
      <c r="R418">
        <f>L418*O418</f>
        <v>21398839.005599998</v>
      </c>
      <c r="S418">
        <f>R418-Q418</f>
        <v>181196.71919999644</v>
      </c>
      <c r="T418" t="str">
        <f>IF(R418&lt;= Q418,"No Monetizar","Monetizar")</f>
        <v>Monetizar</v>
      </c>
      <c r="V418">
        <v>45693</v>
      </c>
      <c r="W418" t="str">
        <v>Alfonso Fonseca A</v>
      </c>
      <c r="X418" t="str">
        <v>Alfonso Fonseca A</v>
      </c>
      <c r="Y418"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8">
        <f>K418*O418</f>
        <v>21398839.005599998</v>
      </c>
      <c r="AA418">
        <f>Z418-Q418</f>
        <v>181196.71919999644</v>
      </c>
    </row>
    <row r="419">
      <c r="B419">
        <v>388</v>
      </c>
      <c r="C419" t="str">
        <v>Root Capital</v>
      </c>
      <c r="D419" t="str">
        <v>FV-4-6611</v>
      </c>
      <c r="E419">
        <v>46064</v>
      </c>
      <c r="F419">
        <v>46124</v>
      </c>
      <c r="J419">
        <f>IFERROR(IF(TODAY()&gt;=E419,(TODAY()-E419)/I419,0),0)</f>
        <v>0</v>
      </c>
      <c r="K419">
        <v>582.12</v>
      </c>
      <c r="L419">
        <v>582.12</v>
      </c>
      <c r="M419">
        <f>K419-L419</f>
        <v>0</v>
      </c>
      <c r="N419">
        <v>3632.1</v>
      </c>
      <c r="O419">
        <v>3639</v>
      </c>
      <c r="Q419">
        <f>K419*N419</f>
        <v>2114318.052</v>
      </c>
      <c r="R419">
        <f>L419*O419</f>
        <v>2118334.68</v>
      </c>
      <c r="S419">
        <f>R419-Q419</f>
        <v>4016.628000000026</v>
      </c>
      <c r="T419" t="str">
        <f>IF(R419&lt;= Q419,"No Monetizar","Monetizar")</f>
        <v>Monetizar</v>
      </c>
      <c r="V419">
        <v>45700</v>
      </c>
      <c r="W419" t="str">
        <v>Alfonso Fonseca A</v>
      </c>
      <c r="X419" t="str">
        <v>Alfonso Fonseca A</v>
      </c>
      <c r="Y419"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9">
        <f>K419*O419</f>
        <v>2118334.68</v>
      </c>
      <c r="AA419">
        <f>Z419-Q419</f>
        <v>4016.628000000026</v>
      </c>
    </row>
    <row r="420">
      <c r="B420">
        <v>389</v>
      </c>
      <c r="C420" t="str">
        <v>Root Capital</v>
      </c>
      <c r="D420" t="str">
        <v>FV-5-177</v>
      </c>
      <c r="E420">
        <v>46064</v>
      </c>
      <c r="F420">
        <v>46124</v>
      </c>
      <c r="J420">
        <f>IFERROR(IF(TODAY()&gt;=E420,(TODAY()-E420)/I420,0),0)</f>
        <v>0</v>
      </c>
      <c r="K420">
        <v>6467.97</v>
      </c>
      <c r="L420">
        <v>6467.97</v>
      </c>
      <c r="M420">
        <f>K420-L420</f>
        <v>0</v>
      </c>
      <c r="N420">
        <v>3632.1</v>
      </c>
      <c r="O420">
        <v>3639</v>
      </c>
      <c r="Q420">
        <f>K420*N420</f>
        <v>23492313.837</v>
      </c>
      <c r="R420">
        <f>L420*O420</f>
        <v>23536942.830000002</v>
      </c>
      <c r="S420">
        <f>R420-Q420</f>
        <v>44628.993000000715</v>
      </c>
      <c r="T420" t="str">
        <f>IF(R420&lt;= Q420,"No Monetizar","Monetizar")</f>
        <v>Monetizar</v>
      </c>
      <c r="V420">
        <v>45700</v>
      </c>
      <c r="W420" t="str">
        <v>Alfonso Fonseca A</v>
      </c>
      <c r="X420" t="str">
        <v>Alfonso Fonseca A</v>
      </c>
      <c r="Y420"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20">
        <f>K420*O420</f>
        <v>23536942.830000002</v>
      </c>
      <c r="AA420">
        <f>Z420-Q420</f>
        <v>44628.993000000715</v>
      </c>
    </row>
    <row r="421">
      <c r="B421">
        <v>390</v>
      </c>
      <c r="C421" t="str">
        <v>Root Capital</v>
      </c>
      <c r="D421" t="str">
        <v>FV-5-180</v>
      </c>
      <c r="E421">
        <v>46064</v>
      </c>
      <c r="F421">
        <v>46124</v>
      </c>
      <c r="J421">
        <f>IFERROR(IF(TODAY()&gt;=E421,(TODAY()-E421)/I421,0),0)</f>
        <v>0</v>
      </c>
      <c r="K421">
        <v>2182.6</v>
      </c>
      <c r="L421">
        <v>2182.6</v>
      </c>
      <c r="M421">
        <f>K421-L421</f>
        <v>0</v>
      </c>
      <c r="N421">
        <v>3632.1</v>
      </c>
      <c r="O421">
        <v>3639</v>
      </c>
      <c r="Q421">
        <f>K421*N421</f>
        <v>7927421.459999999</v>
      </c>
      <c r="R421">
        <f>L421*O421</f>
        <v>7942481.399999999</v>
      </c>
      <c r="S421">
        <f>R421-Q421</f>
        <v>15059.94000000041</v>
      </c>
      <c r="T421" t="str">
        <f>IF(R421&lt;= Q421,"No Monetizar","Monetizar")</f>
        <v>Monetizar</v>
      </c>
      <c r="V421">
        <v>45700</v>
      </c>
      <c r="W421" t="str">
        <v>Alfonso Fonseca A</v>
      </c>
      <c r="X421" t="str">
        <v>Alfonso Fonseca A</v>
      </c>
      <c r="Y421"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21">
        <f>K421*O421</f>
        <v>7942481.399999999</v>
      </c>
      <c r="AA421">
        <f>Z421-Q421</f>
        <v>15059.94000000041</v>
      </c>
    </row>
    <row r="422">
      <c r="B422">
        <v>391</v>
      </c>
      <c r="C422" t="str">
        <v>Safeguard</v>
      </c>
      <c r="D422">
        <v>6400</v>
      </c>
      <c r="E422">
        <v>46008</v>
      </c>
      <c r="F422">
        <v>46068</v>
      </c>
      <c r="J422">
        <f>IFERROR(IF(TODAY()&gt;=E422,(TODAY()-E422)/I422,0),0)</f>
        <v>0</v>
      </c>
      <c r="K422">
        <v>1939.5</v>
      </c>
      <c r="L422">
        <v>1939.5</v>
      </c>
      <c r="M422">
        <f>K422-L422</f>
        <v>0</v>
      </c>
      <c r="N422">
        <v>3874.84</v>
      </c>
      <c r="O422">
        <v>3660</v>
      </c>
      <c r="Q422">
        <f>K422*N422</f>
        <v>7515252.180000001</v>
      </c>
      <c r="R422">
        <f>L422*O422</f>
        <v>7098570</v>
      </c>
      <c r="S422">
        <f>R422-Q422</f>
        <v>-416682.18000000063</v>
      </c>
      <c r="T422" t="str">
        <f>IF(R422&lt;= Q422,"No Monetizar","Monetizar")</f>
        <v>No Monetizar</v>
      </c>
      <c r="V422">
        <v>46066</v>
      </c>
      <c r="W422" t="str">
        <v>Alfonso Fonseca A</v>
      </c>
      <c r="X422" t="str">
        <v>Alfonso Fonseca A</v>
      </c>
      <c r="Y422"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2">
        <f>K422*O422</f>
        <v>7098570</v>
      </c>
      <c r="AA422">
        <f>Z422-Q422</f>
        <v>-416682.18000000063</v>
      </c>
    </row>
    <row r="423">
      <c r="B423">
        <v>392</v>
      </c>
      <c r="C423" t="str">
        <v>Safeguard</v>
      </c>
      <c r="D423">
        <v>6401</v>
      </c>
      <c r="E423">
        <v>46008</v>
      </c>
      <c r="F423">
        <v>46068</v>
      </c>
      <c r="J423">
        <f>IFERROR(IF(TODAY()&gt;=E423,(TODAY()-E423)/I423,0),0)</f>
        <v>0</v>
      </c>
      <c r="K423">
        <v>1136.29</v>
      </c>
      <c r="L423">
        <v>1136.29</v>
      </c>
      <c r="M423">
        <f>K423-L423</f>
        <v>0</v>
      </c>
      <c r="N423">
        <v>3874.84</v>
      </c>
      <c r="O423">
        <v>3660</v>
      </c>
      <c r="Q423">
        <f>K423*N423</f>
        <v>4402941.9436</v>
      </c>
      <c r="R423">
        <f>L423*O423</f>
        <v>4158821.4</v>
      </c>
      <c r="S423">
        <f>R423-Q423</f>
        <v>-244120.54359999998</v>
      </c>
      <c r="T423" t="str">
        <f>IF(R423&lt;= Q423,"No Monetizar","Monetizar")</f>
        <v>No Monetizar</v>
      </c>
      <c r="V423">
        <v>46066</v>
      </c>
      <c r="W423" t="str">
        <v>Alfonso Fonseca A</v>
      </c>
      <c r="X423" t="str">
        <v>Alfonso Fonseca A</v>
      </c>
      <c r="Y423"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3">
        <f>K423*O423</f>
        <v>4158821.4</v>
      </c>
      <c r="AA423">
        <f>Z423-Q423</f>
        <v>-244120.54359999998</v>
      </c>
    </row>
    <row r="424">
      <c r="B424">
        <v>393</v>
      </c>
      <c r="C424" t="str">
        <v>Safeguard</v>
      </c>
      <c r="D424">
        <v>6384</v>
      </c>
      <c r="E424">
        <v>46008</v>
      </c>
      <c r="F424">
        <v>46068</v>
      </c>
      <c r="J424">
        <f>IFERROR(IF(TODAY()&gt;=E424,(TODAY()-E424)/I424,0),0)</f>
        <v>0</v>
      </c>
      <c r="K424">
        <v>2847.22</v>
      </c>
      <c r="L424">
        <v>2847.22</v>
      </c>
      <c r="M424">
        <f>K424-L424</f>
        <v>0</v>
      </c>
      <c r="N424">
        <v>3876.6</v>
      </c>
      <c r="O424">
        <v>3660</v>
      </c>
      <c r="Q424">
        <f>K424*N424</f>
        <v>11037533.052</v>
      </c>
      <c r="R424">
        <f>L424*O424</f>
        <v>10420825.2</v>
      </c>
      <c r="S424">
        <f>R424-Q424</f>
        <v>-616707.852</v>
      </c>
      <c r="T424" t="str">
        <f>IF(R424&lt;= Q424,"No Monetizar","Monetizar")</f>
        <v>No Monetizar</v>
      </c>
      <c r="V424">
        <v>46066</v>
      </c>
      <c r="W424" t="str">
        <v>Alfonso Fonseca A</v>
      </c>
      <c r="X424" t="str">
        <v>Alfonso Fonseca A</v>
      </c>
      <c r="Y424"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4">
        <f>K424*O424</f>
        <v>10420825.2</v>
      </c>
      <c r="AA424">
        <f>Z424-Q424</f>
        <v>-616707.852</v>
      </c>
    </row>
    <row r="425">
      <c r="B425">
        <v>394</v>
      </c>
      <c r="C425" t="str">
        <v>Safeguard</v>
      </c>
      <c r="D425">
        <v>6385</v>
      </c>
      <c r="E425">
        <v>46008</v>
      </c>
      <c r="F425">
        <v>46068</v>
      </c>
      <c r="J425">
        <f>IFERROR(IF(TODAY()&gt;=E425,(TODAY()-E425)/I425,0),0)</f>
        <v>0</v>
      </c>
      <c r="K425">
        <v>2880</v>
      </c>
      <c r="L425">
        <v>2880</v>
      </c>
      <c r="M425">
        <f>K425-L425</f>
        <v>0</v>
      </c>
      <c r="N425">
        <v>3876.6</v>
      </c>
      <c r="O425">
        <v>3660</v>
      </c>
      <c r="Q425">
        <f>K425*N425</f>
        <v>11164608</v>
      </c>
      <c r="R425">
        <f>L425*O425</f>
        <v>10540800</v>
      </c>
      <c r="S425">
        <f>R425-Q425</f>
        <v>-623808</v>
      </c>
      <c r="T425" t="str">
        <f>IF(R425&lt;= Q425,"No Monetizar","Monetizar")</f>
        <v>No Monetizar</v>
      </c>
      <c r="V425">
        <v>46066</v>
      </c>
      <c r="W425" t="str">
        <v>Alfonso Fonseca A</v>
      </c>
      <c r="X425" t="str">
        <v>Alfonso Fonseca A</v>
      </c>
      <c r="Y425"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5">
        <f>K425*O425</f>
        <v>10540800</v>
      </c>
      <c r="AA425">
        <f>Z425-Q425</f>
        <v>-623808</v>
      </c>
    </row>
    <row r="426">
      <c r="B426">
        <v>395</v>
      </c>
      <c r="C426" t="str">
        <v>Global Project</v>
      </c>
      <c r="D426">
        <v>6315</v>
      </c>
      <c r="E426">
        <v>46007</v>
      </c>
      <c r="F426">
        <v>46067</v>
      </c>
      <c r="J426">
        <f>IFERROR(IF(TODAY()&gt;=E426,(TODAY()-E426)/I426,0),0)</f>
        <v>0</v>
      </c>
      <c r="K426">
        <v>700</v>
      </c>
      <c r="L426">
        <v>698.2342272347745</v>
      </c>
      <c r="M426">
        <f>K426-L426</f>
        <v>1.7657727652255062</v>
      </c>
      <c r="N426">
        <v>3844.47</v>
      </c>
      <c r="O426">
        <v>3660</v>
      </c>
      <c r="Q426">
        <f>K426*N426</f>
        <v>2691129</v>
      </c>
      <c r="R426">
        <f>L426*O426</f>
        <v>2555537.2716792747</v>
      </c>
      <c r="S426">
        <f>R426-Q426</f>
        <v>-135591.72832072526</v>
      </c>
      <c r="T426" t="str">
        <f>IF(R426&lt;= Q426,"No Monetizar","Monetizar")</f>
        <v>No Monetizar</v>
      </c>
      <c r="V426">
        <v>46066</v>
      </c>
      <c r="W426" t="str">
        <v>Alfonso Fonseca A</v>
      </c>
      <c r="X426" t="str">
        <v>Alfonso Fonseca A</v>
      </c>
      <c r="Y426"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6">
        <f>K426*O426</f>
        <v>2562000</v>
      </c>
      <c r="AA426">
        <f>Z426-Q426</f>
        <v>-129129</v>
      </c>
    </row>
    <row r="427">
      <c r="B427">
        <v>396</v>
      </c>
      <c r="C427" t="str">
        <v>Global Project</v>
      </c>
      <c r="D427" t="str">
        <v>FV-5-27</v>
      </c>
      <c r="E427">
        <v>46007</v>
      </c>
      <c r="F427">
        <v>46067</v>
      </c>
      <c r="J427">
        <f>IFERROR(IF(TODAY()&gt;=E427,(TODAY()-E427)/I427,0),0)</f>
        <v>0</v>
      </c>
      <c r="K427">
        <v>985.76</v>
      </c>
      <c r="L427">
        <v>983.2733883413591</v>
      </c>
      <c r="M427">
        <f>K427-L427</f>
        <v>2.486611658640868</v>
      </c>
      <c r="N427">
        <v>4034.18</v>
      </c>
      <c r="O427">
        <v>3660</v>
      </c>
      <c r="Q427">
        <f>K427*N427</f>
        <v>3976733.2767999996</v>
      </c>
      <c r="R427">
        <f>L427*O427</f>
        <v>3598780.6013293746</v>
      </c>
      <c r="S427">
        <f>R427-Q427</f>
        <v>-377952.67547062505</v>
      </c>
      <c r="T427" t="str">
        <f>IF(R427&lt;= Q427,"No Monetizar","Monetizar")</f>
        <v>No Monetizar</v>
      </c>
      <c r="V427">
        <v>46066</v>
      </c>
      <c r="W427" t="str">
        <v>Alfonso Fonseca A</v>
      </c>
      <c r="X427" t="str">
        <v>Alfonso Fonseca A</v>
      </c>
      <c r="Y427"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7">
        <f>K427*O427</f>
        <v>3607881.6</v>
      </c>
      <c r="AA427">
        <f>Z427-Q427</f>
        <v>-368851.67679999955</v>
      </c>
    </row>
    <row r="428">
      <c r="B428">
        <v>397</v>
      </c>
      <c r="C428" t="str">
        <v>Global Project</v>
      </c>
      <c r="D428" t="str">
        <v>FV-5-47</v>
      </c>
      <c r="E428">
        <v>46007</v>
      </c>
      <c r="F428">
        <v>46067</v>
      </c>
      <c r="J428">
        <f>IFERROR(IF(TODAY()&gt;=E428,(TODAY()-E428)/I428,0),0)</f>
        <v>0</v>
      </c>
      <c r="K428">
        <v>2278.51</v>
      </c>
      <c r="L428">
        <v>2272.762384423866</v>
      </c>
      <c r="M428">
        <f>K428-L428</f>
        <v>5.747615576134194</v>
      </c>
      <c r="N428">
        <v>3857</v>
      </c>
      <c r="O428">
        <v>3660</v>
      </c>
      <c r="Q428">
        <f>K428*N428</f>
        <v>8788213.07</v>
      </c>
      <c r="R428">
        <f>L428*O428</f>
        <v>8318310.326991349</v>
      </c>
      <c r="S428">
        <f>R428-Q428</f>
        <v>-469902.74300865084</v>
      </c>
      <c r="T428" t="str">
        <f>IF(R428&lt;= Q428,"No Monetizar","Monetizar")</f>
        <v>No Monetizar</v>
      </c>
      <c r="V428">
        <v>46066</v>
      </c>
      <c r="W428" t="str">
        <v>Alfonso Fonseca A</v>
      </c>
      <c r="X428" t="str">
        <v>Alfonso Fonseca A</v>
      </c>
      <c r="Y428"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8">
        <f>K428*O428</f>
        <v>8339346.600000001</v>
      </c>
      <c r="AA428">
        <f>Z428-Q428</f>
        <v>-448866.46999999974</v>
      </c>
    </row>
    <row r="429">
      <c r="B429">
        <v>398</v>
      </c>
      <c r="C429" t="str">
        <v>Deel</v>
      </c>
      <c r="D429" t="str">
        <v>6407-6408-6409-6410-6411-6412-6413-6491-6492-6493-6494-6495</v>
      </c>
      <c r="E429">
        <v>46013</v>
      </c>
      <c r="F429">
        <v>46073</v>
      </c>
      <c r="J429">
        <f>IFERROR(IF(TODAY()&gt;=E429,(TODAY()-E429)/I429,0),0)</f>
        <v>0</v>
      </c>
      <c r="K429">
        <v>10676.43</v>
      </c>
      <c r="L429">
        <v>10661.43</v>
      </c>
      <c r="M429">
        <f>K429-L429</f>
        <v>15</v>
      </c>
      <c r="N429">
        <v>3870.42</v>
      </c>
      <c r="O429">
        <v>3660</v>
      </c>
      <c r="Q429">
        <f>K429*N429</f>
        <v>41322268.2006</v>
      </c>
      <c r="R429">
        <f>L429*O429</f>
        <v>39020833.800000004</v>
      </c>
      <c r="S429">
        <f>R429-Q429</f>
        <v>-2301434.4005999938</v>
      </c>
      <c r="T429" t="str">
        <f>IF(R429&lt;= Q429,"No Monetizar","Monetizar")</f>
        <v>No Monetizar</v>
      </c>
      <c r="V429">
        <v>46066</v>
      </c>
      <c r="W429" t="str">
        <v>Alfonso Fonseca A</v>
      </c>
      <c r="X429" t="str">
        <v>Alfonso Fonseca A</v>
      </c>
      <c r="Y429"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9">
        <f>K429*O429</f>
        <v>39075733.800000004</v>
      </c>
      <c r="AA429">
        <f>Z429-Q429</f>
        <v>-2246534.4005999938</v>
      </c>
    </row>
    <row r="430">
      <c r="B430">
        <v>399</v>
      </c>
      <c r="C430" t="str">
        <v>Deel</v>
      </c>
      <c r="D430" t="str">
        <v>6415-6416-6417-6496-6497-6498-6499-126</v>
      </c>
      <c r="E430">
        <v>46013</v>
      </c>
      <c r="F430">
        <v>46073</v>
      </c>
      <c r="J430">
        <f>IFERROR(IF(TODAY()&gt;=E430,(TODAY()-E430)/I430,0),0)</f>
        <v>0</v>
      </c>
      <c r="K430">
        <v>3887.76</v>
      </c>
      <c r="L430">
        <v>3887.76</v>
      </c>
      <c r="M430">
        <f>K430-L430</f>
        <v>0</v>
      </c>
      <c r="N430">
        <f>(3773.6+3870.42)/2</f>
        <v>3822.01</v>
      </c>
      <c r="O430">
        <v>3660</v>
      </c>
      <c r="Q430">
        <f>K430*N430</f>
        <v>14859057.597600002</v>
      </c>
      <c r="R430">
        <f>L430*O430</f>
        <v>14229201.600000001</v>
      </c>
      <c r="S430">
        <f>R430-Q430</f>
        <v>-629855.9976000004</v>
      </c>
      <c r="T430" t="str">
        <f>IF(R430&lt;= Q430,"No Monetizar","Monetizar")</f>
        <v>No Monetizar</v>
      </c>
      <c r="V430">
        <v>46066</v>
      </c>
      <c r="W430" t="str">
        <v>Alfonso Fonseca A</v>
      </c>
      <c r="X430" t="str">
        <v>Alfonso Fonseca A</v>
      </c>
      <c r="Y430"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0">
        <f>K430*O430</f>
        <v>14229201.600000001</v>
      </c>
      <c r="AA430">
        <f>Z430-Q430</f>
        <v>-629855.9976000004</v>
      </c>
    </row>
    <row r="431">
      <c r="B431">
        <v>400</v>
      </c>
      <c r="C431" t="str">
        <v>Deel</v>
      </c>
      <c r="D431" t="str">
        <v>6165-6166-6167-6168-6169-6170-6171-6172-6173-6174-6249-6250-6251-6252-6253-6254-6255-6256-6257-6486-6487-6488-6489-6490-6581-6582-6583-6586-6587-6588-6589</v>
      </c>
      <c r="E431">
        <v>46044</v>
      </c>
      <c r="F431">
        <v>46104</v>
      </c>
      <c r="J431">
        <f>IFERROR(IF(TODAY()&gt;=E431,(TODAY()-E431)/I431,0),0)</f>
        <v>0</v>
      </c>
      <c r="K431">
        <v>37704.08</v>
      </c>
      <c r="L431">
        <v>37689.08</v>
      </c>
      <c r="M431">
        <f>K431-L431</f>
        <v>15</v>
      </c>
      <c r="N431">
        <f>(4179.69+4019.09+3773.6+3706.97+3706.97)/5</f>
        <v>3877.264</v>
      </c>
      <c r="O431">
        <v>3660</v>
      </c>
      <c r="Q431">
        <f>K431*N431</f>
        <v>146188672.03712</v>
      </c>
      <c r="R431">
        <f>L431*O431</f>
        <v>137942032.8</v>
      </c>
      <c r="S431">
        <f>R431-Q431</f>
        <v>-8246639.2371200025</v>
      </c>
      <c r="T431" t="str">
        <f>IF(R431&lt;= Q431,"No Monetizar","Monetizar")</f>
        <v>No Monetizar</v>
      </c>
      <c r="V431">
        <v>46066</v>
      </c>
      <c r="W431" t="str">
        <v>Alfonso Fonseca A</v>
      </c>
      <c r="X431" t="str">
        <v>Alfonso Fonseca A</v>
      </c>
      <c r="Y431"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1">
        <f>K431*O431</f>
        <v>137996932.8</v>
      </c>
      <c r="AA431">
        <f>Z431-Q431</f>
        <v>-8191739.2371200025</v>
      </c>
    </row>
    <row r="432">
      <c r="B432">
        <v>401</v>
      </c>
      <c r="C432" t="str">
        <v>Deel</v>
      </c>
      <c r="D432" t="str">
        <v>6175-6176-6177-6178-6179-6258-6259-6260-6261-6262-6500-6592-164-6593-6594</v>
      </c>
      <c r="E432">
        <v>46044</v>
      </c>
      <c r="F432">
        <v>46104</v>
      </c>
      <c r="J432">
        <f>IFERROR(IF(TODAY()&gt;=E432,(TODAY()-E432)/I432,0),0)</f>
        <v>0</v>
      </c>
      <c r="K432">
        <v>28920.49</v>
      </c>
      <c r="L432">
        <v>28920.49</v>
      </c>
      <c r="M432">
        <f>K432-L432</f>
        <v>0</v>
      </c>
      <c r="N432">
        <f>(4179.69+4019.09+3773.6+3706.97+3706.97)/5</f>
        <v>3877.264</v>
      </c>
      <c r="O432">
        <v>3660</v>
      </c>
      <c r="Q432">
        <f>K432*N432</f>
        <v>112132374.73936</v>
      </c>
      <c r="R432">
        <f>L432*O432</f>
        <v>105848993.4</v>
      </c>
      <c r="S432">
        <f>R432-Q432</f>
        <v>-6283381.339359999</v>
      </c>
      <c r="T432" t="str">
        <f>IF(R432&lt;= Q432,"No Monetizar","Monetizar")</f>
        <v>No Monetizar</v>
      </c>
      <c r="V432">
        <v>46066</v>
      </c>
      <c r="W432" t="str">
        <v>Alfonso Fonseca A</v>
      </c>
      <c r="X432" t="str">
        <v>Alfonso Fonseca A</v>
      </c>
      <c r="Y432"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2">
        <f>K432*O432</f>
        <v>105848993.4</v>
      </c>
      <c r="AA432">
        <f>Z432-Q432</f>
        <v>-6283381.339359999</v>
      </c>
    </row>
    <row r="433">
      <c r="B433">
        <v>402</v>
      </c>
      <c r="C433" t="str">
        <v>Deel</v>
      </c>
      <c r="D433" t="str">
        <v>6584-6585</v>
      </c>
      <c r="E433">
        <v>46044</v>
      </c>
      <c r="F433">
        <v>46104</v>
      </c>
      <c r="J433">
        <f>IFERROR(IF(TODAY()&gt;=E433,(TODAY()-E433)/I433,0),0)</f>
        <v>0</v>
      </c>
      <c r="K433">
        <v>2153.04</v>
      </c>
      <c r="L433">
        <v>2143.04</v>
      </c>
      <c r="M433">
        <f>K433-L433</f>
        <v>10</v>
      </c>
      <c r="N433">
        <v>3706.97</v>
      </c>
      <c r="O433">
        <v>3660</v>
      </c>
      <c r="Q433">
        <f>K433*N433</f>
        <v>7981254.6888</v>
      </c>
      <c r="R433">
        <f>L433*O433</f>
        <v>7843526.399999999</v>
      </c>
      <c r="S433">
        <f>R433-Q433</f>
        <v>-137728.2888000002</v>
      </c>
      <c r="T433" t="str">
        <f>IF(R433&lt;= Q433,"No Monetizar","Monetizar")</f>
        <v>No Monetizar</v>
      </c>
      <c r="V433">
        <v>46066</v>
      </c>
      <c r="W433" t="str">
        <v>Alfonso Fonseca A</v>
      </c>
      <c r="X433" t="str">
        <v>Alfonso Fonseca A</v>
      </c>
      <c r="Y433"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3">
        <f>K433*O433</f>
        <v>7880126.399999999</v>
      </c>
      <c r="AA433">
        <f>Z433-Q433</f>
        <v>-101128.28880000021</v>
      </c>
    </row>
    <row r="434">
      <c r="B434">
        <v>403</v>
      </c>
      <c r="C434" t="str">
        <v>Deel</v>
      </c>
      <c r="D434" t="str">
        <v>6590-6591</v>
      </c>
      <c r="E434">
        <v>46044</v>
      </c>
      <c r="F434">
        <v>46104</v>
      </c>
      <c r="J434">
        <f>IFERROR(IF(TODAY()&gt;=E434,(TODAY()-E434)/I434,0),0)</f>
        <v>0</v>
      </c>
      <c r="K434">
        <v>750.62</v>
      </c>
      <c r="L434">
        <v>750.62</v>
      </c>
      <c r="M434">
        <f>K434-L434</f>
        <v>0</v>
      </c>
      <c r="N434">
        <v>3706.97</v>
      </c>
      <c r="O434">
        <v>3660</v>
      </c>
      <c r="Q434">
        <f>K434*N434</f>
        <v>2782525.8214</v>
      </c>
      <c r="R434">
        <f>L434*O434</f>
        <v>2747269.2</v>
      </c>
      <c r="S434">
        <f>R434-Q434</f>
        <v>-35256.621399999596</v>
      </c>
      <c r="T434" t="str">
        <f>IF(R434&lt;= Q434,"No Monetizar","Monetizar")</f>
        <v>No Monetizar</v>
      </c>
      <c r="V434">
        <v>46066</v>
      </c>
      <c r="W434" t="str">
        <v>Alfonso Fonseca A</v>
      </c>
      <c r="X434" t="str">
        <v>Alfonso Fonseca A</v>
      </c>
      <c r="Y434"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4">
        <f>K434*O434</f>
        <v>2747269.2</v>
      </c>
      <c r="AA434">
        <f>Z434-Q434</f>
        <v>-35256.621399999596</v>
      </c>
    </row>
    <row r="435">
      <c r="B435">
        <v>404</v>
      </c>
      <c r="C435" t="str">
        <v>Safeguard</v>
      </c>
      <c r="D435">
        <v>6482</v>
      </c>
      <c r="E435">
        <v>46052</v>
      </c>
      <c r="F435">
        <v>46112</v>
      </c>
      <c r="J435">
        <f>IFERROR(IF(TODAY()&gt;=E435,(TODAY()-E435)/I435,0),0)</f>
        <v>0</v>
      </c>
      <c r="K435">
        <v>3595.73</v>
      </c>
      <c r="L435">
        <v>3595.73</v>
      </c>
      <c r="M435">
        <f>K435-L435</f>
        <v>0</v>
      </c>
      <c r="N435">
        <v>3773.6</v>
      </c>
      <c r="O435">
        <v>3660</v>
      </c>
      <c r="Q435">
        <f>K435*N435</f>
        <v>13568846.728</v>
      </c>
      <c r="R435">
        <f>L435*O435</f>
        <v>13160371.8</v>
      </c>
      <c r="S435">
        <f>R435-Q435</f>
        <v>-408474.9279999994</v>
      </c>
      <c r="T435" t="str">
        <f>IF(R435&lt;= Q435,"No Monetizar","Monetizar")</f>
        <v>No Monetizar</v>
      </c>
      <c r="V435">
        <v>46066</v>
      </c>
      <c r="W435" t="str">
        <v>Alfonso Fonseca A</v>
      </c>
      <c r="X435" t="str">
        <v>Alfonso Fonseca A</v>
      </c>
      <c r="Y435"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5">
        <f>K435*O435</f>
        <v>13160371.8</v>
      </c>
      <c r="AA435">
        <f>Z435-Q435</f>
        <v>-408474.9279999994</v>
      </c>
    </row>
    <row r="436">
      <c r="B436">
        <v>405</v>
      </c>
      <c r="C436" t="str">
        <v>Safeguard</v>
      </c>
      <c r="D436">
        <v>6483</v>
      </c>
      <c r="E436">
        <v>46052</v>
      </c>
      <c r="F436">
        <v>46112</v>
      </c>
      <c r="J436">
        <f>IFERROR(IF(TODAY()&gt;=E436,(TODAY()-E436)/I436,0),0)</f>
        <v>0</v>
      </c>
      <c r="K436">
        <v>1240.35</v>
      </c>
      <c r="L436">
        <v>1240.35</v>
      </c>
      <c r="M436">
        <f>K436-L436</f>
        <v>0</v>
      </c>
      <c r="N436">
        <v>3773.6</v>
      </c>
      <c r="O436">
        <v>3660</v>
      </c>
      <c r="Q436">
        <f>K436*N436</f>
        <v>4680584.76</v>
      </c>
      <c r="R436">
        <f>L436*O436</f>
        <v>4539681</v>
      </c>
      <c r="S436">
        <f>R436-Q436</f>
        <v>-140903.75999999978</v>
      </c>
      <c r="T436" t="str">
        <f>IF(R436&lt;= Q436,"No Monetizar","Monetizar")</f>
        <v>No Monetizar</v>
      </c>
      <c r="V436">
        <v>46066</v>
      </c>
      <c r="W436" t="str">
        <v>Alfonso Fonseca A</v>
      </c>
      <c r="X436" t="str">
        <v>Alfonso Fonseca A</v>
      </c>
      <c r="Y436"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6">
        <f>K436*O436</f>
        <v>4539681</v>
      </c>
      <c r="AA436">
        <f>Z436-Q436</f>
        <v>-140903.75999999978</v>
      </c>
    </row>
    <row r="437">
      <c r="B437">
        <v>406</v>
      </c>
      <c r="C437" t="str">
        <v>Safeguard</v>
      </c>
      <c r="D437">
        <v>6484</v>
      </c>
      <c r="E437">
        <v>46052</v>
      </c>
      <c r="F437">
        <v>46112</v>
      </c>
      <c r="J437">
        <f>IFERROR(IF(TODAY()&gt;=E437,(TODAY()-E437)/I437,0),0)</f>
        <v>0</v>
      </c>
      <c r="K437">
        <v>2280</v>
      </c>
      <c r="L437">
        <v>2280</v>
      </c>
      <c r="M437">
        <f>K437-L437</f>
        <v>0</v>
      </c>
      <c r="N437">
        <v>3773.6</v>
      </c>
      <c r="O437">
        <v>3660</v>
      </c>
      <c r="Q437">
        <f>K437*N437</f>
        <v>8603808</v>
      </c>
      <c r="R437">
        <f>L437*O437</f>
        <v>8344800</v>
      </c>
      <c r="S437">
        <f>R437-Q437</f>
        <v>-259008</v>
      </c>
      <c r="T437" t="str">
        <f>IF(R437&lt;= Q437,"No Monetizar","Monetizar")</f>
        <v>No Monetizar</v>
      </c>
      <c r="V437">
        <v>46066</v>
      </c>
      <c r="W437" t="str">
        <v>Alfonso Fonseca A</v>
      </c>
      <c r="X437" t="str">
        <v>Alfonso Fonseca A</v>
      </c>
      <c r="Y437"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7">
        <f>K437*O437</f>
        <v>8344800</v>
      </c>
      <c r="AA437">
        <f>Z437-Q437</f>
        <v>-259008</v>
      </c>
    </row>
    <row r="438">
      <c r="B438">
        <v>407</v>
      </c>
      <c r="C438" t="str">
        <v>Global Project</v>
      </c>
      <c r="D438">
        <v>6354</v>
      </c>
      <c r="E438">
        <v>46058</v>
      </c>
      <c r="F438">
        <v>46118</v>
      </c>
      <c r="J438">
        <f>IFERROR(IF(TODAY()&gt;=E438,(TODAY()-E438)/I438,0),0)</f>
        <v>0</v>
      </c>
      <c r="K438">
        <v>700</v>
      </c>
      <c r="L438">
        <v>695</v>
      </c>
      <c r="M438">
        <f>K438-L438</f>
        <v>5</v>
      </c>
      <c r="N438">
        <v>3913.24</v>
      </c>
      <c r="O438">
        <v>3660</v>
      </c>
      <c r="Q438">
        <f>K438*N438</f>
        <v>2739268</v>
      </c>
      <c r="R438">
        <f>L438*O438</f>
        <v>2543700</v>
      </c>
      <c r="S438">
        <f>R438-Q438</f>
        <v>-195568</v>
      </c>
      <c r="T438" t="str">
        <f>IF(R438&lt;= Q438,"No Monetizar","Monetizar")</f>
        <v>No Monetizar</v>
      </c>
      <c r="V438">
        <v>46066</v>
      </c>
      <c r="W438" t="str">
        <v>Alfonso Fonseca A</v>
      </c>
      <c r="X438" t="str">
        <v>Alfonso Fonseca A</v>
      </c>
      <c r="Y438"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8">
        <f>K438*O438</f>
        <v>2562000</v>
      </c>
      <c r="AA438">
        <f>Z438-Q438</f>
        <v>-177268</v>
      </c>
    </row>
    <row r="439">
      <c r="B439">
        <v>408</v>
      </c>
      <c r="C439" t="str">
        <v>Hong kong yonyou xinfushe cloud technology co</v>
      </c>
      <c r="D439">
        <v>6559</v>
      </c>
      <c r="E439">
        <v>46015</v>
      </c>
      <c r="F439">
        <v>46075</v>
      </c>
      <c r="J439">
        <f>IFERROR(IF(TODAY()&gt;=E439,(TODAY()-E439)/I439,0),0)</f>
        <v>0</v>
      </c>
      <c r="K439">
        <v>749.7</v>
      </c>
      <c r="L439">
        <v>749.7</v>
      </c>
      <c r="M439">
        <f>K439-L439</f>
        <v>0</v>
      </c>
      <c r="N439">
        <v>3808.77</v>
      </c>
      <c r="O439">
        <v>3660</v>
      </c>
      <c r="Q439">
        <f>K439*N439</f>
        <v>2855434.869</v>
      </c>
      <c r="R439">
        <f>L439*O439</f>
        <v>2743902</v>
      </c>
      <c r="S439">
        <f>R439-Q439</f>
        <v>-111532.86899999995</v>
      </c>
      <c r="T439" t="str">
        <f>IF(R439&lt;= Q439,"No Monetizar","Monetizar")</f>
        <v>No Monetizar</v>
      </c>
      <c r="V439">
        <v>46066</v>
      </c>
      <c r="W439" t="str">
        <v>Alfonso Fonseca A</v>
      </c>
      <c r="X439" t="str">
        <v>Alfonso Fonseca A</v>
      </c>
      <c r="Y439"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9">
        <f>K439*O439</f>
        <v>2743902</v>
      </c>
      <c r="AA439">
        <f>Z439-Q439</f>
        <v>-111532.86899999995</v>
      </c>
    </row>
    <row r="440">
      <c r="B440">
        <v>409</v>
      </c>
      <c r="C440" t="str">
        <v>Hong kong yonyou xinfushe cloud technology co</v>
      </c>
      <c r="D440" t="str">
        <v>FV-5-152</v>
      </c>
      <c r="E440">
        <v>46015</v>
      </c>
      <c r="F440">
        <v>46075</v>
      </c>
      <c r="J440">
        <f>IFERROR(IF(TODAY()&gt;=E440,(TODAY()-E440)/I440,0),0)</f>
        <v>0</v>
      </c>
      <c r="K440">
        <v>13987.83</v>
      </c>
      <c r="L440">
        <v>13987.83</v>
      </c>
      <c r="M440">
        <f>K440-L440</f>
        <v>0</v>
      </c>
      <c r="N440">
        <v>3808.77</v>
      </c>
      <c r="O440">
        <v>3660</v>
      </c>
      <c r="Q440">
        <f>K440*N440</f>
        <v>53276427.2691</v>
      </c>
      <c r="R440">
        <f>L440*O440</f>
        <v>51195457.8</v>
      </c>
      <c r="S440">
        <f>R440-Q440</f>
        <v>-2080969.469100006</v>
      </c>
      <c r="T440" t="str">
        <f>IF(R440&lt;= Q440,"No Monetizar","Monetizar")</f>
        <v>No Monetizar</v>
      </c>
      <c r="V440">
        <v>46066</v>
      </c>
      <c r="W440" t="str">
        <v>Alfonso Fonseca A</v>
      </c>
      <c r="X440" t="str">
        <v>Alfonso Fonseca A</v>
      </c>
      <c r="Y440"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0">
        <f>K440*O440</f>
        <v>51195457.8</v>
      </c>
      <c r="AA440">
        <f>Z440-Q440</f>
        <v>-2080969.469100006</v>
      </c>
    </row>
    <row r="441">
      <c r="B441">
        <v>410</v>
      </c>
      <c r="C441" t="str">
        <v>Insider</v>
      </c>
      <c r="D441" t="str">
        <v>FV-5-160</v>
      </c>
      <c r="E441">
        <v>46020</v>
      </c>
      <c r="F441">
        <v>46080</v>
      </c>
      <c r="J441">
        <f>IFERROR(IF(TODAY()&gt;=E441,(TODAY()-E441)/I441,0),0)</f>
        <v>0</v>
      </c>
      <c r="K441">
        <v>1045.95</v>
      </c>
      <c r="L441">
        <v>1035.95</v>
      </c>
      <c r="M441">
        <f>K441-L441</f>
        <v>10</v>
      </c>
      <c r="N441">
        <v>3798.5</v>
      </c>
      <c r="O441">
        <v>3660</v>
      </c>
      <c r="Q441">
        <f>K441*N441</f>
        <v>3973041.075</v>
      </c>
      <c r="R441">
        <f>L441*O441</f>
        <v>3791577</v>
      </c>
      <c r="S441">
        <f>R441-Q441</f>
        <v>-181464.0750000002</v>
      </c>
      <c r="T441" t="str">
        <f>IF(R441&lt;= Q441,"No Monetizar","Monetizar")</f>
        <v>No Monetizar</v>
      </c>
      <c r="V441">
        <v>46066</v>
      </c>
      <c r="W441" t="str">
        <v>Alfonso Fonseca A</v>
      </c>
      <c r="X441" t="str">
        <v>Alfonso Fonseca A</v>
      </c>
      <c r="Y441"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1">
        <f>K441*O441</f>
        <v>3828177</v>
      </c>
      <c r="AA441">
        <f>Z441-Q441</f>
        <v>-144864.0750000002</v>
      </c>
    </row>
    <row r="442">
      <c r="B442">
        <v>411</v>
      </c>
      <c r="C442" t="str">
        <v>Neo</v>
      </c>
      <c r="D442" t="str">
        <v>FV-4-6613</v>
      </c>
      <c r="E442">
        <v>46051</v>
      </c>
      <c r="F442">
        <v>46111</v>
      </c>
      <c r="J442">
        <f>IFERROR(IF(TODAY()&gt;=E442,(TODAY()-E442)/I442,0),0)</f>
        <v>0</v>
      </c>
      <c r="K442">
        <v>1507.63</v>
      </c>
      <c r="L442">
        <v>1502.7208305406516</v>
      </c>
      <c r="M442">
        <f>K442-L442</f>
        <v>4.9091694593485045</v>
      </c>
      <c r="N442">
        <v>3644.55</v>
      </c>
      <c r="O442">
        <v>3660</v>
      </c>
      <c r="Q442">
        <f>K442*N442</f>
        <v>5494632.9165</v>
      </c>
      <c r="R442">
        <f>L442*O442</f>
        <v>5499958.239778785</v>
      </c>
      <c r="S442">
        <f>R442-Q442</f>
        <v>5325.323278784752</v>
      </c>
      <c r="T442" t="str">
        <f>IF(R442&lt;= Q442,"No Monetizar","Monetizar")</f>
        <v>Monetizar</v>
      </c>
      <c r="V442">
        <v>46066</v>
      </c>
      <c r="W442" t="str">
        <v>Alfonso Fonseca A</v>
      </c>
      <c r="X442" t="str">
        <v>Alfonso Fonseca A</v>
      </c>
      <c r="Y442"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2">
        <f>K442*O442</f>
        <v>5517925.800000001</v>
      </c>
      <c r="AA442">
        <f>Z442-Q442</f>
        <v>23292.883500000462</v>
      </c>
    </row>
    <row r="443">
      <c r="B443">
        <v>412</v>
      </c>
      <c r="C443" t="str">
        <v>Neo</v>
      </c>
      <c r="D443" t="str">
        <v>FV-5-181</v>
      </c>
      <c r="E443">
        <v>46051</v>
      </c>
      <c r="F443">
        <v>46111</v>
      </c>
      <c r="J443">
        <f>IFERROR(IF(TODAY()&gt;=E443,(TODAY()-E443)/I443,0),0)</f>
        <v>0</v>
      </c>
      <c r="K443">
        <v>16369.899999999998</v>
      </c>
      <c r="L443">
        <v>16316.596063933064</v>
      </c>
      <c r="M443">
        <f>K443-L443</f>
        <v>53.3039360669336</v>
      </c>
      <c r="N443">
        <v>3644.55</v>
      </c>
      <c r="O443">
        <v>3660</v>
      </c>
      <c r="Q443">
        <f>K443*N443</f>
        <v>59660919.044999994</v>
      </c>
      <c r="R443">
        <f>L443*O443</f>
        <v>59718741.59399501</v>
      </c>
      <c r="S443">
        <f>R443-Q443</f>
        <v>57822.548995018005</v>
      </c>
      <c r="T443" t="str">
        <f>IF(R443&lt;= Q443,"No Monetizar","Monetizar")</f>
        <v>Monetizar</v>
      </c>
      <c r="V443">
        <v>46066</v>
      </c>
      <c r="W443" t="str">
        <v>Alfonso Fonseca A</v>
      </c>
      <c r="X443" t="str">
        <v>Alfonso Fonseca A</v>
      </c>
      <c r="Y443"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43">
        <f>K443*O443</f>
        <v>59913833.99999999</v>
      </c>
      <c r="AA443">
        <f>Z443-Q443</f>
        <v>252914.9549999982</v>
      </c>
    </row>
    <row r="444">
      <c r="B444">
        <v>413</v>
      </c>
      <c r="C444" t="str">
        <v>Neo</v>
      </c>
      <c r="D444" t="str">
        <v>FV-4-6638</v>
      </c>
      <c r="E444">
        <v>46051</v>
      </c>
      <c r="F444">
        <v>46111</v>
      </c>
      <c r="J444">
        <f>IFERROR(IF(TODAY()&gt;=E444,(TODAY()-E444)/I444,0),0)</f>
        <v>0</v>
      </c>
      <c r="K444">
        <v>63.63</v>
      </c>
      <c r="L444">
        <v>63.42280695349764</v>
      </c>
      <c r="M444">
        <f>K444-L444</f>
        <v>0.20719304650236126</v>
      </c>
      <c r="N444">
        <v>3644.55</v>
      </c>
      <c r="O444">
        <v>3660</v>
      </c>
      <c r="Q444">
        <f>K444*N444</f>
        <v>231902.7165</v>
      </c>
      <c r="R444">
        <f>L444*O444</f>
        <v>232127.47344980136</v>
      </c>
      <c r="S444">
        <f>R444-Q444</f>
        <v>224.75694980134722</v>
      </c>
      <c r="T444" t="str">
        <f>IF(R444&lt;= Q444,"No Monetizar","Monetizar")</f>
        <v>Monetizar</v>
      </c>
      <c r="V444">
        <v>46066</v>
      </c>
      <c r="W444" t="str">
        <v>Alfonso Fonseca A</v>
      </c>
      <c r="X444" t="str">
        <v>Alfonso Fonseca A</v>
      </c>
      <c r="Y444"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44">
        <f>K444*O444</f>
        <v>232885.80000000002</v>
      </c>
      <c r="AA444">
        <f>Z444-Q444</f>
        <v>983.0835000000079</v>
      </c>
    </row>
    <row r="445">
      <c r="B445">
        <v>414</v>
      </c>
      <c r="C445" t="str">
        <v>Neo</v>
      </c>
      <c r="D445" t="str">
        <v>FV-5-196</v>
      </c>
      <c r="E445">
        <v>46051</v>
      </c>
      <c r="F445">
        <v>46111</v>
      </c>
      <c r="J445">
        <f>IFERROR(IF(TODAY()&gt;=E445,(TODAY()-E445)/I445,0),0)</f>
        <v>0</v>
      </c>
      <c r="K445">
        <v>795.31</v>
      </c>
      <c r="L445">
        <v>792.7202985727833</v>
      </c>
      <c r="M445">
        <f>K445-L445</f>
        <v>2.589701427216596</v>
      </c>
      <c r="N445">
        <v>3644.55</v>
      </c>
      <c r="O445">
        <v>3660</v>
      </c>
      <c r="Q445">
        <f>K445*N445</f>
        <v>2898547.0605</v>
      </c>
      <c r="R445">
        <f>L445*O445</f>
        <v>2901356.292776387</v>
      </c>
      <c r="S445">
        <f>R445-Q445</f>
        <v>2809.232276387047</v>
      </c>
      <c r="T445" t="str">
        <f>IF(R445&lt;= Q445,"No Monetizar","Monetizar")</f>
        <v>Monetizar</v>
      </c>
      <c r="V445">
        <v>46066</v>
      </c>
      <c r="W445" t="str">
        <v>Alfonso Fonseca A</v>
      </c>
      <c r="X445" t="str">
        <v>Alfonso Fonseca A</v>
      </c>
      <c r="Y445"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45">
        <f>K445*O445</f>
        <v>2910834.5999999996</v>
      </c>
      <c r="AA445">
        <f>Z445-Q445</f>
        <v>12287.53949999949</v>
      </c>
    </row>
    <row r="446">
      <c r="B446">
        <v>415</v>
      </c>
      <c r="C446" t="str">
        <v>Bubble BPM</v>
      </c>
      <c r="D446" t="str">
        <v>FV-4-6609</v>
      </c>
      <c r="E446">
        <v>46052</v>
      </c>
      <c r="F446">
        <v>46112</v>
      </c>
      <c r="J446">
        <f>IFERROR(IF(TODAY()&gt;=E446,(TODAY()-E446)/I446,0),0)</f>
        <v>0</v>
      </c>
      <c r="K446">
        <v>123.08</v>
      </c>
      <c r="L446">
        <v>120.10710101286614</v>
      </c>
      <c r="M446">
        <f>K446-L446</f>
        <v>2.97289898713386</v>
      </c>
      <c r="N446">
        <v>3632.01</v>
      </c>
      <c r="O446">
        <v>3660</v>
      </c>
      <c r="Q446">
        <f>K446*N446</f>
        <v>447027.7908</v>
      </c>
      <c r="R446">
        <f>L446*O446</f>
        <v>439591.9897070901</v>
      </c>
      <c r="S446">
        <f>R446-Q446</f>
        <v>-7435.80109290994</v>
      </c>
      <c r="T446" t="str">
        <f>IF(R446&lt;= Q446,"No Monetizar","Monetizar")</f>
        <v>No Monetizar</v>
      </c>
      <c r="V446">
        <v>46066</v>
      </c>
      <c r="W446" t="str">
        <v>Alfonso Fonseca A</v>
      </c>
      <c r="X446" t="str">
        <v>Alfonso Fonseca A</v>
      </c>
      <c r="Y446"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6">
        <f>K446*O446</f>
        <v>450472.8</v>
      </c>
      <c r="AA446">
        <f>Z446-Q446</f>
        <v>3445.0091999999713</v>
      </c>
    </row>
    <row r="447">
      <c r="B447">
        <v>416</v>
      </c>
      <c r="C447" t="str">
        <v>Bubble BPM</v>
      </c>
      <c r="D447" t="str">
        <v>FV-5-175</v>
      </c>
      <c r="E447">
        <v>46052</v>
      </c>
      <c r="F447">
        <v>46112</v>
      </c>
      <c r="J447">
        <f>IFERROR(IF(TODAY()&gt;=E447,(TODAY()-E447)/I447,0),0)</f>
        <v>0</v>
      </c>
      <c r="K447">
        <v>1118.94</v>
      </c>
      <c r="L447">
        <v>1091.912898987134</v>
      </c>
      <c r="M447">
        <f>K447-L447</f>
        <v>27.02710101286607</v>
      </c>
      <c r="N447">
        <v>3632.01</v>
      </c>
      <c r="O447">
        <v>3660</v>
      </c>
      <c r="Q447">
        <f>K447*N447</f>
        <v>4064001.2694000006</v>
      </c>
      <c r="R447">
        <f>L447*O447</f>
        <v>3996401.21029291</v>
      </c>
      <c r="S447">
        <f>R447-Q447</f>
        <v>-67600.05910709035</v>
      </c>
      <c r="T447" t="str">
        <f>IF(R447&lt;= Q447,"No Monetizar","Monetizar")</f>
        <v>No Monetizar</v>
      </c>
      <c r="V447">
        <v>46066</v>
      </c>
      <c r="W447" t="str">
        <v>Alfonso Fonseca A</v>
      </c>
      <c r="X447" t="str">
        <v>Alfonso Fonseca A</v>
      </c>
      <c r="Y447"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7">
        <f>K447*O447</f>
        <v>4095320.4000000004</v>
      </c>
      <c r="AA447">
        <f>Z447-Q447</f>
        <v>31319.1305999998</v>
      </c>
    </row>
    <row r="448">
      <c r="B448">
        <v>417</v>
      </c>
      <c r="C448" t="str">
        <v>Insider</v>
      </c>
      <c r="D448">
        <v>188</v>
      </c>
      <c r="E448">
        <v>46066</v>
      </c>
      <c r="F448">
        <v>46126</v>
      </c>
      <c r="J448">
        <f>IFERROR(IF(TODAY()&gt;=E448,(TODAY()-E448)/I448,0),0)</f>
        <v>0</v>
      </c>
      <c r="K448">
        <v>1579.46</v>
      </c>
      <c r="L448">
        <v>1564.46</v>
      </c>
      <c r="M448">
        <f>K448-L448</f>
        <v>15</v>
      </c>
      <c r="N448">
        <v>3632.46</v>
      </c>
      <c r="O448">
        <v>3628</v>
      </c>
      <c r="Q448">
        <f>K448*N448</f>
        <v>5737325.271600001</v>
      </c>
      <c r="R448">
        <f>L448*O448</f>
        <v>5675860.88</v>
      </c>
      <c r="S448">
        <f>R448-Q448</f>
        <v>-61464.39160000067</v>
      </c>
      <c r="T448" t="str">
        <f>IF(R448&lt;= Q448,"No Monetizar","Monetizar")</f>
        <v>No Monetizar</v>
      </c>
      <c r="V448">
        <v>46066</v>
      </c>
      <c r="W448" t="str">
        <v>Alfonso Fonseca A</v>
      </c>
      <c r="X448" t="str">
        <v>Alfonso Fonseca A</v>
      </c>
      <c r="Y448"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8">
        <f>K448*O448</f>
        <v>5730280.88</v>
      </c>
      <c r="AA448">
        <f>Z448-Q448</f>
        <v>-7044.391600000672</v>
      </c>
    </row>
    <row r="449">
      <c r="B449">
        <v>418</v>
      </c>
      <c r="C449" t="str">
        <v>Action</v>
      </c>
      <c r="D449" t="str">
        <v>FV-4-6664</v>
      </c>
      <c r="E449">
        <v>46070</v>
      </c>
      <c r="F449">
        <v>46130</v>
      </c>
      <c r="J449">
        <f>IFERROR(IF(TODAY()&gt;=E449,(TODAY()-E449)/I449,0),0)</f>
        <v>0</v>
      </c>
      <c r="K449">
        <v>341.18</v>
      </c>
      <c r="L449">
        <v>341.18</v>
      </c>
      <c r="M449">
        <f>K449-L449</f>
        <v>0</v>
      </c>
      <c r="N449">
        <v>3541.41</v>
      </c>
      <c r="O449">
        <v>3647</v>
      </c>
      <c r="Q449">
        <f>K449*N449</f>
        <v>1208258.2638</v>
      </c>
      <c r="R449">
        <f>L449*O449</f>
        <v>1244283.46</v>
      </c>
      <c r="S449">
        <f>R449-Q449</f>
        <v>36025.19619999989</v>
      </c>
      <c r="T449" t="str">
        <f>IF(R449&lt;= Q449,"No Monetizar","Monetizar")</f>
        <v>Monetizar</v>
      </c>
      <c r="V449">
        <v>46070</v>
      </c>
      <c r="W449" t="str">
        <v>Alfonso Fonseca A</v>
      </c>
      <c r="X449" t="str">
        <v>Alfonso Fonseca A</v>
      </c>
      <c r="Y449"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9">
        <f>K449*O449</f>
        <v>1244283.46</v>
      </c>
      <c r="AA449">
        <f>Z449-Q449</f>
        <v>36025.19619999989</v>
      </c>
    </row>
    <row r="450">
      <c r="B450">
        <v>419</v>
      </c>
      <c r="C450" t="str">
        <v>Action</v>
      </c>
      <c r="D450" t="str">
        <v>FV-5-203</v>
      </c>
      <c r="E450">
        <v>46070</v>
      </c>
      <c r="F450">
        <v>46130</v>
      </c>
      <c r="J450">
        <f>IFERROR(IF(TODAY()&gt;=E450,(TODAY()-E450)/I450,0),0)</f>
        <v>0</v>
      </c>
      <c r="K450">
        <v>3101.72</v>
      </c>
      <c r="L450">
        <v>3101.72</v>
      </c>
      <c r="M450">
        <f>K450-L450</f>
        <v>0</v>
      </c>
      <c r="N450">
        <v>3541.41</v>
      </c>
      <c r="O450">
        <v>3647</v>
      </c>
      <c r="Q450">
        <f>K450*N450</f>
        <v>10984462.2252</v>
      </c>
      <c r="R450">
        <f>L450*O450</f>
        <v>11311972.84</v>
      </c>
      <c r="S450">
        <f>R450-Q450</f>
        <v>327510.61480000056</v>
      </c>
      <c r="T450" t="str">
        <f>IF(R450&lt;= Q450,"No Monetizar","Monetizar")</f>
        <v>Monetizar</v>
      </c>
      <c r="V450">
        <v>46070</v>
      </c>
      <c r="W450" t="str">
        <v>Alfonso Fonseca A</v>
      </c>
      <c r="X450" t="str">
        <v>Alfonso Fonseca A</v>
      </c>
      <c r="Y450"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0">
        <f>K450*O450</f>
        <v>11311972.84</v>
      </c>
      <c r="AA450">
        <f>Z450-Q450</f>
        <v>327510.61480000056</v>
      </c>
    </row>
    <row r="451">
      <c r="B451">
        <v>420</v>
      </c>
      <c r="C451" t="str">
        <v>Hemmebarsch GMBH &amp; Co KG</v>
      </c>
      <c r="D451" t="str">
        <v>FV-4-6623</v>
      </c>
      <c r="E451">
        <v>46071</v>
      </c>
      <c r="F451">
        <v>46131</v>
      </c>
      <c r="J451">
        <f>IFERROR(IF(TODAY()&gt;=E451,(TODAY()-E451)/I451,0),0)</f>
        <v>0</v>
      </c>
      <c r="K451">
        <v>189.02</v>
      </c>
      <c r="L451">
        <v>189.02</v>
      </c>
      <c r="M451">
        <f>K451-L451</f>
        <v>0</v>
      </c>
      <c r="N451">
        <v>3779.41</v>
      </c>
      <c r="O451">
        <v>3648</v>
      </c>
      <c r="Q451">
        <f>K451*N451</f>
        <v>714384.0782</v>
      </c>
      <c r="R451">
        <f>L451*O451</f>
        <v>689544.9600000001</v>
      </c>
      <c r="S451">
        <f>R451-Q451</f>
        <v>-24839.11819999991</v>
      </c>
      <c r="T451" t="str">
        <f>IF(R451&lt;= Q451,"No Monetizar","Monetizar")</f>
        <v>No Monetizar</v>
      </c>
      <c r="V451">
        <v>46071</v>
      </c>
      <c r="W451" t="str">
        <v>Alfonso Fonseca A</v>
      </c>
      <c r="X451" t="str">
        <v>Alfonso Fonseca A</v>
      </c>
      <c r="Y451"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1">
        <f>K451*O451</f>
        <v>689544.9600000001</v>
      </c>
      <c r="AA451">
        <f>Z451-Q451</f>
        <v>-24839.11819999991</v>
      </c>
    </row>
    <row r="452">
      <c r="B452">
        <v>421</v>
      </c>
      <c r="C452" t="str">
        <v>Hemmebarsch GMBH &amp; Co KG</v>
      </c>
      <c r="D452" t="str">
        <v>FV-4-6624</v>
      </c>
      <c r="E452">
        <v>46071</v>
      </c>
      <c r="F452">
        <v>46131</v>
      </c>
      <c r="J452">
        <f>IFERROR(IF(TODAY()&gt;=E452,(TODAY()-E452)/I452,0),0)</f>
        <v>0</v>
      </c>
      <c r="K452">
        <v>126.25</v>
      </c>
      <c r="L452">
        <v>126.25</v>
      </c>
      <c r="M452">
        <f>K452-L452</f>
        <v>0</v>
      </c>
      <c r="N452">
        <v>3779.41</v>
      </c>
      <c r="O452">
        <f>O451</f>
        <v>3648</v>
      </c>
      <c r="Q452">
        <f>K452*N452</f>
        <v>477150.51249999995</v>
      </c>
      <c r="R452">
        <f>L452*O452</f>
        <v>460560</v>
      </c>
      <c r="S452">
        <f>R452-Q452</f>
        <v>-16590.512499999953</v>
      </c>
      <c r="T452" t="str">
        <f>IF(R452&lt;= Q452,"No Monetizar","Monetizar")</f>
        <v>No Monetizar</v>
      </c>
      <c r="V452">
        <v>46071</v>
      </c>
      <c r="W452" t="str">
        <v>Alfonso Fonseca A</v>
      </c>
      <c r="X452" t="str">
        <v>Alfonso Fonseca A</v>
      </c>
      <c r="Y452"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2">
        <f>K452*O452</f>
        <v>460560</v>
      </c>
      <c r="AA452">
        <f>Z452-Q452</f>
        <v>-16590.512499999953</v>
      </c>
    </row>
    <row r="453">
      <c r="B453">
        <v>422</v>
      </c>
      <c r="C453" t="str">
        <v>Hemmebarsch GMBH &amp; Co KG</v>
      </c>
      <c r="D453" t="str">
        <v>FV-5-189</v>
      </c>
      <c r="E453">
        <v>46071</v>
      </c>
      <c r="F453">
        <v>46131</v>
      </c>
      <c r="J453">
        <f>IFERROR(IF(TODAY()&gt;=E453,(TODAY()-E453)/I453,0),0)</f>
        <v>0</v>
      </c>
      <c r="K453">
        <v>1890.25</v>
      </c>
      <c r="L453">
        <v>1890.25</v>
      </c>
      <c r="M453">
        <f>K453-L453</f>
        <v>0</v>
      </c>
      <c r="N453">
        <v>3779.41</v>
      </c>
      <c r="O453">
        <f>O452</f>
        <v>3648</v>
      </c>
      <c r="Q453">
        <f>K453*N453</f>
        <v>7144029.7524999995</v>
      </c>
      <c r="R453">
        <f>L453*O453</f>
        <v>6895632</v>
      </c>
      <c r="S453">
        <f>R453-Q453</f>
        <v>-248397.75249999948</v>
      </c>
      <c r="T453" t="str">
        <f>IF(R453&lt;= Q453,"No Monetizar","Monetizar")</f>
        <v>No Monetizar</v>
      </c>
      <c r="V453">
        <v>46071</v>
      </c>
      <c r="W453" t="str">
        <v>Alfonso Fonseca A</v>
      </c>
      <c r="X453" t="str">
        <v>Alfonso Fonseca A</v>
      </c>
      <c r="Y453"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3">
        <f>K453*O453</f>
        <v>6895632</v>
      </c>
      <c r="AA453">
        <f>Z453-Q453</f>
        <v>-248397.75249999948</v>
      </c>
    </row>
    <row r="454">
      <c r="B454">
        <v>423</v>
      </c>
      <c r="C454" t="str">
        <v>Hemmebarsch GMBH &amp; Co KG</v>
      </c>
      <c r="D454" t="str">
        <v>FV-5-190</v>
      </c>
      <c r="E454">
        <v>46071</v>
      </c>
      <c r="F454">
        <v>46131</v>
      </c>
      <c r="J454">
        <f>IFERROR(IF(TODAY()&gt;=E454,(TODAY()-E454)/I454,0),0)</f>
        <v>0</v>
      </c>
      <c r="K454">
        <v>1262.48</v>
      </c>
      <c r="L454">
        <v>1262.48</v>
      </c>
      <c r="M454">
        <f>K454-L454</f>
        <v>0</v>
      </c>
      <c r="N454">
        <v>3779.41</v>
      </c>
      <c r="O454">
        <f>O453</f>
        <v>3648</v>
      </c>
      <c r="Q454">
        <f>K454*N454</f>
        <v>4771429.5368</v>
      </c>
      <c r="R454">
        <f>L454*O454</f>
        <v>4605527.04</v>
      </c>
      <c r="S454">
        <f>R454-Q454</f>
        <v>-165902.49679999985</v>
      </c>
      <c r="T454" t="str">
        <f>IF(R454&lt;= Q454,"No Monetizar","Monetizar")</f>
        <v>No Monetizar</v>
      </c>
      <c r="V454">
        <v>46071</v>
      </c>
      <c r="W454" t="str">
        <v>Alfonso Fonseca A</v>
      </c>
      <c r="X454" t="str">
        <v>Alfonso Fonseca A</v>
      </c>
      <c r="Y454"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4">
        <f>K454*O454</f>
        <v>4605527.04</v>
      </c>
      <c r="AA454">
        <f>Z454-Q454</f>
        <v>-165902.49679999985</v>
      </c>
    </row>
    <row r="455">
      <c r="B455">
        <v>424</v>
      </c>
      <c r="C455" t="str">
        <v>Remofirst</v>
      </c>
      <c r="D455" t="str">
        <v>FV-5-162</v>
      </c>
      <c r="E455">
        <v>46071</v>
      </c>
      <c r="F455">
        <v>46131</v>
      </c>
      <c r="J455">
        <f>IFERROR(IF(TODAY()&gt;=E455,(TODAY()-E455)/I455,0),0)</f>
        <v>0</v>
      </c>
      <c r="K455">
        <v>6309.27</v>
      </c>
      <c r="L455">
        <v>6309.27</v>
      </c>
      <c r="M455">
        <f>K455-L455</f>
        <v>0</v>
      </c>
      <c r="N455">
        <v>3743.01</v>
      </c>
      <c r="O455">
        <v>3648.1</v>
      </c>
      <c r="Q455">
        <f>K455*N455</f>
        <v>23615660.702700004</v>
      </c>
      <c r="R455">
        <f>L455*O455</f>
        <v>23016847.887000002</v>
      </c>
      <c r="S455">
        <f>R455-Q455</f>
        <v>-598812.815700002</v>
      </c>
      <c r="T455" t="str">
        <f>IF(R455&lt;= Q455,"No Monetizar","Monetizar")</f>
        <v>No Monetizar</v>
      </c>
      <c r="V455">
        <v>46071</v>
      </c>
      <c r="W455" t="str">
        <v>Alfonso Fonseca A</v>
      </c>
      <c r="X455" t="str">
        <v>Alfonso Fonseca A</v>
      </c>
      <c r="Y455" t="str">
        <v>Se monetiza el dinero por debajo de lo facturado, ya que requiere para el pago de las cesantías. adicional la tasa facturada a la fecha no se ha vuelto a llegar a la cifra similar o superior para que se pueda obtener  punto de equilibro o ganancia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5">
        <f>K455*O455</f>
        <v>23016847.887000002</v>
      </c>
      <c r="AA455">
        <f>Z455-Q455</f>
        <v>-598812.815700002</v>
      </c>
    </row>
    <row r="456">
      <c r="B456">
        <v>425</v>
      </c>
      <c r="C456" t="str">
        <v>Remofirst</v>
      </c>
      <c r="D456" t="str">
        <v>FV-4-6580</v>
      </c>
      <c r="E456">
        <v>46071</v>
      </c>
      <c r="F456">
        <v>46131</v>
      </c>
      <c r="J456">
        <f>IFERROR(IF(TODAY()&gt;=E456,(TODAY()-E456)/I456,0),0)</f>
        <v>0</v>
      </c>
      <c r="K456">
        <v>714</v>
      </c>
      <c r="L456">
        <v>714</v>
      </c>
      <c r="M456">
        <f>K456-L456</f>
        <v>0</v>
      </c>
      <c r="N456">
        <v>3743.01</v>
      </c>
      <c r="O456">
        <v>3648.1</v>
      </c>
      <c r="Q456">
        <f>K456*N456</f>
        <v>2672509.14</v>
      </c>
      <c r="R456">
        <f>L456*O456</f>
        <v>2604743.4</v>
      </c>
      <c r="S456">
        <f>R456-Q456</f>
        <v>-67765.74000000022</v>
      </c>
      <c r="T456" t="str">
        <f>IF(R456&lt;= Q456,"No Monetizar","Monetizar")</f>
        <v>No Monetizar</v>
      </c>
      <c r="V456">
        <v>46071</v>
      </c>
      <c r="W456" t="str">
        <v>Alfonso Fonseca A</v>
      </c>
      <c r="X456" t="str">
        <v>Alfonso Fonseca A</v>
      </c>
      <c r="Y456"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6">
        <f>K456*O456</f>
        <v>2604743.4</v>
      </c>
      <c r="AA456">
        <f>Z456-Q456</f>
        <v>-67765.74000000022</v>
      </c>
    </row>
    <row r="457">
      <c r="B457">
        <v>426</v>
      </c>
      <c r="C457" t="str">
        <v xml:space="preserve">Deel </v>
      </c>
      <c r="D457" t="str">
        <v>6654-6655-6656-201-6657-6658</v>
      </c>
      <c r="E457">
        <v>46071</v>
      </c>
      <c r="F457">
        <v>46131</v>
      </c>
      <c r="J457">
        <f>IFERROR(IF(TODAY()&gt;=E457,(TODAY()-E457)/I457,0),0)</f>
        <v>0</v>
      </c>
      <c r="K457">
        <v>3827.76</v>
      </c>
      <c r="L457">
        <v>3827</v>
      </c>
      <c r="M457">
        <f>K457-L457</f>
        <v>0.7600000000002183</v>
      </c>
      <c r="N457">
        <v>3661.29</v>
      </c>
      <c r="O457">
        <v>3653.2</v>
      </c>
      <c r="Q457">
        <f>K457*N457</f>
        <v>14014539.410400001</v>
      </c>
      <c r="R457">
        <f>L457*O457</f>
        <v>13980796.399999999</v>
      </c>
      <c r="S457">
        <f>R457-Q457</f>
        <v>-33743.01040000282</v>
      </c>
      <c r="T457" t="str">
        <f>IF(R457&lt;= Q457,"No Monetizar","Monetizar")</f>
        <v>No Monetizar</v>
      </c>
      <c r="V457">
        <v>46071</v>
      </c>
      <c r="W457" t="str">
        <v>Alfonso Fonseca A</v>
      </c>
      <c r="X457" t="str">
        <v>Alfonso Fonseca A</v>
      </c>
      <c r="Y457"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7">
        <f>K457*O457</f>
        <v>13983572.832</v>
      </c>
      <c r="AA457">
        <f>Z457-Q457</f>
        <v>-30966.57840000093</v>
      </c>
    </row>
    <row r="458">
      <c r="B458">
        <v>427</v>
      </c>
      <c r="C458" t="str">
        <v xml:space="preserve">Deel </v>
      </c>
      <c r="D458" t="str">
        <v>6645-6647-6648-6650-6651-6652-6653</v>
      </c>
      <c r="E458">
        <v>46071</v>
      </c>
      <c r="F458">
        <v>46131</v>
      </c>
      <c r="J458">
        <f>IFERROR(IF(TODAY()&gt;=E458,(TODAY()-E458)/I458,0),0)</f>
        <v>0</v>
      </c>
      <c r="K458">
        <f>8661.12+10</f>
        <v>8671.12</v>
      </c>
      <c r="L458">
        <v>8661.12</v>
      </c>
      <c r="M458">
        <f>K458-L458</f>
        <v>10</v>
      </c>
      <c r="N458">
        <v>3661.29</v>
      </c>
      <c r="O458">
        <v>3653.2</v>
      </c>
      <c r="Q458">
        <f>K458*N458</f>
        <v>31747484.944800004</v>
      </c>
      <c r="R458">
        <f>L458*O458</f>
        <v>31640803.584000003</v>
      </c>
      <c r="S458">
        <f>R458-Q458</f>
        <v>-106681.36080000177</v>
      </c>
      <c r="T458" t="str">
        <f>IF(R458&lt;= Q458,"No Monetizar","Monetizar")</f>
        <v>No Monetizar</v>
      </c>
      <c r="V458">
        <v>46071</v>
      </c>
      <c r="W458" t="str">
        <v>Alfonso Fonseca A</v>
      </c>
      <c r="X458" t="str">
        <v>Alfonso Fonseca A</v>
      </c>
      <c r="Y458"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8">
        <f>K458*O458</f>
        <v>31677335.584000003</v>
      </c>
      <c r="AA458">
        <f>Z458-Q458</f>
        <v>-70149.36080000177</v>
      </c>
    </row>
    <row r="459">
      <c r="B459">
        <v>428</v>
      </c>
      <c r="C459" t="str">
        <v>Root capital</v>
      </c>
      <c r="D459" t="str">
        <v>FV-4-6688</v>
      </c>
      <c r="E459">
        <v>46072</v>
      </c>
      <c r="F459">
        <v>46132</v>
      </c>
      <c r="J459">
        <f>IFERROR(IF(TODAY()&gt;=E459,(TODAY()-E459)/I459,0),0)</f>
        <v>0</v>
      </c>
      <c r="K459">
        <v>524.44</v>
      </c>
      <c r="L459">
        <v>524.44</v>
      </c>
      <c r="M459">
        <f>K459-L459</f>
        <v>0</v>
      </c>
      <c r="N459">
        <v>3543.31</v>
      </c>
      <c r="O459">
        <v>3694</v>
      </c>
      <c r="Q459">
        <f>K459*N459</f>
        <v>1858253.4964</v>
      </c>
      <c r="R459">
        <f>L459*O459</f>
        <v>1937281.36</v>
      </c>
      <c r="S459">
        <f>R459-Q459</f>
        <v>79027.86360000004</v>
      </c>
      <c r="T459" t="str">
        <f>IF(R459&lt;= Q459,"No Monetizar","Monetizar")</f>
        <v>Monetizar</v>
      </c>
      <c r="V459">
        <v>46077</v>
      </c>
      <c r="W459" t="str">
        <v>Alfonso Fonseca A</v>
      </c>
      <c r="X459" t="str">
        <v>Alfonso Fonseca A</v>
      </c>
      <c r="Y459" t="str">
        <v>Se monetiza ya que el valor ofrecido por el banco en cada divisa es superior al valor facturado</v>
      </c>
      <c r="Z459">
        <f>K459*O459</f>
        <v>1937281.36</v>
      </c>
      <c r="AA459">
        <f>Z459-Q459</f>
        <v>79027.86360000004</v>
      </c>
    </row>
    <row r="460">
      <c r="B460">
        <v>429</v>
      </c>
      <c r="C460" t="str">
        <v>Root capital</v>
      </c>
      <c r="D460" t="str">
        <v>FV-5-217</v>
      </c>
      <c r="E460">
        <v>46072</v>
      </c>
      <c r="F460">
        <v>46132</v>
      </c>
      <c r="J460">
        <f>IFERROR(IF(TODAY()&gt;=E460,(TODAY()-E460)/I460,0),0)</f>
        <v>0</v>
      </c>
      <c r="K460">
        <v>5836.34</v>
      </c>
      <c r="L460">
        <v>5836.34</v>
      </c>
      <c r="M460">
        <f>K460-L460</f>
        <v>0</v>
      </c>
      <c r="N460">
        <v>3543.31</v>
      </c>
      <c r="O460">
        <v>3694</v>
      </c>
      <c r="Q460">
        <f>K460*N460</f>
        <v>20679961.8854</v>
      </c>
      <c r="R460">
        <f>L460*O460</f>
        <v>21559439.96</v>
      </c>
      <c r="S460">
        <f>R460-Q460</f>
        <v>879478.0745999999</v>
      </c>
      <c r="T460" t="str">
        <f>IF(R460&lt;= Q460,"No Monetizar","Monetizar")</f>
        <v>Monetizar</v>
      </c>
      <c r="V460">
        <v>46077</v>
      </c>
      <c r="W460" t="str">
        <v>Alfonso Fonseca A</v>
      </c>
      <c r="X460" t="str">
        <v>Alfonso Fonseca A</v>
      </c>
      <c r="Y460" t="str">
        <v>Se monetiza ya que el valor ofrecido por el banco en cada divisa es superior al valor facturado</v>
      </c>
      <c r="Z460">
        <f>K460*O460</f>
        <v>21559439.96</v>
      </c>
      <c r="AA460">
        <f>Z460-Q460</f>
        <v>879478.0745999999</v>
      </c>
    </row>
    <row r="461">
      <c r="B461">
        <v>430</v>
      </c>
      <c r="C461" t="str">
        <v>Flexco</v>
      </c>
      <c r="D461" t="str">
        <v>FV-4-6680</v>
      </c>
      <c r="E461">
        <v>46072</v>
      </c>
      <c r="F461">
        <v>46132</v>
      </c>
      <c r="J461">
        <f>IFERROR(IF(TODAY()&gt;=E461,(TODAY()-E461)/I461,0),0)</f>
        <v>0</v>
      </c>
      <c r="K461">
        <v>352.69</v>
      </c>
      <c r="L461">
        <v>351.864310423134</v>
      </c>
      <c r="M461">
        <f>K461-L461</f>
        <v>0.8256895768660115</v>
      </c>
      <c r="N461">
        <v>3543.31</v>
      </c>
      <c r="O461">
        <v>3694</v>
      </c>
      <c r="Q461">
        <f>K461*N461</f>
        <v>1249690.0039</v>
      </c>
      <c r="R461">
        <f>L461*O461</f>
        <v>1299786.762703057</v>
      </c>
      <c r="S461">
        <f>R461-Q461</f>
        <v>50096.75880305702</v>
      </c>
      <c r="T461" t="str">
        <f>IF(R461&lt;= Q461,"No Monetizar","Monetizar")</f>
        <v>Monetizar</v>
      </c>
      <c r="V461">
        <v>46077</v>
      </c>
      <c r="W461" t="str">
        <v>Alfonso Fonseca A</v>
      </c>
      <c r="X461" t="str">
        <v>Alfonso Fonseca A</v>
      </c>
      <c r="Y461" t="str">
        <v>Se monetiza ya que el valor ofrecido por el banco en cada divisa es superior al valor facturado</v>
      </c>
      <c r="Z461">
        <f>K461*O461</f>
        <v>1302836.86</v>
      </c>
      <c r="AA461">
        <f>Z461-Q461</f>
        <v>53146.85610000021</v>
      </c>
    </row>
    <row r="462">
      <c r="B462">
        <v>431</v>
      </c>
      <c r="C462" t="str">
        <v>Flexco</v>
      </c>
      <c r="D462" t="str">
        <v>FV-5-209</v>
      </c>
      <c r="E462">
        <v>46072</v>
      </c>
      <c r="F462">
        <v>46132</v>
      </c>
      <c r="J462">
        <f>IFERROR(IF(TODAY()&gt;=E462,(TODAY()-E462)/I462,0),0)</f>
        <v>0</v>
      </c>
      <c r="K462">
        <v>3918.77</v>
      </c>
      <c r="L462">
        <v>3909.595689576866</v>
      </c>
      <c r="M462">
        <f>K462-L462</f>
        <v>9.174310423134102</v>
      </c>
      <c r="N462">
        <v>3543.31</v>
      </c>
      <c r="O462">
        <v>3694</v>
      </c>
      <c r="Q462">
        <f>K462*N462</f>
        <v>13885416.9287</v>
      </c>
      <c r="R462">
        <f>L462*O462</f>
        <v>14442046.477296943</v>
      </c>
      <c r="S462">
        <f>R462-Q462</f>
        <v>556629.5485969428</v>
      </c>
      <c r="T462" t="str">
        <f>IF(R462&lt;= Q462,"No Monetizar","Monetizar")</f>
        <v>Monetizar</v>
      </c>
      <c r="V462">
        <v>46077</v>
      </c>
      <c r="W462" t="str">
        <v>Alfonso Fonseca A</v>
      </c>
      <c r="X462" t="str">
        <v>Alfonso Fonseca A</v>
      </c>
      <c r="Y462" t="str">
        <v>Se monetiza ya que el valor ofrecido por el banco en cada divisa es superior al valor facturado</v>
      </c>
      <c r="Z462">
        <f>K462*O462</f>
        <v>14475936.38</v>
      </c>
      <c r="AA462">
        <f>Z462-Q462</f>
        <v>590519.4513000008</v>
      </c>
    </row>
    <row r="463">
      <c r="B463">
        <v>432</v>
      </c>
      <c r="C463" t="str">
        <v>Oncehub</v>
      </c>
      <c r="D463" t="str">
        <v>FV-4-6681</v>
      </c>
      <c r="E463">
        <v>46072</v>
      </c>
      <c r="F463">
        <v>46132</v>
      </c>
      <c r="J463">
        <f>IFERROR(IF(TODAY()&gt;=E463,(TODAY()-E463)/I463,0),0)</f>
        <v>0</v>
      </c>
      <c r="K463">
        <v>240</v>
      </c>
      <c r="L463">
        <v>238.6349598166296</v>
      </c>
      <c r="M463">
        <f>K463-L463</f>
        <v>1.3650401833704109</v>
      </c>
      <c r="N463">
        <v>3581.27</v>
      </c>
      <c r="O463">
        <v>3694</v>
      </c>
      <c r="Q463">
        <f>K463*N463</f>
        <v>859504.8</v>
      </c>
      <c r="R463">
        <f>L463*O463</f>
        <v>881517.5415626297</v>
      </c>
      <c r="S463">
        <f>R463-Q463</f>
        <v>22012.7415626297</v>
      </c>
      <c r="T463" t="str">
        <f>IF(R463&lt;= Q463,"No Monetizar","Monetizar")</f>
        <v>Monetizar</v>
      </c>
      <c r="V463">
        <v>46077</v>
      </c>
      <c r="W463" t="str">
        <v>Alfonso Fonseca A</v>
      </c>
      <c r="X463" t="str">
        <v>Alfonso Fonseca A</v>
      </c>
      <c r="Y463" t="str">
        <v>Se monetiza ya que el valor ofrecido por el banco en cada divisa es superior al valor facturado</v>
      </c>
      <c r="Z463">
        <f>K463*O463</f>
        <v>886560</v>
      </c>
      <c r="AA463">
        <f>Z463-Q463</f>
        <v>27055.199999999953</v>
      </c>
    </row>
    <row r="464">
      <c r="B464">
        <v>433</v>
      </c>
      <c r="C464" t="str">
        <v>Oncehub</v>
      </c>
      <c r="D464" t="str">
        <v>FV-5-210</v>
      </c>
      <c r="E464">
        <v>46072</v>
      </c>
      <c r="F464">
        <v>46132</v>
      </c>
      <c r="J464">
        <f>IFERROR(IF(TODAY()&gt;=E464,(TODAY()-E464)/I464,0),0)</f>
        <v>0</v>
      </c>
      <c r="K464">
        <v>3276.38</v>
      </c>
      <c r="L464">
        <v>3257.7450401833703</v>
      </c>
      <c r="M464">
        <f>K464-L464</f>
        <v>18.634959816629816</v>
      </c>
      <c r="N464">
        <v>3581.27</v>
      </c>
      <c r="O464">
        <v>3694</v>
      </c>
      <c r="Q464">
        <f>K464*N464</f>
        <v>11733601.4026</v>
      </c>
      <c r="R464">
        <f>L464*O464</f>
        <v>12034110.178437369</v>
      </c>
      <c r="S464">
        <f>R464-Q464</f>
        <v>300508.77583736926</v>
      </c>
      <c r="T464" t="str">
        <f>IF(R464&lt;= Q464,"No Monetizar","Monetizar")</f>
        <v>Monetizar</v>
      </c>
      <c r="V464">
        <v>46077</v>
      </c>
      <c r="W464" t="str">
        <v>Alfonso Fonseca A</v>
      </c>
      <c r="X464" t="str">
        <v>Alfonso Fonseca A</v>
      </c>
      <c r="Y464" t="str">
        <v>Se monetiza ya que el valor ofrecido por el banco en cada divisa es superior al valor facturado</v>
      </c>
      <c r="Z464">
        <f>K464*O464</f>
        <v>12102947.72</v>
      </c>
      <c r="AA464">
        <f>Z464-Q464</f>
        <v>369346.317400001</v>
      </c>
    </row>
    <row r="465">
      <c r="B465">
        <v>434</v>
      </c>
      <c r="C465" t="str">
        <v>MKD</v>
      </c>
      <c r="D465" t="str">
        <v>FV-4-6679</v>
      </c>
      <c r="E465">
        <v>46072</v>
      </c>
      <c r="F465">
        <v>46132</v>
      </c>
      <c r="J465">
        <f>IFERROR(IF(TODAY()&gt;=E465,(TODAY()-E465)/I465,0),0)</f>
        <v>0</v>
      </c>
      <c r="K465">
        <v>140.78</v>
      </c>
      <c r="L465">
        <v>140.78</v>
      </c>
      <c r="M465">
        <f>K465-L465</f>
        <v>0</v>
      </c>
      <c r="N465">
        <v>3543.31</v>
      </c>
      <c r="O465">
        <v>3694</v>
      </c>
      <c r="Q465">
        <f>K465*N465</f>
        <v>498827.1818</v>
      </c>
      <c r="R465">
        <f>L465*O465</f>
        <v>520041.32</v>
      </c>
      <c r="S465">
        <f>R465-Q465</f>
        <v>21214.138199999987</v>
      </c>
      <c r="T465" t="str">
        <f>IF(R465&lt;= Q465,"No Monetizar","Monetizar")</f>
        <v>Monetizar</v>
      </c>
      <c r="V465">
        <v>46077</v>
      </c>
      <c r="W465" t="str">
        <v>Alfonso Fonseca A</v>
      </c>
      <c r="X465" t="str">
        <v>Alfonso Fonseca A</v>
      </c>
      <c r="Y465" t="str">
        <v>Se monetiza ya que el valor ofrecido por el banco en cada divisa es superior al valor facturado</v>
      </c>
      <c r="Z465">
        <f>K465*O465</f>
        <v>520041.32</v>
      </c>
      <c r="AA465">
        <f>Z465-Q465</f>
        <v>21214.138199999987</v>
      </c>
    </row>
    <row r="466">
      <c r="B466">
        <v>435</v>
      </c>
      <c r="C466" t="str">
        <v>MKD</v>
      </c>
      <c r="D466" t="str">
        <v>FV-5-208</v>
      </c>
      <c r="E466">
        <v>46072</v>
      </c>
      <c r="F466">
        <v>46132</v>
      </c>
      <c r="J466">
        <f>IFERROR(IF(TODAY()&gt;=E466,(TODAY()-E466)/I466,0),0)</f>
        <v>0</v>
      </c>
      <c r="K466">
        <v>1279.81</v>
      </c>
      <c r="L466">
        <v>1279.81</v>
      </c>
      <c r="M466">
        <f>K466-L466</f>
        <v>0</v>
      </c>
      <c r="N466">
        <v>3543.31</v>
      </c>
      <c r="O466">
        <v>3694</v>
      </c>
      <c r="Q466">
        <f>K466*N466</f>
        <v>4534763.571099999</v>
      </c>
      <c r="R466">
        <f>L466*O466</f>
        <v>4727618.14</v>
      </c>
      <c r="S466">
        <f>R466-Q466</f>
        <v>192854.5689000003</v>
      </c>
      <c r="T466" t="str">
        <f>IF(R466&lt;= Q466,"No Monetizar","Monetizar")</f>
        <v>Monetizar</v>
      </c>
      <c r="V466">
        <v>46077</v>
      </c>
      <c r="W466" t="str">
        <v>Alfonso Fonseca A</v>
      </c>
      <c r="X466" t="str">
        <v>Alfonso Fonseca A</v>
      </c>
      <c r="Y466" t="str">
        <v>Se monetiza ya que el valor ofrecido por el banco en cada divisa es superior al valor facturado</v>
      </c>
      <c r="Z466">
        <f>K466*O466</f>
        <v>4727618.14</v>
      </c>
      <c r="AA466">
        <f>Z466-Q466</f>
        <v>192854.5689000003</v>
      </c>
    </row>
    <row r="467">
      <c r="B467">
        <v>436</v>
      </c>
      <c r="C467" t="str">
        <v>Neo</v>
      </c>
      <c r="D467" t="str">
        <v>FV-4-6682</v>
      </c>
      <c r="E467">
        <v>46073</v>
      </c>
      <c r="F467">
        <v>46133</v>
      </c>
      <c r="J467">
        <f>IFERROR(IF(TODAY()&gt;=E467,(TODAY()-E467)/I467,0),0)</f>
        <v>0</v>
      </c>
      <c r="K467">
        <v>1616.1</v>
      </c>
      <c r="L467">
        <v>1611.5814794104137</v>
      </c>
      <c r="M467">
        <f>K467-L467</f>
        <v>4.51852058958616</v>
      </c>
      <c r="N467">
        <v>3543.31</v>
      </c>
      <c r="O467">
        <v>3694</v>
      </c>
      <c r="Q467">
        <f>K467*N467</f>
        <v>5726343.290999999</v>
      </c>
      <c r="R467">
        <f>L467*O467</f>
        <v>5953181.984942068</v>
      </c>
      <c r="S467">
        <f>R467-Q467</f>
        <v>226838.69394206908</v>
      </c>
      <c r="T467" t="str">
        <f>IF(R467&lt;= Q467,"No Monetizar","Monetizar")</f>
        <v>Monetizar</v>
      </c>
      <c r="V467">
        <v>46077</v>
      </c>
      <c r="W467" t="str">
        <v>Alfonso Fonseca A</v>
      </c>
      <c r="X467" t="str">
        <v>Alfonso Fonseca A</v>
      </c>
      <c r="Y467" t="str">
        <v>Se monetiza ya que el valor ofrecido por el banco en cada divisa es superior al valor facturado</v>
      </c>
      <c r="Z467">
        <f>K467*O467</f>
        <v>5969873.399999999</v>
      </c>
      <c r="AA467">
        <f>Z467-Q467</f>
        <v>243530.10900000017</v>
      </c>
    </row>
    <row r="468">
      <c r="B468">
        <v>437</v>
      </c>
      <c r="C468" t="str">
        <v>Neo</v>
      </c>
      <c r="D468" t="str">
        <v>FV-5-211</v>
      </c>
      <c r="E468">
        <v>46073</v>
      </c>
      <c r="F468">
        <v>46133</v>
      </c>
      <c r="J468">
        <f>IFERROR(IF(TODAY()&gt;=E468,(TODAY()-E468)/I468,0),0)</f>
        <v>0</v>
      </c>
      <c r="K468">
        <v>20201.24</v>
      </c>
      <c r="L468">
        <v>20144.75852058959</v>
      </c>
      <c r="M468">
        <f>K468-L468</f>
        <v>56.48147941041316</v>
      </c>
      <c r="N468">
        <v>3543.31</v>
      </c>
      <c r="O468">
        <v>3694</v>
      </c>
      <c r="Q468">
        <f>K468*N468</f>
        <v>71579255.7044</v>
      </c>
      <c r="R468">
        <f>L468*O468</f>
        <v>74414737.97505794</v>
      </c>
      <c r="S468">
        <f>R468-Q468</f>
        <v>2835482.2706579417</v>
      </c>
      <c r="T468" t="str">
        <f>IF(R468&lt;= Q468,"No Monetizar","Monetizar")</f>
        <v>Monetizar</v>
      </c>
      <c r="V468">
        <v>46077</v>
      </c>
      <c r="W468" t="str">
        <v>Alfonso Fonseca A</v>
      </c>
      <c r="X468" t="str">
        <v>Alfonso Fonseca A</v>
      </c>
      <c r="Y468" t="str">
        <v>Se monetiza ya que el valor ofrecido por el banco en cada divisa es superior al valor facturado</v>
      </c>
      <c r="Z468">
        <f>K468*O468</f>
        <v>74623380.56</v>
      </c>
      <c r="AA468">
        <f>Z468-Q468</f>
        <v>3044124.8555999994</v>
      </c>
    </row>
    <row r="469">
      <c r="B469">
        <v>438</v>
      </c>
      <c r="C469" t="str">
        <v>Equus</v>
      </c>
      <c r="D469" t="str">
        <v>FV-4-6687</v>
      </c>
      <c r="E469">
        <v>46073</v>
      </c>
      <c r="F469">
        <v>46133</v>
      </c>
      <c r="J469">
        <f>IFERROR(IF(TODAY()&gt;=E469,(TODAY()-E469)/I469,0),0)</f>
        <v>0</v>
      </c>
      <c r="K469">
        <v>178.5</v>
      </c>
      <c r="L469">
        <v>177.95721683682874</v>
      </c>
      <c r="M469">
        <f>K469-L469</f>
        <v>0.542783163171265</v>
      </c>
      <c r="N469">
        <v>3543.31</v>
      </c>
      <c r="O469">
        <v>3694</v>
      </c>
      <c r="Q469">
        <f>K469*N469</f>
        <v>632480.835</v>
      </c>
      <c r="R469">
        <f>L469*O469</f>
        <v>657373.9589952454</v>
      </c>
      <c r="S469">
        <f>R469-Q469</f>
        <v>24893.123995245434</v>
      </c>
      <c r="T469" t="str">
        <f>IF(R469&lt;= Q469,"No Monetizar","Monetizar")</f>
        <v>Monetizar</v>
      </c>
      <c r="V469">
        <v>46077</v>
      </c>
      <c r="W469" t="str">
        <v>Alfonso Fonseca A</v>
      </c>
      <c r="X469" t="str">
        <v>Alfonso Fonseca A</v>
      </c>
      <c r="Y469" t="str">
        <v>Se monetiza ya que el valor ofrecido por el banco en cada divisa es superior al valor facturado</v>
      </c>
      <c r="Z469">
        <f>K469*O469</f>
        <v>659379</v>
      </c>
      <c r="AA469">
        <f>Z469-Q469</f>
        <v>26898.165000000037</v>
      </c>
    </row>
    <row r="470">
      <c r="B470">
        <v>439</v>
      </c>
      <c r="C470" t="str">
        <v>Equus</v>
      </c>
      <c r="D470" t="str">
        <v>FV-5-216</v>
      </c>
      <c r="E470">
        <v>46073</v>
      </c>
      <c r="F470">
        <v>46133</v>
      </c>
      <c r="J470">
        <f>IFERROR(IF(TODAY()&gt;=E470,(TODAY()-E470)/I470,0),0)</f>
        <v>0</v>
      </c>
      <c r="K470">
        <v>1449.36</v>
      </c>
      <c r="L470">
        <v>1444.9527831631713</v>
      </c>
      <c r="M470">
        <f>K470-L470</f>
        <v>4.407216836828638</v>
      </c>
      <c r="N470">
        <v>3543.31</v>
      </c>
      <c r="O470">
        <v>3694</v>
      </c>
      <c r="Q470">
        <f>K470*N470</f>
        <v>5135531.781599999</v>
      </c>
      <c r="R470">
        <f>L470*O470</f>
        <v>5337655.581004755</v>
      </c>
      <c r="S470">
        <f>R470-Q470</f>
        <v>202123.79940475523</v>
      </c>
      <c r="T470" t="str">
        <f>IF(R470&lt;= Q470,"No Monetizar","Monetizar")</f>
        <v>Monetizar</v>
      </c>
      <c r="V470">
        <v>46077</v>
      </c>
      <c r="W470" t="str">
        <v>Alfonso Fonseca A</v>
      </c>
      <c r="X470" t="str">
        <v>Alfonso Fonseca A</v>
      </c>
      <c r="Y470" t="str">
        <v>Se monetiza ya que el valor ofrecido por el banco en cada divisa es superior al valor facturado</v>
      </c>
      <c r="Z470">
        <f>K470*O470</f>
        <v>5353935.84</v>
      </c>
      <c r="AA470">
        <f>Z470-Q470</f>
        <v>218404.05840000045</v>
      </c>
    </row>
    <row r="471">
      <c r="B471">
        <v>440</v>
      </c>
      <c r="C471" t="str">
        <v>Insider</v>
      </c>
      <c r="D471" t="str">
        <v>FV-4-6722</v>
      </c>
      <c r="E471">
        <v>46078</v>
      </c>
      <c r="F471">
        <v>46138</v>
      </c>
      <c r="J471">
        <f>IFERROR(IF(TODAY()&gt;=E471,(TODAY()-E471)/I471,0),0)</f>
        <v>0</v>
      </c>
      <c r="K471">
        <v>5426.4</v>
      </c>
      <c r="L471">
        <v>5425.985990385858</v>
      </c>
      <c r="M471">
        <f>K471-L471</f>
        <v>0.41400961414183257</v>
      </c>
      <c r="N471">
        <v>3623.41</v>
      </c>
      <c r="O471">
        <v>3679.05</v>
      </c>
      <c r="Q471">
        <f>K471*N471</f>
        <v>19662072.023999996</v>
      </c>
      <c r="R471">
        <f>L471*O471</f>
        <v>19962473.75792909</v>
      </c>
      <c r="S471">
        <f>R471-Q471</f>
        <v>300401.7339290939</v>
      </c>
      <c r="T471" t="str">
        <f>IF(R471&lt;= Q471,"No Monetizar","Monetizar")</f>
        <v>Monetizar</v>
      </c>
      <c r="V471">
        <v>46078</v>
      </c>
      <c r="W471" t="str">
        <v>Alfonso Fonseca A</v>
      </c>
      <c r="X471" t="str">
        <v>Alfonso Fonseca A</v>
      </c>
      <c r="Y471" t="str">
        <v>Se monetiza ya que el valor ofrecido por el banco en cada divisa es superior al valor facturado</v>
      </c>
      <c r="Z471">
        <f>K471*O471</f>
        <v>19963996.919999998</v>
      </c>
      <c r="AA471">
        <f>Z471-Q471</f>
        <v>301924.8960000016</v>
      </c>
    </row>
    <row r="472">
      <c r="B472">
        <v>441</v>
      </c>
      <c r="C472" t="str">
        <v>Insider</v>
      </c>
      <c r="D472" t="str">
        <v>FV-5-234</v>
      </c>
      <c r="E472">
        <v>46078</v>
      </c>
      <c r="F472">
        <v>46138</v>
      </c>
      <c r="J472">
        <f>IFERROR(IF(TODAY()&gt;=E472,(TODAY()-E472)/I472,0),0)</f>
        <v>0</v>
      </c>
      <c r="K472">
        <v>191177.73</v>
      </c>
      <c r="L472">
        <v>191163.14400961416</v>
      </c>
      <c r="M472">
        <f>K472-L472</f>
        <v>14.585990385850891</v>
      </c>
      <c r="N472">
        <v>3623.41</v>
      </c>
      <c r="O472">
        <v>3679.05</v>
      </c>
      <c r="Q472">
        <f>K472*N472</f>
        <v>692715298.6593</v>
      </c>
      <c r="R472">
        <f>L472*O472</f>
        <v>703298764.9685711</v>
      </c>
      <c r="S472">
        <f>R472-Q472</f>
        <v>10583466.309271097</v>
      </c>
      <c r="T472" t="str">
        <f>IF(R472&lt;= Q472,"No Monetizar","Monetizar")</f>
        <v>Monetizar</v>
      </c>
      <c r="V472">
        <v>46078</v>
      </c>
      <c r="W472" t="str">
        <v>Alfonso Fonseca A</v>
      </c>
      <c r="X472" t="str">
        <v>Alfonso Fonseca A</v>
      </c>
      <c r="Y472" t="str">
        <v>Se monetiza ya que el valor ofrecido por el banco en cada divisa es superior al valor facturado</v>
      </c>
      <c r="Z472">
        <f>K472*O472</f>
        <v>703352427.5565001</v>
      </c>
      <c r="AA472">
        <f>Z472-Q472</f>
        <v>10637128.897200108</v>
      </c>
    </row>
    <row r="473">
      <c r="B473">
        <v>442</v>
      </c>
      <c r="C473" t="str">
        <v>Hong kong yonyou xinfushe cloud technology co</v>
      </c>
      <c r="D473" t="str">
        <v>FV-4-6702</v>
      </c>
      <c r="E473">
        <v>46078</v>
      </c>
      <c r="F473">
        <v>46138</v>
      </c>
      <c r="J473">
        <f>IFERROR(IF(TODAY()&gt;=E473,(TODAY()-E473)/I473,0),0)</f>
        <v>0</v>
      </c>
      <c r="K473">
        <v>749.7</v>
      </c>
      <c r="L473">
        <v>749.7</v>
      </c>
      <c r="M473">
        <f>K473-L473</f>
        <v>0</v>
      </c>
      <c r="N473">
        <v>3584.85</v>
      </c>
      <c r="O473">
        <v>3677.4</v>
      </c>
      <c r="Q473">
        <f>K473*N473</f>
        <v>2687562.045</v>
      </c>
      <c r="R473">
        <f>L473*O473</f>
        <v>2756946.7800000003</v>
      </c>
      <c r="S473">
        <f>R473-Q473</f>
        <v>69384.73500000034</v>
      </c>
      <c r="T473" t="str">
        <f>IF(R473&lt;= Q473,"No Monetizar","Monetizar")</f>
        <v>Monetizar</v>
      </c>
      <c r="V473">
        <v>46078</v>
      </c>
      <c r="W473" t="str">
        <v>Alfonso Fonseca A</v>
      </c>
      <c r="X473" t="str">
        <v>Alfonso Fonseca A</v>
      </c>
      <c r="Y473" t="str">
        <v>Se monetiza ya que el valor ofrecido por el banco en cada divisa es superior al valor facturado</v>
      </c>
      <c r="Z473">
        <f>K473*O473</f>
        <v>2756946.7800000003</v>
      </c>
      <c r="AA473">
        <f>Z473-Q473</f>
        <v>69384.73500000034</v>
      </c>
    </row>
    <row r="474">
      <c r="B474">
        <v>443</v>
      </c>
      <c r="C474" t="str">
        <v>Hong kong yonyou xinfushe cloud technology co</v>
      </c>
      <c r="D474" t="str">
        <v>FV-5-226</v>
      </c>
      <c r="E474">
        <v>46078</v>
      </c>
      <c r="F474">
        <v>46138</v>
      </c>
      <c r="J474">
        <f>IFERROR(IF(TODAY()&gt;=E474,(TODAY()-E474)/I474,0),0)</f>
        <v>0</v>
      </c>
      <c r="K474">
        <v>13860.56</v>
      </c>
      <c r="L474">
        <v>13860.56</v>
      </c>
      <c r="M474">
        <f>K474-L474</f>
        <v>0</v>
      </c>
      <c r="N474">
        <v>3584.85</v>
      </c>
      <c r="O474">
        <v>3677.4</v>
      </c>
      <c r="Q474">
        <f>K474*N474</f>
        <v>49688028.515999995</v>
      </c>
      <c r="R474">
        <f>L474*O474</f>
        <v>50970823.344</v>
      </c>
      <c r="S474">
        <f>R474-Q474</f>
        <v>1282794.8280000016</v>
      </c>
      <c r="T474" t="str">
        <f>IF(R474&lt;= Q474,"No Monetizar","Monetizar")</f>
        <v>Monetizar</v>
      </c>
      <c r="V474">
        <v>46078</v>
      </c>
      <c r="W474" t="str">
        <v>Alfonso Fonseca A</v>
      </c>
      <c r="X474" t="str">
        <v>Alfonso Fonseca A</v>
      </c>
      <c r="Y474" t="str">
        <v>Se monetiza ya que el valor ofrecido por el banco en cada divisa es superior al valor facturado</v>
      </c>
      <c r="Z474">
        <f>K474*O474</f>
        <v>50970823.344</v>
      </c>
      <c r="AA474">
        <f>Z474-Q474</f>
        <v>1282794.8280000016</v>
      </c>
    </row>
    <row r="475">
      <c r="B475">
        <v>444</v>
      </c>
      <c r="C475" t="str">
        <v>Endrington</v>
      </c>
      <c r="D475" t="str">
        <v>FV-4-6671</v>
      </c>
      <c r="E475">
        <v>46071</v>
      </c>
      <c r="F475">
        <v>46131</v>
      </c>
      <c r="J475">
        <f>IFERROR(IF(TODAY()&gt;=E475,(TODAY()-E475)/I475,0),0)</f>
        <v>0</v>
      </c>
      <c r="K475">
        <v>612.48</v>
      </c>
      <c r="L475">
        <v>612.48</v>
      </c>
      <c r="M475">
        <f>K475-L475</f>
        <v>0</v>
      </c>
      <c r="N475">
        <v>3541.41</v>
      </c>
      <c r="O475">
        <v>3645.44</v>
      </c>
      <c r="Q475">
        <f>K475*N475</f>
        <v>2169042.7968</v>
      </c>
      <c r="R475">
        <f>L475*O475</f>
        <v>2232759.0912</v>
      </c>
      <c r="S475">
        <f>R475-Q475</f>
        <v>63716.29440000001</v>
      </c>
      <c r="T475" t="str">
        <f>IF(R475&lt;= Q475,"No Monetizar","Monetizar")</f>
        <v>Monetizar</v>
      </c>
      <c r="V475">
        <v>46079</v>
      </c>
      <c r="W475" t="str">
        <v>Alfonso Fonseca A</v>
      </c>
      <c r="X475" t="str">
        <v>Alfonso Fonseca A</v>
      </c>
      <c r="Y475" t="str">
        <v>Se monetiza ya que el valor ofrecido por el banco en cada divisa es superior al valor facturado</v>
      </c>
      <c r="Z475">
        <f>K475*O475</f>
        <v>2232759.0912</v>
      </c>
      <c r="AA475">
        <f>Z475-Q475</f>
        <v>63716.29440000001</v>
      </c>
    </row>
    <row r="476">
      <c r="B476">
        <v>445</v>
      </c>
      <c r="C476" t="str">
        <v>Endrington</v>
      </c>
      <c r="D476" t="str">
        <v>FV-5-205</v>
      </c>
      <c r="E476">
        <v>46071</v>
      </c>
      <c r="F476">
        <v>46131</v>
      </c>
      <c r="J476">
        <f>IFERROR(IF(TODAY()&gt;=E476,(TODAY()-E476)/I476,0),0)</f>
        <v>0</v>
      </c>
      <c r="K476">
        <v>11136.08</v>
      </c>
      <c r="L476">
        <v>11136.08</v>
      </c>
      <c r="M476">
        <f>K476-L476</f>
        <v>0</v>
      </c>
      <c r="N476">
        <v>3541.41</v>
      </c>
      <c r="O476">
        <v>3645.44</v>
      </c>
      <c r="Q476">
        <f>K476*N476</f>
        <v>39437425.072799996</v>
      </c>
      <c r="R476">
        <f>L476*O476</f>
        <v>40595911.4752</v>
      </c>
      <c r="S476">
        <f>R476-Q476</f>
        <v>1158486.4024000019</v>
      </c>
      <c r="T476" t="str">
        <f>IF(R476&lt;= Q476,"No Monetizar","Monetizar")</f>
        <v>Monetizar</v>
      </c>
      <c r="V476">
        <v>46079</v>
      </c>
      <c r="W476" t="str">
        <v>Alfonso Fonseca A</v>
      </c>
      <c r="X476" t="str">
        <v>Alfonso Fonseca A</v>
      </c>
      <c r="Y476" t="str">
        <v>Se monetiza ya que el valor ofrecido por el banco en cada divisa es superior al valor facturado</v>
      </c>
      <c r="Z476">
        <f>K476*O476</f>
        <v>40595911.4752</v>
      </c>
      <c r="AA476">
        <f>Z476-Q476</f>
        <v>1158486.4024000019</v>
      </c>
    </row>
    <row r="477">
      <c r="B477">
        <v>446</v>
      </c>
      <c r="C477" t="str">
        <v>Remofisrt</v>
      </c>
      <c r="D477" t="str">
        <v>FV-4-6670</v>
      </c>
      <c r="E477">
        <v>46073</v>
      </c>
      <c r="F477">
        <v>46133</v>
      </c>
      <c r="J477">
        <f>IFERROR(IF(TODAY()&gt;=E477,(TODAY()-E477)/I477,0),0)</f>
        <v>0</v>
      </c>
      <c r="K477">
        <v>12852</v>
      </c>
      <c r="L477">
        <v>12852</v>
      </c>
      <c r="M477">
        <f>K477-L477</f>
        <v>0</v>
      </c>
      <c r="N477">
        <v>3541.41</v>
      </c>
      <c r="O477">
        <v>3645.44</v>
      </c>
      <c r="Q477">
        <f>K477*N477</f>
        <v>45514201.32</v>
      </c>
      <c r="R477">
        <f>L477*O477</f>
        <v>46851194.88</v>
      </c>
      <c r="S477">
        <f>R477-Q477</f>
        <v>1336993.5600000024</v>
      </c>
      <c r="T477" t="str">
        <f>IF(R477&lt;= Q477,"No Monetizar","Monetizar")</f>
        <v>Monetizar</v>
      </c>
      <c r="V477">
        <v>46079</v>
      </c>
      <c r="W477" t="str">
        <v>Alfonso Fonseca A</v>
      </c>
      <c r="X477" t="str">
        <v>Alfonso Fonseca A</v>
      </c>
      <c r="Y477" t="str">
        <v>Se monetiza ya que el valor ofrecido por el banco en cada divisa es superior al valor facturado</v>
      </c>
      <c r="Z477">
        <f>K477*O477</f>
        <v>46851194.88</v>
      </c>
      <c r="AA477">
        <f>Z477-Q477</f>
        <v>1336993.5600000024</v>
      </c>
    </row>
    <row r="478">
      <c r="B478">
        <v>447</v>
      </c>
      <c r="C478" t="str">
        <v>Remofisrt</v>
      </c>
      <c r="D478" t="str">
        <v>FV-5-204</v>
      </c>
      <c r="E478">
        <v>46073</v>
      </c>
      <c r="F478">
        <v>46133</v>
      </c>
      <c r="J478">
        <f>IFERROR(IF(TODAY()&gt;=E478,(TODAY()-E478)/I478,0),0)</f>
        <v>0</v>
      </c>
      <c r="K478">
        <v>319895.88</v>
      </c>
      <c r="L478">
        <v>319895.88</v>
      </c>
      <c r="M478">
        <f>K478-L478</f>
        <v>0</v>
      </c>
      <c r="N478">
        <v>3541.41</v>
      </c>
      <c r="O478">
        <v>3645.44</v>
      </c>
      <c r="Q478">
        <f>K478*N478</f>
        <v>1132882468.3908</v>
      </c>
      <c r="R478">
        <f>L478*O478</f>
        <v>1166161236.7872</v>
      </c>
      <c r="S478">
        <f>R478-Q478</f>
        <v>33278768.396399975</v>
      </c>
      <c r="T478" t="str">
        <f>IF(R478&lt;= Q478,"No Monetizar","Monetizar")</f>
        <v>Monetizar</v>
      </c>
      <c r="V478">
        <v>46079</v>
      </c>
      <c r="W478" t="str">
        <v>Alfonso Fonseca A</v>
      </c>
      <c r="X478" t="str">
        <v>Alfonso Fonseca A</v>
      </c>
      <c r="Y478" t="str">
        <v>Se monetiza ya que el valor ofrecido por el banco en cada divisa es superior al valor facturado</v>
      </c>
      <c r="Z478">
        <f>K478*O478</f>
        <v>1166161236.7872</v>
      </c>
      <c r="AA478">
        <f>Z478-Q478</f>
        <v>33278768.396399975</v>
      </c>
    </row>
    <row r="479">
      <c r="B479">
        <v>448</v>
      </c>
      <c r="C479" t="str">
        <v>Europortage</v>
      </c>
      <c r="D479" t="str">
        <v>FV-4-6673</v>
      </c>
      <c r="E479">
        <v>46078</v>
      </c>
      <c r="F479">
        <v>46138</v>
      </c>
      <c r="J479">
        <f>IFERROR(IF(TODAY()&gt;=E479,(TODAY()-E479)/I479,0),0)</f>
        <v>0</v>
      </c>
      <c r="K479">
        <v>825.96</v>
      </c>
      <c r="L479">
        <v>825.1641821687982</v>
      </c>
      <c r="M479">
        <f>K479-L479</f>
        <v>0.7958178312018163</v>
      </c>
      <c r="N479">
        <v>3549.42</v>
      </c>
      <c r="O479">
        <v>3645.44</v>
      </c>
      <c r="Q479">
        <f>K479*N479</f>
        <v>2931678.9432</v>
      </c>
      <c r="R479">
        <f>L479*O479</f>
        <v>3008086.516245424</v>
      </c>
      <c r="S479">
        <f>R479-Q479</f>
        <v>76407.57304542372</v>
      </c>
      <c r="T479" t="str">
        <f>IF(R479&lt;= Q479,"No Monetizar","Monetizar")</f>
        <v>Monetizar</v>
      </c>
      <c r="V479">
        <v>46079</v>
      </c>
      <c r="W479" t="str">
        <v>Alfonso Fonseca A</v>
      </c>
      <c r="X479" t="str">
        <v>Alfonso Fonseca A</v>
      </c>
      <c r="Y479" t="str">
        <v>Se monetiza ya que el valor ofrecido por el banco en cada divisa es superior al valor facturado</v>
      </c>
      <c r="Z479">
        <f>K479*O479</f>
        <v>3010987.6224</v>
      </c>
      <c r="AA479">
        <f>Z479-Q479</f>
        <v>79308.67920000013</v>
      </c>
    </row>
    <row r="480">
      <c r="B480">
        <v>449</v>
      </c>
      <c r="C480" t="str">
        <v>Europortage</v>
      </c>
      <c r="D480" t="str">
        <v>FV-5-207</v>
      </c>
      <c r="E480">
        <v>46078</v>
      </c>
      <c r="F480">
        <v>46138</v>
      </c>
      <c r="J480">
        <f>IFERROR(IF(TODAY()&gt;=E480,(TODAY()-E480)/I480,0),0)</f>
        <v>0</v>
      </c>
      <c r="K480">
        <v>13704.3</v>
      </c>
      <c r="L480">
        <v>13691.095817831203</v>
      </c>
      <c r="M480">
        <f>K480-L480</f>
        <v>13.204182168796251</v>
      </c>
      <c r="N480">
        <v>3549.42</v>
      </c>
      <c r="O480">
        <v>3645.44</v>
      </c>
      <c r="Q480">
        <f>K480*N480</f>
        <v>48642316.506</v>
      </c>
      <c r="R480">
        <f>L480*O480</f>
        <v>49910068.338154584</v>
      </c>
      <c r="S480">
        <f>R480-Q480</f>
        <v>1267751.832154587</v>
      </c>
      <c r="T480" t="str">
        <f>IF(R480&lt;= Q480,"No Monetizar","Monetizar")</f>
        <v>Monetizar</v>
      </c>
      <c r="V480">
        <v>46079</v>
      </c>
      <c r="W480" t="str">
        <v>Alfonso Fonseca A</v>
      </c>
      <c r="X480" t="str">
        <v>Alfonso Fonseca A</v>
      </c>
      <c r="Y480" t="str">
        <v>Se monetiza ya que el valor ofrecido por el banco en cada divisa es superior al valor facturado</v>
      </c>
      <c r="Z480">
        <f>K480*O480</f>
        <v>49958203.392</v>
      </c>
      <c r="AA480">
        <f>Z480-Q480</f>
        <v>1315886.886</v>
      </c>
    </row>
    <row r="481">
      <c r="B481">
        <v>450</v>
      </c>
      <c r="C481" t="str">
        <v>Poc Pharma Limited</v>
      </c>
      <c r="D481" t="str">
        <v>FV-4-6706</v>
      </c>
      <c r="E481">
        <v>46078</v>
      </c>
      <c r="F481">
        <v>46138</v>
      </c>
      <c r="J481">
        <f>IFERROR(IF(TODAY()&gt;=E481,(TODAY()-E481)/I481,0),0)</f>
        <v>0</v>
      </c>
      <c r="K481">
        <f>800-320</f>
        <v>480</v>
      </c>
      <c r="L481">
        <f>800-320</f>
        <v>480</v>
      </c>
      <c r="M481">
        <f>K481-L481</f>
        <v>0</v>
      </c>
      <c r="N481">
        <v>3580.82</v>
      </c>
      <c r="O481">
        <v>3645.02</v>
      </c>
      <c r="Q481">
        <f>K481*N481</f>
        <v>1718793.6</v>
      </c>
      <c r="R481">
        <f>L481*O481</f>
        <v>1749609.6</v>
      </c>
      <c r="S481">
        <f>R481-Q481</f>
        <v>30816</v>
      </c>
      <c r="T481" t="str">
        <f>IF(R481&lt;= Q481,"No Monetizar","Monetizar")</f>
        <v>Monetizar</v>
      </c>
      <c r="V481">
        <v>46079</v>
      </c>
      <c r="W481" t="str">
        <v>Alfonso Fonseca A</v>
      </c>
      <c r="X481" t="str">
        <v>Alfonso Fonseca A</v>
      </c>
      <c r="Y481" t="str">
        <v>Se monetiza ya que el valor ofrecido por el banco en cada divisa es superior al valor facturado</v>
      </c>
      <c r="Z481">
        <f>K481*O481</f>
        <v>1749609.6</v>
      </c>
      <c r="AA481">
        <f>Z481-Q481</f>
        <v>30816</v>
      </c>
    </row>
    <row r="482">
      <c r="B482">
        <v>451</v>
      </c>
      <c r="C482" t="str">
        <v>Poc Pharma Limited</v>
      </c>
      <c r="D482" t="str">
        <v>FV-5-230</v>
      </c>
      <c r="E482">
        <v>46078</v>
      </c>
      <c r="F482">
        <v>46138</v>
      </c>
      <c r="J482">
        <f>IFERROR(IF(TODAY()&gt;=E482,(TODAY()-E482)/I482,0),0)</f>
        <v>0</v>
      </c>
      <c r="K482">
        <v>2199.95</v>
      </c>
      <c r="L482">
        <v>2199.95</v>
      </c>
      <c r="M482">
        <f>K482-L482</f>
        <v>0</v>
      </c>
      <c r="N482">
        <v>3580.82</v>
      </c>
      <c r="O482">
        <v>3645.02</v>
      </c>
      <c r="Q482">
        <f>K482*N482</f>
        <v>7877624.959</v>
      </c>
      <c r="R482">
        <f>L482*O482</f>
        <v>8018861.748999999</v>
      </c>
      <c r="S482">
        <f>R482-Q482</f>
        <v>141236.7899999991</v>
      </c>
      <c r="T482" t="str">
        <f>IF(R482&lt;= Q482,"No Monetizar","Monetizar")</f>
        <v>Monetizar</v>
      </c>
      <c r="V482">
        <v>46079</v>
      </c>
      <c r="W482" t="str">
        <v>Alfonso Fonseca A</v>
      </c>
      <c r="X482" t="str">
        <v>Alfonso Fonseca A</v>
      </c>
      <c r="Y482" t="str">
        <v>Se monetiza ya que el valor ofrecido por el banco en cada divisa es superior al valor facturado</v>
      </c>
      <c r="Z482">
        <f>K482*O482</f>
        <v>8018861.748999999</v>
      </c>
      <c r="AA482">
        <f>Z482-Q482</f>
        <v>141236.7899999991</v>
      </c>
    </row>
    <row r="483">
      <c r="B483">
        <v>452</v>
      </c>
      <c r="C483" t="str">
        <v>Poc Pharma Limited</v>
      </c>
      <c r="D483" t="str">
        <v>FV-5-231</v>
      </c>
      <c r="E483">
        <v>46078</v>
      </c>
      <c r="F483">
        <v>46138</v>
      </c>
      <c r="J483">
        <f>IFERROR(IF(TODAY()&gt;=E483,(TODAY()-E483)/I483,0),0)</f>
        <v>0</v>
      </c>
      <c r="K483">
        <v>329</v>
      </c>
      <c r="L483">
        <v>329</v>
      </c>
      <c r="M483">
        <f>K483-L483</f>
        <v>0</v>
      </c>
      <c r="N483">
        <v>3580.82</v>
      </c>
      <c r="O483">
        <v>3645.02</v>
      </c>
      <c r="Q483">
        <f>K483*N483</f>
        <v>1178089.78</v>
      </c>
      <c r="R483">
        <f>L483*O483</f>
        <v>1199211.58</v>
      </c>
      <c r="S483">
        <f>R483-Q483</f>
        <v>21121.800000000047</v>
      </c>
      <c r="T483" t="str">
        <f>IF(R483&lt;= Q483,"No Monetizar","Monetizar")</f>
        <v>Monetizar</v>
      </c>
      <c r="V483">
        <v>46079</v>
      </c>
      <c r="W483" t="str">
        <v>Alfonso Fonseca A</v>
      </c>
      <c r="X483" t="str">
        <v>Alfonso Fonseca A</v>
      </c>
      <c r="Y483" t="str">
        <v>Se monetiza ya que el valor ofrecido por el banco en cada divisa es superior al valor facturado</v>
      </c>
      <c r="Z483">
        <f>K483*O483</f>
        <v>1199211.58</v>
      </c>
      <c r="AA483">
        <f>Z483-Q483</f>
        <v>21121.800000000047</v>
      </c>
    </row>
    <row r="484">
      <c r="B484">
        <v>453</v>
      </c>
      <c r="C484" t="str">
        <v>Nazdar ink technologies</v>
      </c>
      <c r="D484" t="str">
        <v>FV-4-6701</v>
      </c>
      <c r="E484">
        <v>46079</v>
      </c>
      <c r="F484">
        <v>46139</v>
      </c>
      <c r="J484">
        <f>IFERROR(IF(TODAY()&gt;=E484,(TODAY()-E484)/I484,0),0)</f>
        <v>0</v>
      </c>
      <c r="K484">
        <v>987.19</v>
      </c>
      <c r="L484">
        <v>986.3409411243266</v>
      </c>
      <c r="M484">
        <f>K484-L484</f>
        <v>0.8490588756734496</v>
      </c>
      <c r="N484">
        <v>3584.85</v>
      </c>
      <c r="O484">
        <v>3731</v>
      </c>
      <c r="Q484">
        <f>K484*N484</f>
        <v>3538928.0715</v>
      </c>
      <c r="R484">
        <f>L484*O484</f>
        <v>3680038.0513348626</v>
      </c>
      <c r="S484">
        <f>R484-Q484</f>
        <v>141109.97983486252</v>
      </c>
      <c r="T484" t="str">
        <f>IF(R484&lt;= Q484,"No Monetizar","Monetizar")</f>
        <v>Monetizar</v>
      </c>
      <c r="V484">
        <v>46080</v>
      </c>
      <c r="W484" t="str">
        <v>Alfonso Fonseca A</v>
      </c>
      <c r="X484" t="str">
        <v>Alfonso Fonseca A</v>
      </c>
      <c r="Y484" t="str">
        <v>Se monetiza ya que el valor ofrecido por el banco en cada divisa es superior al valor facturado</v>
      </c>
      <c r="Z484">
        <f>K484*O484</f>
        <v>3683205.89</v>
      </c>
      <c r="AA484">
        <f>Z484-Q484</f>
        <v>144277.81850000005</v>
      </c>
    </row>
    <row r="485">
      <c r="B485">
        <v>454</v>
      </c>
      <c r="C485" t="str">
        <v>Nazdar ink technologies</v>
      </c>
      <c r="D485" t="str">
        <v>FV-5-225</v>
      </c>
      <c r="E485">
        <v>46079</v>
      </c>
      <c r="F485">
        <v>46139</v>
      </c>
      <c r="J485">
        <f>IFERROR(IF(TODAY()&gt;=E485,(TODAY()-E485)/I485,0),0)</f>
        <v>0</v>
      </c>
      <c r="K485">
        <v>16453.12</v>
      </c>
      <c r="L485">
        <v>16438.969058875675</v>
      </c>
      <c r="M485">
        <f>K485-L485</f>
        <v>14.150941124324163</v>
      </c>
      <c r="N485">
        <v>3584.85</v>
      </c>
      <c r="O485">
        <v>3731</v>
      </c>
      <c r="Q485">
        <f>K485*N485</f>
        <v>58981967.23199999</v>
      </c>
      <c r="R485">
        <f>L485*O485</f>
        <v>61333793.55866514</v>
      </c>
      <c r="S485">
        <f>R485-Q485</f>
        <v>2351826.326665148</v>
      </c>
      <c r="T485" t="str">
        <f>IF(R485&lt;= Q485,"No Monetizar","Monetizar")</f>
        <v>Monetizar</v>
      </c>
      <c r="V485">
        <v>46080</v>
      </c>
      <c r="W485" t="str">
        <v>Alfonso Fonseca A</v>
      </c>
      <c r="X485" t="str">
        <v>Alfonso Fonseca A</v>
      </c>
      <c r="Y485" t="str">
        <v>Se monetiza ya que el valor ofrecido por el banco en cada divisa es superior al valor facturado</v>
      </c>
      <c r="Z485">
        <f>K485*O485</f>
        <v>61386590.72</v>
      </c>
      <c r="AA485">
        <f>Z485-Q485</f>
        <v>2404623.4880000055</v>
      </c>
    </row>
    <row r="486">
      <c r="B486">
        <v>455</v>
      </c>
      <c r="C486" t="str">
        <v>Minudoc OÜ - Siffi</v>
      </c>
      <c r="D486" t="str">
        <v>FV-4-6689</v>
      </c>
      <c r="E486">
        <v>46079</v>
      </c>
      <c r="F486">
        <v>46139</v>
      </c>
      <c r="J486">
        <f>IFERROR(IF(TODAY()&gt;=E486,(TODAY()-E486)/I486,0),0)</f>
        <v>0</v>
      </c>
      <c r="K486">
        <v>574.4</v>
      </c>
      <c r="L486">
        <v>573.199370182584</v>
      </c>
      <c r="M486">
        <f>K486-L486</f>
        <v>1.2006298174160293</v>
      </c>
      <c r="N486">
        <v>3646.66</v>
      </c>
      <c r="O486">
        <v>3731</v>
      </c>
      <c r="Q486">
        <f>K486*N486</f>
        <v>2094641.5039999997</v>
      </c>
      <c r="R486">
        <f>L486*O486</f>
        <v>2138606.850151221</v>
      </c>
      <c r="S486">
        <f>R486-Q486</f>
        <v>43965.34615122108</v>
      </c>
      <c r="T486" t="str">
        <f>IF(R486&lt;= Q486,"No Monetizar","Monetizar")</f>
        <v>Monetizar</v>
      </c>
      <c r="V486">
        <v>46080</v>
      </c>
      <c r="W486" t="str">
        <v>Alfonso Fonseca A</v>
      </c>
      <c r="X486" t="str">
        <v>Alfonso Fonseca A</v>
      </c>
      <c r="Y486" t="str">
        <v>Se monetiza ya que el valor ofrecido por el banco en cada divisa es superior al valor facturado</v>
      </c>
      <c r="Z486">
        <f>K486*O486</f>
        <v>2143086.4</v>
      </c>
      <c r="AA486">
        <f>Z486-Q486</f>
        <v>48444.89600000018</v>
      </c>
    </row>
    <row r="487">
      <c r="B487">
        <v>456</v>
      </c>
      <c r="C487" t="str">
        <v>Minudoc OÜ - Siffi</v>
      </c>
      <c r="D487" t="str">
        <v>FV-5-218</v>
      </c>
      <c r="E487">
        <v>46079</v>
      </c>
      <c r="F487">
        <v>46139</v>
      </c>
      <c r="J487">
        <f>IFERROR(IF(TODAY()&gt;=E487,(TODAY()-E487)/I487,0),0)</f>
        <v>0</v>
      </c>
      <c r="K487">
        <v>1626.26</v>
      </c>
      <c r="L487">
        <v>1622.8607377317699</v>
      </c>
      <c r="M487">
        <f>K487-L487</f>
        <v>3.3992622682301317</v>
      </c>
      <c r="N487">
        <v>3646.66</v>
      </c>
      <c r="O487">
        <v>3731</v>
      </c>
      <c r="Q487">
        <f>K487*N487</f>
        <v>5930417.2916</v>
      </c>
      <c r="R487">
        <f>L487*O487</f>
        <v>6054893.412477233</v>
      </c>
      <c r="S487">
        <f>R487-Q487</f>
        <v>124476.12087723333</v>
      </c>
      <c r="T487" t="str">
        <f>IF(R487&lt;= Q487,"No Monetizar","Monetizar")</f>
        <v>Monetizar</v>
      </c>
      <c r="V487">
        <v>46080</v>
      </c>
      <c r="W487" t="str">
        <v>Alfonso Fonseca A</v>
      </c>
      <c r="X487" t="str">
        <v>Alfonso Fonseca A</v>
      </c>
      <c r="Y487" t="str">
        <v>Se monetiza ya que el valor ofrecido por el banco en cada divisa es superior al valor facturado</v>
      </c>
      <c r="Z487">
        <f>K487*O487</f>
        <v>6067576.06</v>
      </c>
      <c r="AA487">
        <f>Z487-Q487</f>
        <v>137158.76839999948</v>
      </c>
    </row>
    <row r="488">
      <c r="B488">
        <v>457</v>
      </c>
      <c r="C488" t="str">
        <v>Minudoc OÜ - Siffi</v>
      </c>
      <c r="D488" t="str">
        <v>FV-5-219</v>
      </c>
      <c r="E488">
        <v>46079</v>
      </c>
      <c r="F488">
        <v>46139</v>
      </c>
      <c r="J488">
        <f>IFERROR(IF(TODAY()&gt;=E488,(TODAY()-E488)/I488,0),0)</f>
        <v>0</v>
      </c>
      <c r="K488">
        <v>2530.87</v>
      </c>
      <c r="L488">
        <v>2525.5798920856473</v>
      </c>
      <c r="M488">
        <f>K488-L488</f>
        <v>5.290107914352575</v>
      </c>
      <c r="N488">
        <v>3646.66</v>
      </c>
      <c r="O488">
        <v>3731</v>
      </c>
      <c r="Q488">
        <f>K488*N488</f>
        <v>9229222.394199999</v>
      </c>
      <c r="R488">
        <f>L488*O488</f>
        <v>9422938.57737155</v>
      </c>
      <c r="S488">
        <f>R488-Q488</f>
        <v>193716.18317155167</v>
      </c>
      <c r="T488" t="str">
        <f>IF(R488&lt;= Q488,"No Monetizar","Monetizar")</f>
        <v>Monetizar</v>
      </c>
      <c r="V488">
        <v>46080</v>
      </c>
      <c r="W488" t="str">
        <v>Alfonso Fonseca A</v>
      </c>
      <c r="X488" t="str">
        <v>Alfonso Fonseca A</v>
      </c>
      <c r="Y488" t="str">
        <v>Se monetiza ya que el valor ofrecido por el banco en cada divisa es superior al valor facturado</v>
      </c>
      <c r="Z488">
        <f>K488*O488</f>
        <v>9442675.969999999</v>
      </c>
      <c r="AA488">
        <f>Z488-Q488</f>
        <v>213453.57579999976</v>
      </c>
    </row>
    <row r="489">
      <c r="B489">
        <v>458</v>
      </c>
      <c r="C489" t="str">
        <v>Bubble BPM</v>
      </c>
      <c r="D489" t="str">
        <v>FV-4-6686</v>
      </c>
      <c r="E489">
        <v>46079</v>
      </c>
      <c r="F489">
        <v>46139</v>
      </c>
      <c r="J489">
        <f>IFERROR(IF(TODAY()&gt;=E489,(TODAY()-E489)/I489,0),0)</f>
        <v>0</v>
      </c>
      <c r="K489">
        <v>126.29</v>
      </c>
      <c r="L489">
        <v>123.31702490622895</v>
      </c>
      <c r="M489">
        <f>K489-L489</f>
        <v>2.972975093771055</v>
      </c>
      <c r="N489">
        <v>3543.31</v>
      </c>
      <c r="O489">
        <v>3731</v>
      </c>
      <c r="Q489">
        <f>K489*N489</f>
        <v>447484.6199</v>
      </c>
      <c r="R489">
        <f>L489*O489</f>
        <v>460095.81992514024</v>
      </c>
      <c r="S489">
        <f>R489-Q489</f>
        <v>12611.20002514025</v>
      </c>
      <c r="T489" t="str">
        <f>IF(R489&lt;= Q489,"No Monetizar","Monetizar")</f>
        <v>Monetizar</v>
      </c>
      <c r="V489">
        <v>46080</v>
      </c>
      <c r="W489" t="str">
        <v>Alfonso Fonseca A</v>
      </c>
      <c r="X489" t="str">
        <v>Alfonso Fonseca A</v>
      </c>
      <c r="Y489" t="str">
        <v>Se monetiza ya que el valor ofrecido por el banco en cada divisa es superior al valor facturado</v>
      </c>
      <c r="Z489">
        <f>K489*O489</f>
        <v>471187.99000000005</v>
      </c>
      <c r="AA489">
        <f>Z489-Q489</f>
        <v>23703.37010000006</v>
      </c>
    </row>
    <row r="490">
      <c r="B490">
        <v>459</v>
      </c>
      <c r="C490" t="str">
        <v>Bubble BPM</v>
      </c>
      <c r="D490" t="str">
        <v>FV-5-215</v>
      </c>
      <c r="E490">
        <v>46079</v>
      </c>
      <c r="F490">
        <v>46139</v>
      </c>
      <c r="J490">
        <f>IFERROR(IF(TODAY()&gt;=E490,(TODAY()-E490)/I490,0),0)</f>
        <v>0</v>
      </c>
      <c r="K490">
        <v>1148.09</v>
      </c>
      <c r="L490">
        <v>1121.0629750937712</v>
      </c>
      <c r="M490">
        <f>K490-L490</f>
        <v>27.02702490622869</v>
      </c>
      <c r="N490">
        <v>3543.31</v>
      </c>
      <c r="O490">
        <v>3731</v>
      </c>
      <c r="Q490">
        <f>K490*N490</f>
        <v>4068038.7778999996</v>
      </c>
      <c r="R490">
        <f>L490*O490</f>
        <v>4182685.9600748606</v>
      </c>
      <c r="S490">
        <f>R490-Q490</f>
        <v>114647.18217486097</v>
      </c>
      <c r="T490" t="str">
        <f>IF(R490&lt;= Q490,"No Monetizar","Monetizar")</f>
        <v>Monetizar</v>
      </c>
      <c r="V490">
        <v>46080</v>
      </c>
      <c r="W490" t="str">
        <v>Alfonso Fonseca A</v>
      </c>
      <c r="X490" t="str">
        <v>Alfonso Fonseca A</v>
      </c>
      <c r="Y490" t="str">
        <v>Se monetiza ya que el valor ofrecido por el banco en cada divisa es superior al valor facturado</v>
      </c>
      <c r="Z490">
        <f>K490*O490</f>
        <v>4283523.79</v>
      </c>
      <c r="AA490">
        <f>Z490-Q490</f>
        <v>215485.0121000004</v>
      </c>
    </row>
    <row r="491">
      <c r="B491">
        <v>460</v>
      </c>
      <c r="C491" t="str">
        <v>Hemmebarsch GMBH &amp; Co KG</v>
      </c>
      <c r="D491" t="str">
        <v>FV-4-6684</v>
      </c>
      <c r="E491">
        <v>46086</v>
      </c>
      <c r="F491">
        <v>46146</v>
      </c>
      <c r="J491">
        <f>IFERROR(IF(TODAY()&gt;=E491,(TODAY()-E491)/I491,0),0)</f>
        <v>0</v>
      </c>
      <c r="K491">
        <v>191</v>
      </c>
      <c r="L491">
        <v>191</v>
      </c>
      <c r="M491">
        <f>K491-L491</f>
        <v>0</v>
      </c>
      <c r="N491">
        <v>3543.31</v>
      </c>
      <c r="O491">
        <v>3757.15</v>
      </c>
      <c r="Q491">
        <f>K491*N491</f>
        <v>676772.21</v>
      </c>
      <c r="R491">
        <f>L491*O491</f>
        <v>717615.65</v>
      </c>
      <c r="S491">
        <f>R491-Q491</f>
        <v>40843.44000000006</v>
      </c>
      <c r="T491" t="str">
        <f>IF(R491&lt;= Q491,"No Monetizar","Monetizar")</f>
        <v>Monetizar</v>
      </c>
      <c r="V491">
        <v>46086</v>
      </c>
      <c r="W491" t="str">
        <v>Alfonso Fonseca A</v>
      </c>
      <c r="X491" t="str">
        <v>Alfonso Fonseca A</v>
      </c>
      <c r="Y491" t="str">
        <v>Se monetiza ya que el valor ofrecido por el banco en cada divisa es superior al valor facturado</v>
      </c>
      <c r="Z491">
        <f>K491*O491</f>
        <v>717615.65</v>
      </c>
      <c r="AA491">
        <f>Z491-Q491</f>
        <v>40843.44000000006</v>
      </c>
    </row>
    <row r="492">
      <c r="B492">
        <v>461</v>
      </c>
      <c r="C492" t="str">
        <v>Hemmebarsch GMBH &amp; Co KG</v>
      </c>
      <c r="D492" t="str">
        <v>FV-5-213</v>
      </c>
      <c r="E492">
        <v>46086</v>
      </c>
      <c r="F492">
        <v>46146</v>
      </c>
      <c r="J492">
        <f>IFERROR(IF(TODAY()&gt;=E492,(TODAY()-E492)/I492,0),0)</f>
        <v>0</v>
      </c>
      <c r="K492">
        <v>1909.97</v>
      </c>
      <c r="L492">
        <v>1909.97</v>
      </c>
      <c r="M492">
        <f>K492-L492</f>
        <v>0</v>
      </c>
      <c r="N492">
        <v>3543.31</v>
      </c>
      <c r="O492">
        <v>3757.15</v>
      </c>
      <c r="Q492">
        <f>K492*N492</f>
        <v>6767615.8007</v>
      </c>
      <c r="R492">
        <f>L492*O492</f>
        <v>7176043.7855</v>
      </c>
      <c r="S492">
        <f>R492-Q492</f>
        <v>408427.9848000007</v>
      </c>
      <c r="T492" t="str">
        <f>IF(R492&lt;= Q492,"No Monetizar","Monetizar")</f>
        <v>Monetizar</v>
      </c>
      <c r="V492">
        <v>46086</v>
      </c>
      <c r="W492" t="str">
        <v>Alfonso Fonseca A</v>
      </c>
      <c r="X492" t="str">
        <v>Alfonso Fonseca A</v>
      </c>
      <c r="Y492" t="str">
        <v>Se monetiza ya que el valor ofrecido por el banco en cada divisa es superior al valor facturado</v>
      </c>
      <c r="Z492">
        <f>K492*O492</f>
        <v>7176043.7855</v>
      </c>
      <c r="AA492">
        <f>Z492-Q492</f>
        <v>408427.9848000007</v>
      </c>
    </row>
    <row r="493">
      <c r="B493">
        <v>462</v>
      </c>
      <c r="C493" t="str">
        <v>Hemmebarsch GMBH &amp; Co KG</v>
      </c>
      <c r="D493" t="str">
        <v>FV-4-6685</v>
      </c>
      <c r="E493">
        <v>46086</v>
      </c>
      <c r="F493">
        <v>46146</v>
      </c>
      <c r="J493">
        <f>IFERROR(IF(TODAY()&gt;=E493,(TODAY()-E493)/I493,0),0)</f>
        <v>0</v>
      </c>
      <c r="K493">
        <v>127.57</v>
      </c>
      <c r="L493">
        <v>127.57</v>
      </c>
      <c r="M493">
        <f>K493-L493</f>
        <v>0</v>
      </c>
      <c r="N493">
        <v>3543.31</v>
      </c>
      <c r="O493">
        <v>3757.15</v>
      </c>
      <c r="Q493">
        <f>K493*N493</f>
        <v>452020.05669999996</v>
      </c>
      <c r="R493">
        <f>L493*O493</f>
        <v>479299.62549999997</v>
      </c>
      <c r="S493">
        <f>R493-Q493</f>
        <v>27279.56880000001</v>
      </c>
      <c r="T493" t="str">
        <f>IF(R493&lt;= Q493,"No Monetizar","Monetizar")</f>
        <v>Monetizar</v>
      </c>
      <c r="V493">
        <v>46086</v>
      </c>
      <c r="W493" t="str">
        <v>Alfonso Fonseca A</v>
      </c>
      <c r="X493" t="str">
        <v>Alfonso Fonseca A</v>
      </c>
      <c r="Y493" t="str">
        <v>Se monetiza ya que el valor ofrecido por el banco en cada divisa es superior al valor facturado</v>
      </c>
      <c r="Z493">
        <f>K493*O493</f>
        <v>479299.62549999997</v>
      </c>
      <c r="AA493">
        <f>Z493-Q493</f>
        <v>27279.56880000001</v>
      </c>
    </row>
    <row r="494">
      <c r="B494">
        <v>463</v>
      </c>
      <c r="C494" t="str">
        <v>Hemmebarsch GMBH &amp; Co KG</v>
      </c>
      <c r="D494" t="str">
        <v>FV-5-214</v>
      </c>
      <c r="E494">
        <v>46086</v>
      </c>
      <c r="F494">
        <v>46146</v>
      </c>
      <c r="J494">
        <f>IFERROR(IF(TODAY()&gt;=E494,(TODAY()-E494)/I494,0),0)</f>
        <v>0</v>
      </c>
      <c r="K494">
        <v>1275.67</v>
      </c>
      <c r="L494">
        <v>1275.67</v>
      </c>
      <c r="M494">
        <f>K494-L494</f>
        <v>0</v>
      </c>
      <c r="N494">
        <v>3543.31</v>
      </c>
      <c r="O494">
        <v>3757.15</v>
      </c>
      <c r="Q494">
        <f>K494*N494</f>
        <v>4520094.2677</v>
      </c>
      <c r="R494">
        <f>L494*O494</f>
        <v>4792883.5405</v>
      </c>
      <c r="S494">
        <f>R494-Q494</f>
        <v>272789.2728000004</v>
      </c>
      <c r="T494" t="str">
        <f>IF(R494&lt;= Q494,"No Monetizar","Monetizar")</f>
        <v>Monetizar</v>
      </c>
      <c r="V494">
        <v>46086</v>
      </c>
      <c r="W494" t="str">
        <v>Alfonso Fonseca A</v>
      </c>
      <c r="X494" t="str">
        <v>Alfonso Fonseca A</v>
      </c>
      <c r="Y494" t="str">
        <v>Se monetiza ya que el valor ofrecido por el banco en cada divisa es superior al valor facturado</v>
      </c>
      <c r="Z494">
        <f>K494*O494</f>
        <v>4792883.5405</v>
      </c>
      <c r="AA494">
        <f>Z494-Q494</f>
        <v>272789.2728000004</v>
      </c>
    </row>
    <row r="495">
      <c r="B495">
        <v>464</v>
      </c>
      <c r="C495" t="str">
        <v>Solutions &amp; Payroll Panamá</v>
      </c>
      <c r="D495" t="str">
        <v>S/N</v>
      </c>
      <c r="E495">
        <v>46085</v>
      </c>
      <c r="F495">
        <v>46147</v>
      </c>
      <c r="J495">
        <f>IFERROR(IF(TODAY()&gt;=E495,(TODAY()-E495)/I495,0),0)</f>
        <v>0</v>
      </c>
      <c r="K495">
        <v>15784.99</v>
      </c>
      <c r="L495">
        <v>15784.99</v>
      </c>
      <c r="M495">
        <f>K495-L495</f>
        <v>0</v>
      </c>
      <c r="N495">
        <v>3768.73</v>
      </c>
      <c r="O495">
        <v>3782</v>
      </c>
      <c r="Q495">
        <f>K495*N495</f>
        <v>59489365.3627</v>
      </c>
      <c r="R495">
        <f>L495*O495</f>
        <v>59698832.18</v>
      </c>
      <c r="S495">
        <f>R495-Q495</f>
        <v>209466.8172999993</v>
      </c>
      <c r="T495" t="str">
        <f>IF(R495&lt;= Q495,"No Monetizar","Monetizar")</f>
        <v>Monetizar</v>
      </c>
      <c r="V495">
        <v>46087</v>
      </c>
      <c r="W495" t="str">
        <v>Alfonso Fonseca A</v>
      </c>
      <c r="X495" t="str">
        <v>Alfonso Fonseca A</v>
      </c>
      <c r="Y495" t="str">
        <v>Se monetiza ya que el valor ofrecido por el banco en cada divisa es superior al valor facturado</v>
      </c>
      <c r="Z495">
        <f>K495*O495</f>
        <v>59698832.18</v>
      </c>
      <c r="AA495">
        <f>Z495-Q495</f>
        <v>209466.8172999993</v>
      </c>
    </row>
    <row r="496">
      <c r="B496">
        <v>474</v>
      </c>
      <c r="C496" t="str">
        <v xml:space="preserve">Deel </v>
      </c>
      <c r="D496" t="str">
        <v>FV-4-6658</v>
      </c>
      <c r="E496">
        <v>46087</v>
      </c>
      <c r="F496">
        <v>46147</v>
      </c>
      <c r="J496">
        <f>IFERROR(IF(TODAY()&gt;=E496,(TODAY()-E496)/I496,0),0)</f>
        <v>0</v>
      </c>
      <c r="K496">
        <v>11437.18</v>
      </c>
      <c r="L496">
        <v>11437.18</v>
      </c>
      <c r="M496">
        <f>K496-L496</f>
        <v>0</v>
      </c>
      <c r="N496">
        <v>3661.29</v>
      </c>
      <c r="O496">
        <v>3719.05</v>
      </c>
      <c r="Q496">
        <f>K496*N496</f>
        <v>41874832.7622</v>
      </c>
      <c r="R496">
        <f>L496*O496</f>
        <v>42535444.27900001</v>
      </c>
      <c r="S496">
        <f>R496-Q496</f>
        <v>660611.5168000087</v>
      </c>
      <c r="T496" t="str">
        <f>IF(R496&lt;= Q496,"No Monetizar","Monetizar")</f>
        <v>Monetizar</v>
      </c>
      <c r="V496">
        <v>46090</v>
      </c>
      <c r="W496" t="str">
        <v>Alfonso Fonseca A</v>
      </c>
      <c r="X496" t="str">
        <v>Alfonso Fonseca A</v>
      </c>
      <c r="Y496" t="str">
        <v>Se monetiza ya que el valor ofrecido por el banco en cada divisa es superior al valor facturado</v>
      </c>
      <c r="Z496">
        <f>K496*O496</f>
        <v>42535444.27900001</v>
      </c>
      <c r="AA496">
        <f>Z496-Q496</f>
        <v>660611.5168000087</v>
      </c>
    </row>
    <row r="497">
      <c r="B497">
        <v>475</v>
      </c>
      <c r="C497" t="str">
        <v xml:space="preserve">Deel </v>
      </c>
      <c r="D497" t="str">
        <v>FV-4-6646-6649</v>
      </c>
      <c r="E497">
        <v>46087</v>
      </c>
      <c r="F497">
        <v>46147</v>
      </c>
      <c r="J497">
        <f>IFERROR(IF(TODAY()&gt;=E497,(TODAY()-E497)/I497,0),0)</f>
        <v>0</v>
      </c>
      <c r="K497">
        <v>10705.7</v>
      </c>
      <c r="L497">
        <v>10690.7</v>
      </c>
      <c r="M497">
        <f>K497-L497</f>
        <v>15</v>
      </c>
      <c r="N497">
        <v>3661.29</v>
      </c>
      <c r="O497">
        <v>3719.05</v>
      </c>
      <c r="Q497">
        <f>K497*N497</f>
        <v>39196672.353</v>
      </c>
      <c r="R497">
        <f>L497*O497</f>
        <v>39759247.83500001</v>
      </c>
      <c r="S497">
        <f>R497-Q497</f>
        <v>562575.4820000082</v>
      </c>
      <c r="T497" t="str">
        <f>IF(R497&lt;= Q497,"No Monetizar","Monetizar")</f>
        <v>Monetizar</v>
      </c>
      <c r="V497">
        <v>46090</v>
      </c>
      <c r="W497" t="str">
        <v>Alfonso Fonseca A</v>
      </c>
      <c r="X497" t="str">
        <v>Alfonso Fonseca A</v>
      </c>
      <c r="Y497" t="str">
        <v>Se monetiza ya que el valor ofrecido por el banco en cada divisa es superior al valor facturado</v>
      </c>
      <c r="Z497">
        <f>K497*O497</f>
        <v>39815033.58500001</v>
      </c>
      <c r="AA497">
        <f>Z497-Q497</f>
        <v>618361.2320000082</v>
      </c>
    </row>
    <row r="498">
      <c r="B498">
        <v>476</v>
      </c>
      <c r="C498" t="str">
        <v>Insider</v>
      </c>
      <c r="D498" t="str">
        <v>FV-5-243</v>
      </c>
      <c r="E498">
        <v>46094</v>
      </c>
      <c r="F498">
        <v>46154</v>
      </c>
      <c r="J498">
        <f>IFERROR(IF(TODAY()&gt;=E498,(TODAY()-E498)/I498,0),0)</f>
        <v>0</v>
      </c>
      <c r="K498">
        <v>2101.5</v>
      </c>
      <c r="L498">
        <v>2086.5</v>
      </c>
      <c r="M498">
        <f>K498-L498</f>
        <v>15</v>
      </c>
      <c r="N498">
        <v>3650.99</v>
      </c>
      <c r="O498">
        <v>3692.55</v>
      </c>
      <c r="Q498">
        <f>K498*N498</f>
        <v>7672555.484999999</v>
      </c>
      <c r="R498">
        <f>L498*O498</f>
        <v>7704505.575</v>
      </c>
      <c r="S498">
        <f>R498-Q498</f>
        <v>31950.090000000782</v>
      </c>
      <c r="T498" t="str">
        <f>IF(R498&lt;= Q498,"No Monetizar","Monetizar")</f>
        <v>Monetizar</v>
      </c>
      <c r="V498">
        <v>46090</v>
      </c>
      <c r="W498" t="str">
        <v>Alfonso Fonseca A</v>
      </c>
      <c r="X498" t="str">
        <v>Alfonso Fonseca A</v>
      </c>
      <c r="Y498" t="str">
        <v>Se monetiza ya que el valor ofrecido por el banco en cada divisa es superior al valor facturado</v>
      </c>
      <c r="Z498">
        <f>K498*O498</f>
        <v>7759893.825</v>
      </c>
      <c r="AA498">
        <f>Z498-Q498</f>
        <v>87338.34000000078</v>
      </c>
    </row>
    <row r="499">
      <c r="B499">
        <v>477</v>
      </c>
      <c r="C499" t="str">
        <v>Global Project</v>
      </c>
      <c r="D499" t="str">
        <v>FV-4-6403</v>
      </c>
      <c r="E499">
        <v>46094</v>
      </c>
      <c r="F499">
        <v>46154</v>
      </c>
      <c r="J499">
        <f>IFERROR(IF(TODAY()&gt;=E499,(TODAY()-E499)/I499,0),0)</f>
        <v>0</v>
      </c>
      <c r="K499">
        <v>700</v>
      </c>
      <c r="L499">
        <v>699.1709186694902</v>
      </c>
      <c r="M499">
        <f>K499-L499</f>
        <v>0.82908133050978</v>
      </c>
      <c r="N499">
        <v>3870.42</v>
      </c>
      <c r="O499">
        <v>3671.5</v>
      </c>
      <c r="Q499">
        <f>K499*N499</f>
        <v>2709294</v>
      </c>
      <c r="R499">
        <f>L499*O499</f>
        <v>2567006.0278950334</v>
      </c>
      <c r="S499">
        <f>R499-Q499</f>
        <v>-142287.97210496664</v>
      </c>
      <c r="T499" t="str">
        <f>IF(R499&lt;= Q499,"No Monetizar","Monetizar")</f>
        <v>No Monetizar</v>
      </c>
      <c r="V499">
        <v>46097</v>
      </c>
      <c r="W499" t="str">
        <v>Alfonso Fonseca A</v>
      </c>
      <c r="X499" t="str">
        <v>Alfonso Fonseca A</v>
      </c>
      <c r="Y499"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499">
        <f>K499*O499</f>
        <v>2570050</v>
      </c>
      <c r="AA499">
        <f>Z499-Q499</f>
        <v>-139244</v>
      </c>
    </row>
    <row r="500">
      <c r="B500">
        <v>478</v>
      </c>
      <c r="C500" t="str">
        <v>Global Project</v>
      </c>
      <c r="D500" t="str">
        <v>FV-4-6505</v>
      </c>
      <c r="E500">
        <v>46094</v>
      </c>
      <c r="F500">
        <v>46154</v>
      </c>
      <c r="J500">
        <f>IFERROR(IF(TODAY()&gt;=E500,(TODAY()-E500)/I500,0),0)</f>
        <v>0</v>
      </c>
      <c r="K500">
        <v>700</v>
      </c>
      <c r="L500">
        <v>699.1709186694902</v>
      </c>
      <c r="M500">
        <f>K500-L500</f>
        <v>0.82908133050978</v>
      </c>
      <c r="N500">
        <v>3817.66</v>
      </c>
      <c r="O500">
        <v>3671.5</v>
      </c>
      <c r="Q500">
        <f>K500*N500</f>
        <v>2672362</v>
      </c>
      <c r="R500">
        <f>L500*O500</f>
        <v>2567006.0278950334</v>
      </c>
      <c r="S500">
        <f>R500-Q500</f>
        <v>-105355.97210496664</v>
      </c>
      <c r="T500" t="str">
        <f>IF(R500&lt;= Q500,"No Monetizar","Monetizar")</f>
        <v>No Monetizar</v>
      </c>
      <c r="V500">
        <v>46097</v>
      </c>
      <c r="W500" t="str">
        <v>Alfonso Fonseca A</v>
      </c>
      <c r="X500" t="str">
        <v>Alfonso Fonseca A</v>
      </c>
      <c r="Y500"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0">
        <f>K500*O500</f>
        <v>2570050</v>
      </c>
      <c r="AA500">
        <f>Z500-Q500</f>
        <v>-102312</v>
      </c>
    </row>
    <row r="501">
      <c r="B501">
        <v>479</v>
      </c>
      <c r="C501" t="str">
        <v>Global Project</v>
      </c>
      <c r="D501" t="str">
        <v>FV-5-85</v>
      </c>
      <c r="E501">
        <v>46094</v>
      </c>
      <c r="F501">
        <v>46154</v>
      </c>
      <c r="J501">
        <f>IFERROR(IF(TODAY()&gt;=E501,(TODAY()-E501)/I501,0),0)</f>
        <v>0</v>
      </c>
      <c r="K501">
        <v>1282.24</v>
      </c>
      <c r="L501">
        <v>1280.7213125068104</v>
      </c>
      <c r="M501">
        <f>K501-L501</f>
        <v>1.5186874931896455</v>
      </c>
      <c r="N501">
        <v>3933.31</v>
      </c>
      <c r="O501">
        <v>3671.5</v>
      </c>
      <c r="Q501">
        <f>K501*N501</f>
        <v>5043447.4144</v>
      </c>
      <c r="R501">
        <f>L501*O501</f>
        <v>4702168.298868754</v>
      </c>
      <c r="S501">
        <f>R501-Q501</f>
        <v>-341279.1155312462</v>
      </c>
      <c r="T501" t="str">
        <f>IF(R501&lt;= Q501,"No Monetizar","Monetizar")</f>
        <v>No Monetizar</v>
      </c>
      <c r="V501">
        <v>46097</v>
      </c>
      <c r="W501" t="str">
        <v>Alfonso Fonseca A</v>
      </c>
      <c r="X501" t="str">
        <v>Alfonso Fonseca A</v>
      </c>
      <c r="Y501"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1">
        <f>K501*O501</f>
        <v>4707744.16</v>
      </c>
      <c r="AA501">
        <f>Z501-Q501</f>
        <v>-335703.2544</v>
      </c>
    </row>
    <row r="502">
      <c r="B502">
        <v>480</v>
      </c>
      <c r="C502" t="str">
        <v>Global Project</v>
      </c>
      <c r="D502" t="str">
        <v>FV-5-123</v>
      </c>
      <c r="E502">
        <v>46094</v>
      </c>
      <c r="F502">
        <v>46154</v>
      </c>
      <c r="J502">
        <f>IFERROR(IF(TODAY()&gt;=E502,(TODAY()-E502)/I502,0),0)</f>
        <v>0</v>
      </c>
      <c r="K502">
        <v>697.19</v>
      </c>
      <c r="L502">
        <v>696.3642468388314</v>
      </c>
      <c r="M502">
        <f>K502-L502</f>
        <v>0.8257531611686773</v>
      </c>
      <c r="N502">
        <v>3808.77</v>
      </c>
      <c r="O502">
        <v>3671.5</v>
      </c>
      <c r="Q502">
        <f>K502*N502</f>
        <v>2655436.3563</v>
      </c>
      <c r="R502">
        <f>L502*O502</f>
        <v>2556701.3322687694</v>
      </c>
      <c r="S502">
        <f>R502-Q502</f>
        <v>-98735.02403123071</v>
      </c>
      <c r="T502" t="str">
        <f>IF(R502&lt;= Q502,"No Monetizar","Monetizar")</f>
        <v>No Monetizar</v>
      </c>
      <c r="V502">
        <v>46097</v>
      </c>
      <c r="W502" t="str">
        <v>Alfonso Fonseca A</v>
      </c>
      <c r="X502" t="str">
        <v>Alfonso Fonseca A</v>
      </c>
      <c r="Y502"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2">
        <f>K502*O502</f>
        <v>2559733.0850000004</v>
      </c>
      <c r="AA502">
        <f>Z502-Q502</f>
        <v>-95703.27129999967</v>
      </c>
    </row>
    <row r="503">
      <c r="B503">
        <v>481</v>
      </c>
      <c r="C503" t="str">
        <v>Global Project</v>
      </c>
      <c r="D503" t="str">
        <v>FV-5-158</v>
      </c>
      <c r="E503">
        <v>46094</v>
      </c>
      <c r="F503">
        <v>46154</v>
      </c>
      <c r="J503">
        <f>IFERROR(IF(TODAY()&gt;=E503,(TODAY()-E503)/I503,0),0)</f>
        <v>0</v>
      </c>
      <c r="K503">
        <v>376.72</v>
      </c>
      <c r="L503">
        <v>376.2738121159577</v>
      </c>
      <c r="M503">
        <f>K503-L503</f>
        <v>0.446187884042331</v>
      </c>
      <c r="N503">
        <v>3792.59</v>
      </c>
      <c r="O503">
        <v>3671.5</v>
      </c>
      <c r="Q503">
        <f>K503*N503</f>
        <v>1428744.5048000002</v>
      </c>
      <c r="R503">
        <f>L503*O503</f>
        <v>1381489.3011837387</v>
      </c>
      <c r="S503">
        <f>R503-Q503</f>
        <v>-47255.20361626148</v>
      </c>
      <c r="T503" t="str">
        <f>IF(R503&lt;= Q503,"No Monetizar","Monetizar")</f>
        <v>No Monetizar</v>
      </c>
      <c r="V503">
        <v>46097</v>
      </c>
      <c r="W503" t="str">
        <v>Alfonso Fonseca A</v>
      </c>
      <c r="X503" t="str">
        <v>Alfonso Fonseca A</v>
      </c>
      <c r="Y503"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3">
        <f>K503*O503</f>
        <v>1383127.4800000002</v>
      </c>
      <c r="AA503">
        <f>Z503-Q503</f>
        <v>-45617.024800000014</v>
      </c>
    </row>
    <row r="504">
      <c r="B504">
        <v>482</v>
      </c>
      <c r="C504" t="str">
        <v>Global Project</v>
      </c>
      <c r="D504" t="str">
        <v>FV-5-198</v>
      </c>
      <c r="E504">
        <v>46094</v>
      </c>
      <c r="F504">
        <v>46154</v>
      </c>
      <c r="J504">
        <f>IFERROR(IF(TODAY()&gt;=E504,(TODAY()-E504)/I504,0),0)</f>
        <v>0</v>
      </c>
      <c r="K504">
        <v>4686.93</v>
      </c>
      <c r="L504">
        <v>4681.37879119942</v>
      </c>
      <c r="M504">
        <f>K504-L504</f>
        <v>5.551208800579843</v>
      </c>
      <c r="N504">
        <v>3678.59</v>
      </c>
      <c r="O504">
        <v>3671.5</v>
      </c>
      <c r="Q504">
        <f>K504*N504</f>
        <v>17241293.828700002</v>
      </c>
      <c r="R504">
        <f>L504*O504</f>
        <v>17187682.23188867</v>
      </c>
      <c r="S504">
        <f>R504-Q504</f>
        <v>-53611.59681133181</v>
      </c>
      <c r="T504" t="str">
        <f>IF(R504&lt;= Q504,"No Monetizar","Monetizar")</f>
        <v>No Monetizar</v>
      </c>
      <c r="V504">
        <v>46097</v>
      </c>
      <c r="W504" t="str">
        <v>Alfonso Fonseca A</v>
      </c>
      <c r="X504" t="str">
        <v>Alfonso Fonseca A</v>
      </c>
      <c r="Y504"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4">
        <f>K504*O504</f>
        <v>17208063.495</v>
      </c>
      <c r="AA504">
        <f>Z504-Q504</f>
        <v>-33230.33370000124</v>
      </c>
    </row>
    <row r="505">
      <c r="B505">
        <v>483</v>
      </c>
      <c r="C505" t="str">
        <v>Action</v>
      </c>
      <c r="D505">
        <v>6783</v>
      </c>
      <c r="E505">
        <v>46098</v>
      </c>
      <c r="F505">
        <v>46158</v>
      </c>
      <c r="J505">
        <f>IFERROR(IF(TODAY()&gt;=E505,(TODAY()-E505)/I505,0),0)</f>
        <v>0</v>
      </c>
      <c r="K505">
        <v>350.74</v>
      </c>
      <c r="L505">
        <v>350.74</v>
      </c>
      <c r="M505">
        <f>K505-L505</f>
        <v>0</v>
      </c>
      <c r="N505">
        <v>3646.68</v>
      </c>
      <c r="O505">
        <v>3670</v>
      </c>
      <c r="Q505">
        <f>K505*N505</f>
        <v>1279036.5432</v>
      </c>
      <c r="R505">
        <f>L505*O505</f>
        <v>1287215.8</v>
      </c>
      <c r="S505">
        <f>R505-Q505</f>
        <v>8179.25680000009</v>
      </c>
      <c r="T505" t="str">
        <f>IF(R505&lt;= Q505,"No Monetizar","Monetizar")</f>
        <v>Monetizar</v>
      </c>
      <c r="V505">
        <v>46098</v>
      </c>
      <c r="W505" t="str">
        <v>Alfonso Fonseca A</v>
      </c>
      <c r="X505" t="str">
        <v>Alfonso Fonseca A</v>
      </c>
      <c r="Y505" t="str">
        <v>Se monetiza ya que el valor ofrecido por el banco en cada divisa es superior al valor facturado</v>
      </c>
      <c r="Z505">
        <f>K505*O505</f>
        <v>1287215.8</v>
      </c>
      <c r="AA505">
        <f>Z505-Q505</f>
        <v>8179.25680000009</v>
      </c>
    </row>
    <row r="506">
      <c r="B506">
        <v>484</v>
      </c>
      <c r="C506" t="str">
        <v>Action</v>
      </c>
      <c r="D506" t="str">
        <v>FV-5-255</v>
      </c>
      <c r="E506">
        <v>46098</v>
      </c>
      <c r="F506">
        <v>46158</v>
      </c>
      <c r="J506">
        <f>IFERROR(IF(TODAY()&gt;=E506,(TODAY()-E506)/I506,0),0)</f>
        <v>0</v>
      </c>
      <c r="K506">
        <v>3188.52</v>
      </c>
      <c r="L506">
        <v>3188.52</v>
      </c>
      <c r="M506">
        <f>K506-L506</f>
        <v>0</v>
      </c>
      <c r="N506">
        <v>3646.68</v>
      </c>
      <c r="O506">
        <v>3670</v>
      </c>
      <c r="Q506">
        <f>K506*N506</f>
        <v>11627512.113599999</v>
      </c>
      <c r="R506">
        <f>L506*O506</f>
        <v>11701868.4</v>
      </c>
      <c r="S506">
        <f>R506-Q506</f>
        <v>74356.2864000015</v>
      </c>
      <c r="T506" t="str">
        <f>IF(R506&lt;= Q506,"No Monetizar","Monetizar")</f>
        <v>Monetizar</v>
      </c>
      <c r="V506">
        <v>46098</v>
      </c>
      <c r="W506" t="str">
        <v>Alfonso Fonseca A</v>
      </c>
      <c r="X506" t="str">
        <v>Alfonso Fonseca A</v>
      </c>
      <c r="Y506" t="str">
        <v>Se monetiza ya que el valor ofrecido por el banco en cada divisa es superior al valor facturado</v>
      </c>
      <c r="Z506">
        <f>K506*O506</f>
        <v>11701868.4</v>
      </c>
      <c r="AA506">
        <f>Z506-Q506</f>
        <v>74356.2864000015</v>
      </c>
    </row>
    <row r="507">
      <c r="B507">
        <v>485</v>
      </c>
      <c r="C507" t="str">
        <v>Root Capital</v>
      </c>
      <c r="D507" t="str">
        <v>FV-4-6775</v>
      </c>
      <c r="E507">
        <v>46099</v>
      </c>
      <c r="F507">
        <v>46159</v>
      </c>
      <c r="J507">
        <f>IFERROR(IF(TODAY()&gt;=E507,(TODAY()-E507)/I507,0),0)</f>
        <v>0</v>
      </c>
      <c r="K507">
        <v>509.61</v>
      </c>
      <c r="L507">
        <v>509.61</v>
      </c>
      <c r="M507">
        <f>K507-L507</f>
        <v>0</v>
      </c>
      <c r="N507">
        <v>3650.99</v>
      </c>
      <c r="O507">
        <v>3671.55</v>
      </c>
      <c r="Q507">
        <f>K507*N507</f>
        <v>1860581.0139</v>
      </c>
      <c r="R507">
        <f>L507*O507</f>
        <v>1871058.5955</v>
      </c>
      <c r="S507">
        <f>R507-Q507</f>
        <v>10477.58160000015</v>
      </c>
      <c r="T507" t="str">
        <f>IF(R507&lt;= Q507,"No Monetizar","Monetizar")</f>
        <v>Monetizar</v>
      </c>
      <c r="V507">
        <v>46100</v>
      </c>
      <c r="W507" t="str">
        <v>Alfonso Fonseca A</v>
      </c>
      <c r="X507" t="str">
        <v>Alfonso Fonseca A</v>
      </c>
      <c r="Y507" t="str">
        <v>Se monetiza ya que el valor ofrecido por el banco en cada divisa es superior al valor facturado</v>
      </c>
      <c r="Z507">
        <f>K507*O507</f>
        <v>1871058.5955</v>
      </c>
      <c r="AA507">
        <f>Z507-Q507</f>
        <v>10477.58160000015</v>
      </c>
    </row>
    <row r="508">
      <c r="B508">
        <v>486</v>
      </c>
      <c r="C508" t="str">
        <v>Root Capital</v>
      </c>
      <c r="D508" t="str">
        <v>FV-5-250</v>
      </c>
      <c r="E508">
        <v>46099</v>
      </c>
      <c r="F508">
        <v>46159</v>
      </c>
      <c r="J508">
        <f>IFERROR(IF(TODAY()&gt;=E508,(TODAY()-E508)/I508,0),0)</f>
        <v>0</v>
      </c>
      <c r="K508">
        <v>5671.47</v>
      </c>
      <c r="L508">
        <v>5671.47</v>
      </c>
      <c r="M508">
        <f>K508-L508</f>
        <v>0</v>
      </c>
      <c r="N508">
        <v>3650.99</v>
      </c>
      <c r="O508">
        <v>3671.55</v>
      </c>
      <c r="Q508">
        <f>K508*N508</f>
        <v>20706480.2553</v>
      </c>
      <c r="R508">
        <f>L508*O508</f>
        <v>20823085.6785</v>
      </c>
      <c r="S508">
        <f>R508-Q508</f>
        <v>116605.42320000008</v>
      </c>
      <c r="T508" t="str">
        <f>IF(R508&lt;= Q508,"No Monetizar","Monetizar")</f>
        <v>Monetizar</v>
      </c>
      <c r="V508">
        <v>46100</v>
      </c>
      <c r="W508" t="str">
        <v>Alfonso Fonseca A</v>
      </c>
      <c r="X508" t="str">
        <v>Alfonso Fonseca A</v>
      </c>
      <c r="Y508" t="str">
        <v>Se monetiza ya que el valor ofrecido por el banco en cada divisa es superior al valor facturado</v>
      </c>
      <c r="Z508">
        <f>K508*O508</f>
        <v>20823085.6785</v>
      </c>
      <c r="AA508">
        <f>Z508-Q508</f>
        <v>116605.42320000008</v>
      </c>
    </row>
    <row r="509">
      <c r="B509">
        <v>487</v>
      </c>
      <c r="C509" t="str">
        <v>Oncehub</v>
      </c>
      <c r="D509" t="str">
        <v>FV-4-6786</v>
      </c>
      <c r="E509">
        <v>46105</v>
      </c>
      <c r="F509">
        <v>46165</v>
      </c>
      <c r="J509">
        <f>IFERROR(IF(TODAY()&gt;=E509,(TODAY()-E509)/I509,0),0)</f>
        <v>0</v>
      </c>
      <c r="K509">
        <v>240</v>
      </c>
      <c r="L509">
        <v>238.6389388259713</v>
      </c>
      <c r="M509">
        <f>K509-L509</f>
        <v>1.3610611740286913</v>
      </c>
      <c r="N509">
        <v>3615.56</v>
      </c>
      <c r="O509">
        <v>3677</v>
      </c>
      <c r="Q509">
        <f>K509*N509</f>
        <v>867734.4</v>
      </c>
      <c r="R509">
        <f>L509*O509</f>
        <v>877475.3780630965</v>
      </c>
      <c r="S509">
        <f>R509-Q509</f>
        <v>9740.978063096525</v>
      </c>
      <c r="T509" t="str">
        <f>IF(R509&lt;= Q509,"No Monetizar","Monetizar")</f>
        <v>Monetizar</v>
      </c>
      <c r="V509">
        <v>46105</v>
      </c>
      <c r="W509" t="str">
        <v>Alfonso Fonseca A</v>
      </c>
      <c r="X509" t="str">
        <v>Alfonso Fonseca A</v>
      </c>
      <c r="Y509" t="str">
        <v>Se monetiza ya que el valor ofrecido por el banco en cada divisa es superior al valor facturado</v>
      </c>
      <c r="Z509">
        <f>K509*O509</f>
        <v>882480</v>
      </c>
      <c r="AA509">
        <f>Z509-Q509</f>
        <v>14745.599999999977</v>
      </c>
    </row>
    <row r="510">
      <c r="B510">
        <v>488</v>
      </c>
      <c r="C510" t="str">
        <v>Oncehub</v>
      </c>
      <c r="D510" t="str">
        <v>FV-5-257</v>
      </c>
      <c r="E510">
        <v>46105</v>
      </c>
      <c r="F510">
        <v>46165</v>
      </c>
      <c r="J510">
        <f>IFERROR(IF(TODAY()&gt;=E510,(TODAY()-E510)/I510,0),0)</f>
        <v>0</v>
      </c>
      <c r="K510">
        <v>3286.66</v>
      </c>
      <c r="L510">
        <v>3268.0210611740285</v>
      </c>
      <c r="M510">
        <f>K510-L510</f>
        <v>18.63893882597131</v>
      </c>
      <c r="N510">
        <v>3615.56</v>
      </c>
      <c r="O510">
        <v>3677</v>
      </c>
      <c r="Q510">
        <f>K510*N510</f>
        <v>11883116.429599999</v>
      </c>
      <c r="R510">
        <f>L510*O510</f>
        <v>12016513.441936903</v>
      </c>
      <c r="S510">
        <f>R510-Q510</f>
        <v>133397.01233690418</v>
      </c>
      <c r="T510" t="str">
        <f>IF(R510&lt;= Q510,"No Monetizar","Monetizar")</f>
        <v>Monetizar</v>
      </c>
      <c r="V510">
        <v>46105</v>
      </c>
      <c r="W510" t="str">
        <v>Alfonso Fonseca A</v>
      </c>
      <c r="X510" t="str">
        <v>Alfonso Fonseca A</v>
      </c>
      <c r="Y510" t="str">
        <v>Se monetiza ya que el valor ofrecido por el banco en cada divisa es superior al valor facturado</v>
      </c>
      <c r="Z510">
        <f>K510*O510</f>
        <v>12085048.82</v>
      </c>
      <c r="AA510">
        <f>Z510-Q510</f>
        <v>201932.39040000178</v>
      </c>
    </row>
    <row r="511">
      <c r="B511">
        <v>489</v>
      </c>
      <c r="C511" t="str">
        <v>Equus Global Expansion, LLC</v>
      </c>
      <c r="D511" t="str">
        <v>FV-4-6801</v>
      </c>
      <c r="E511">
        <v>46105</v>
      </c>
      <c r="F511">
        <v>46165</v>
      </c>
      <c r="J511">
        <f>IFERROR(IF(TODAY()&gt;=E511,(TODAY()-E511)/I511,0),0)</f>
        <v>0</v>
      </c>
      <c r="K511">
        <v>178.5</v>
      </c>
      <c r="L511">
        <v>178.5</v>
      </c>
      <c r="M511">
        <f>K511-L511</f>
        <v>0</v>
      </c>
      <c r="N511">
        <v>3633.4</v>
      </c>
      <c r="O511">
        <v>3671.66</v>
      </c>
      <c r="Q511">
        <f>K511*N511</f>
        <v>648561.9</v>
      </c>
      <c r="R511">
        <f>L511*O511</f>
        <v>655391.3099999999</v>
      </c>
      <c r="S511">
        <f>R511-Q511</f>
        <v>6829.409999999916</v>
      </c>
      <c r="T511" t="str">
        <f>IF(R511&lt;= Q511,"No Monetizar","Monetizar")</f>
        <v>Monetizar</v>
      </c>
      <c r="V511">
        <v>46106</v>
      </c>
      <c r="W511" t="str">
        <v>Alfonso Fonseca A</v>
      </c>
      <c r="X511" t="str">
        <v>Alfonso Fonseca A</v>
      </c>
      <c r="Y511" t="str">
        <v>Se monetiza ya que el valor ofrecido por el banco en cada divisa es superior al valor facturado</v>
      </c>
      <c r="Z511">
        <f>K511*O511</f>
        <v>655391.3099999999</v>
      </c>
      <c r="AA511">
        <f>Z511-Q511</f>
        <v>6829.409999999916</v>
      </c>
    </row>
    <row r="512">
      <c r="B512">
        <v>490</v>
      </c>
      <c r="C512" t="str">
        <v>Equus Global Expansion, LLC</v>
      </c>
      <c r="D512" t="str">
        <v>FV-5-267</v>
      </c>
      <c r="E512">
        <v>46105</v>
      </c>
      <c r="F512">
        <v>46165</v>
      </c>
      <c r="J512">
        <f>IFERROR(IF(TODAY()&gt;=E512,(TODAY()-E512)/I512,0),0)</f>
        <v>0</v>
      </c>
      <c r="K512">
        <v>445.95</v>
      </c>
      <c r="L512">
        <v>445.95</v>
      </c>
      <c r="M512">
        <f>K512-L512</f>
        <v>0</v>
      </c>
      <c r="N512">
        <v>3633.4</v>
      </c>
      <c r="O512">
        <v>3671.66</v>
      </c>
      <c r="Q512">
        <f>K512*N512</f>
        <v>1620314.73</v>
      </c>
      <c r="R512">
        <f>L512*O512</f>
        <v>1637376.777</v>
      </c>
      <c r="S512">
        <f>R512-Q512</f>
        <v>17062.04700000002</v>
      </c>
      <c r="T512" t="str">
        <f>IF(R512&lt;= Q512,"No Monetizar","Monetizar")</f>
        <v>Monetizar</v>
      </c>
      <c r="V512">
        <v>46106</v>
      </c>
      <c r="W512" t="str">
        <v>Alfonso Fonseca A</v>
      </c>
      <c r="X512" t="str">
        <v>Alfonso Fonseca A</v>
      </c>
      <c r="Y512" t="str">
        <v>Se monetiza ya que el valor ofrecido por el banco en cada divisa es superior al valor facturado</v>
      </c>
      <c r="Z512">
        <f>K512*O512</f>
        <v>1637376.777</v>
      </c>
      <c r="AA512">
        <f>Z512-Q512</f>
        <v>17062.04700000002</v>
      </c>
    </row>
    <row r="513">
      <c r="B513">
        <v>491</v>
      </c>
      <c r="C513" t="str">
        <v>Remofirst</v>
      </c>
      <c r="D513" t="str">
        <v>FV-4-6763</v>
      </c>
      <c r="E513">
        <v>46105</v>
      </c>
      <c r="F513">
        <v>46165</v>
      </c>
      <c r="J513">
        <f>IFERROR(IF(TODAY()&gt;=E513,(TODAY()-E513)/I513,0),0)</f>
        <v>0</v>
      </c>
      <c r="K513">
        <v>9520</v>
      </c>
      <c r="L513">
        <v>9520</v>
      </c>
      <c r="M513">
        <f>K513-L513</f>
        <v>0</v>
      </c>
      <c r="N513">
        <v>3671.4</v>
      </c>
      <c r="O513">
        <v>3691.92</v>
      </c>
      <c r="Q513">
        <f>K513*N513</f>
        <v>34951728</v>
      </c>
      <c r="R513">
        <f>L513*O513</f>
        <v>35147078.4</v>
      </c>
      <c r="S513">
        <f>R513-Q513</f>
        <v>195350.3999999985</v>
      </c>
      <c r="T513" t="str">
        <f>IF(R513&lt;= Q513,"No Monetizar","Monetizar")</f>
        <v>Monetizar</v>
      </c>
      <c r="V513">
        <v>46107</v>
      </c>
      <c r="W513" t="str">
        <v>Alfonso Fonseca A</v>
      </c>
      <c r="X513" t="str">
        <v>Alfonso Fonseca A</v>
      </c>
      <c r="Y513" t="str">
        <v>Se monetiza ya que el valor ofrecido por el banco en cada divisa es superior al valor facturado</v>
      </c>
      <c r="Z513">
        <f>K513*O513</f>
        <v>35147078.4</v>
      </c>
      <c r="AA513">
        <f>Z513-Q513</f>
        <v>195350.3999999985</v>
      </c>
    </row>
    <row r="514">
      <c r="B514">
        <v>492</v>
      </c>
      <c r="C514" t="str">
        <v>Remofirst</v>
      </c>
      <c r="D514" t="str">
        <v>FV-5-236</v>
      </c>
      <c r="E514">
        <v>46105</v>
      </c>
      <c r="F514">
        <v>46165</v>
      </c>
      <c r="J514">
        <f>IFERROR(IF(TODAY()&gt;=E514,(TODAY()-E514)/I514,0),0)</f>
        <v>0</v>
      </c>
      <c r="K514">
        <v>338469</v>
      </c>
      <c r="L514">
        <v>338469</v>
      </c>
      <c r="M514">
        <f>K514-L514</f>
        <v>0</v>
      </c>
      <c r="N514">
        <v>3671.4</v>
      </c>
      <c r="O514">
        <v>3691.92</v>
      </c>
      <c r="Q514">
        <f>K514*N514</f>
        <v>1242655086.6000001</v>
      </c>
      <c r="R514">
        <f>L514*O514</f>
        <v>1249600470.48</v>
      </c>
      <c r="S514">
        <f>R514-Q514</f>
        <v>6945383.879999876</v>
      </c>
      <c r="T514" t="str">
        <f>IF(R514&lt;= Q514,"No Monetizar","Monetizar")</f>
        <v>Monetizar</v>
      </c>
      <c r="V514">
        <v>46107</v>
      </c>
      <c r="W514" t="str">
        <v>Alfonso Fonseca A</v>
      </c>
      <c r="X514" t="str">
        <v>Alfonso Fonseca A</v>
      </c>
      <c r="Y514" t="str">
        <v>Se monetiza ya que el valor ofrecido por el banco en cada divisa es superior al valor facturado</v>
      </c>
      <c r="Z514">
        <f>K514*O514</f>
        <v>1249600470.48</v>
      </c>
      <c r="AA514">
        <f>Z514-Q514</f>
        <v>6945383.879999876</v>
      </c>
    </row>
    <row r="515">
      <c r="B515">
        <v>493</v>
      </c>
      <c r="C515" t="str">
        <v>Remofirst</v>
      </c>
      <c r="D515" t="str">
        <v>FV-4-6764</v>
      </c>
      <c r="E515">
        <v>46105</v>
      </c>
      <c r="F515">
        <v>46165</v>
      </c>
      <c r="J515">
        <f>IFERROR(IF(TODAY()&gt;=E515,(TODAY()-E515)/I515,0),0)</f>
        <v>0</v>
      </c>
      <c r="K515">
        <v>714</v>
      </c>
      <c r="L515">
        <v>714</v>
      </c>
      <c r="M515">
        <f>K515-L515</f>
        <v>0</v>
      </c>
      <c r="N515">
        <v>3671.4</v>
      </c>
      <c r="O515">
        <v>3691.92</v>
      </c>
      <c r="Q515">
        <f>K515*N515</f>
        <v>2621379.6</v>
      </c>
      <c r="R515">
        <f>L515*O515</f>
        <v>2636030.88</v>
      </c>
      <c r="S515">
        <f>R515-Q515</f>
        <v>14651.279999999795</v>
      </c>
      <c r="T515" t="str">
        <f>IF(R515&lt;= Q515,"No Monetizar","Monetizar")</f>
        <v>Monetizar</v>
      </c>
      <c r="V515">
        <v>46107</v>
      </c>
      <c r="W515" t="str">
        <v>Alfonso Fonseca A</v>
      </c>
      <c r="X515" t="str">
        <v>Alfonso Fonseca A</v>
      </c>
      <c r="Y515" t="str">
        <v>Se monetiza ya que el valor ofrecido por el banco en cada divisa es superior al valor facturado</v>
      </c>
      <c r="Z515">
        <f>K515*O515</f>
        <v>2636030.88</v>
      </c>
      <c r="AA515">
        <f>Z515-Q515</f>
        <v>14651.279999999795</v>
      </c>
    </row>
    <row r="516">
      <c r="B516">
        <v>494</v>
      </c>
      <c r="C516" t="str">
        <v>Remofirst</v>
      </c>
      <c r="D516" t="str">
        <v>FV-5-237</v>
      </c>
      <c r="E516">
        <v>46105</v>
      </c>
      <c r="F516">
        <v>46165</v>
      </c>
      <c r="J516">
        <f>IFERROR(IF(TODAY()&gt;=E516,(TODAY()-E516)/I516,0),0)</f>
        <v>0</v>
      </c>
      <c r="K516">
        <v>10073.64</v>
      </c>
      <c r="L516">
        <v>10073.64</v>
      </c>
      <c r="M516">
        <f>K516-L516</f>
        <v>0</v>
      </c>
      <c r="N516">
        <v>3671.4</v>
      </c>
      <c r="O516">
        <v>3691.92</v>
      </c>
      <c r="Q516">
        <f>K516*N516</f>
        <v>36984361.896</v>
      </c>
      <c r="R516">
        <f>L516*O516</f>
        <v>37191072.9888</v>
      </c>
      <c r="S516">
        <f>R516-Q516</f>
        <v>206711.09279999882</v>
      </c>
      <c r="T516" t="str">
        <f>IF(R516&lt;= Q516,"No Monetizar","Monetizar")</f>
        <v>Monetizar</v>
      </c>
      <c r="V516">
        <v>46107</v>
      </c>
      <c r="W516" t="str">
        <v>Alfonso Fonseca A</v>
      </c>
      <c r="X516" t="str">
        <v>Alfonso Fonseca A</v>
      </c>
      <c r="Y516" t="str">
        <v>Se monetiza ya que el valor ofrecido por el banco en cada divisa es superior al valor facturado</v>
      </c>
      <c r="Z516">
        <f>K516*O516</f>
        <v>37191072.9888</v>
      </c>
      <c r="AA516">
        <f>Z516-Q516</f>
        <v>206711.09279999882</v>
      </c>
    </row>
    <row r="517">
      <c r="B517">
        <v>495</v>
      </c>
      <c r="C517" t="str">
        <v>Nazdar</v>
      </c>
      <c r="D517" t="str">
        <v>FV-4-6767</v>
      </c>
      <c r="E517">
        <v>46100</v>
      </c>
      <c r="F517">
        <v>46160</v>
      </c>
      <c r="J517">
        <f>IFERROR(IF(TODAY()&gt;=E517,(TODAY()-E517)/I517,0),0)</f>
        <v>0</v>
      </c>
      <c r="K517">
        <v>979.52</v>
      </c>
      <c r="L517">
        <v>978.6709397981367</v>
      </c>
      <c r="M517">
        <f>K517-L517</f>
        <v>0.8490602018632671</v>
      </c>
      <c r="N517">
        <v>3614.1</v>
      </c>
      <c r="O517">
        <v>3691.92</v>
      </c>
      <c r="Q517">
        <f>K517*N517</f>
        <v>3540083.232</v>
      </c>
      <c r="R517">
        <f>L517*O517</f>
        <v>3613174.8160595368</v>
      </c>
      <c r="S517">
        <f>R517-Q517</f>
        <v>73091.58405953692</v>
      </c>
      <c r="T517" t="str">
        <f>IF(R517&lt;= Q517,"No Monetizar","Monetizar")</f>
        <v>Monetizar</v>
      </c>
      <c r="V517">
        <v>46107</v>
      </c>
      <c r="W517" t="str">
        <v>Alfonso Fonseca A</v>
      </c>
      <c r="X517" t="str">
        <v>Alfonso Fonseca A</v>
      </c>
      <c r="Y517" t="str">
        <v>Se monetiza ya que el valor ofrecido por el banco en cada divisa es superior al valor facturado</v>
      </c>
      <c r="Z517">
        <f>K517*O517</f>
        <v>3616309.4784</v>
      </c>
      <c r="AA517">
        <f>Z517-Q517</f>
        <v>76226.24640000006</v>
      </c>
    </row>
    <row r="518">
      <c r="B518">
        <v>496</v>
      </c>
      <c r="C518" t="str">
        <v>Nazdar</v>
      </c>
      <c r="D518" t="str">
        <v>FV-5-240</v>
      </c>
      <c r="E518">
        <v>46100</v>
      </c>
      <c r="F518">
        <v>46160</v>
      </c>
      <c r="J518">
        <f>IFERROR(IF(TODAY()&gt;=E518,(TODAY()-E518)/I518,0),0)</f>
        <v>0</v>
      </c>
      <c r="K518">
        <v>16325.26</v>
      </c>
      <c r="L518">
        <v>16311.109060201863</v>
      </c>
      <c r="M518">
        <f>K518-L518</f>
        <v>14.150939798137188</v>
      </c>
      <c r="N518">
        <v>3614.1</v>
      </c>
      <c r="O518">
        <v>3691.92</v>
      </c>
      <c r="Q518">
        <f>K518*N518</f>
        <v>59001122.166</v>
      </c>
      <c r="R518">
        <f>L518*O518</f>
        <v>60219309.761540465</v>
      </c>
      <c r="S518">
        <f>R518-Q518</f>
        <v>1218187.595540464</v>
      </c>
      <c r="T518" t="str">
        <f>IF(R518&lt;= Q518,"No Monetizar","Monetizar")</f>
        <v>Monetizar</v>
      </c>
      <c r="V518">
        <v>46107</v>
      </c>
      <c r="W518" t="str">
        <v>Alfonso Fonseca A</v>
      </c>
      <c r="X518" t="str">
        <v>Alfonso Fonseca A</v>
      </c>
      <c r="Y518" t="str">
        <v>Se monetiza ya que el valor ofrecido por el banco en cada divisa es superior al valor facturado</v>
      </c>
      <c r="Z518">
        <f>K518*O518</f>
        <v>60271553.8992</v>
      </c>
      <c r="AA518">
        <f>Z518-Q518</f>
        <v>1270431.7331999987</v>
      </c>
    </row>
    <row r="519">
      <c r="B519">
        <v>497</v>
      </c>
      <c r="C519" t="str">
        <v>MKD</v>
      </c>
      <c r="D519" t="str">
        <v>FV-4-6765</v>
      </c>
      <c r="E519">
        <v>46099</v>
      </c>
      <c r="F519">
        <v>46159</v>
      </c>
      <c r="J519">
        <f>IFERROR(IF(TODAY()&gt;=E519,(TODAY()-E519)/I519,0),0)</f>
        <v>0</v>
      </c>
      <c r="K519">
        <v>138.19</v>
      </c>
      <c r="L519">
        <v>138.19</v>
      </c>
      <c r="M519">
        <f>K519-L519</f>
        <v>0</v>
      </c>
      <c r="N519">
        <v>3614.1</v>
      </c>
      <c r="O519">
        <v>3691.92</v>
      </c>
      <c r="Q519">
        <f>K519*N519</f>
        <v>499432.479</v>
      </c>
      <c r="R519">
        <f>L519*O519</f>
        <v>510186.4248</v>
      </c>
      <c r="S519">
        <f>R519-Q519</f>
        <v>10753.945799999987</v>
      </c>
      <c r="T519" t="str">
        <f>IF(R519&lt;= Q519,"No Monetizar","Monetizar")</f>
        <v>Monetizar</v>
      </c>
      <c r="V519">
        <v>46107</v>
      </c>
      <c r="W519" t="str">
        <v>Alfonso Fonseca A</v>
      </c>
      <c r="X519" t="str">
        <v>Alfonso Fonseca A</v>
      </c>
      <c r="Y519" t="str">
        <v>Se monetiza ya que el valor ofrecido por el banco en cada divisa es superior al valor facturado</v>
      </c>
      <c r="Z519">
        <f>K519*O519</f>
        <v>510186.4248</v>
      </c>
      <c r="AA519">
        <f>Z519-Q519</f>
        <v>10753.945799999987</v>
      </c>
    </row>
    <row r="520">
      <c r="B520">
        <v>498</v>
      </c>
      <c r="C520" t="str">
        <v>MKD</v>
      </c>
      <c r="D520" t="str">
        <v>FV-5-238</v>
      </c>
      <c r="E520">
        <v>46099</v>
      </c>
      <c r="F520">
        <v>46159</v>
      </c>
      <c r="J520">
        <f>IFERROR(IF(TODAY()&gt;=E520,(TODAY()-E520)/I520,0),0)</f>
        <v>0</v>
      </c>
      <c r="K520">
        <v>1256.28</v>
      </c>
      <c r="L520">
        <v>1256.28</v>
      </c>
      <c r="M520">
        <f>K520-L520</f>
        <v>0</v>
      </c>
      <c r="N520">
        <v>3614.1</v>
      </c>
      <c r="O520">
        <v>3691.92</v>
      </c>
      <c r="Q520">
        <f>K520*N520</f>
        <v>4540321.5479999995</v>
      </c>
      <c r="R520">
        <f>L520*O520</f>
        <v>4638085.2576</v>
      </c>
      <c r="S520">
        <f>R520-Q520</f>
        <v>97763.70960000064</v>
      </c>
      <c r="T520" t="str">
        <f>IF(R520&lt;= Q520,"No Monetizar","Monetizar")</f>
        <v>Monetizar</v>
      </c>
      <c r="V520">
        <v>46107</v>
      </c>
      <c r="W520" t="str">
        <v>Alfonso Fonseca A</v>
      </c>
      <c r="X520" t="str">
        <v>Alfonso Fonseca A</v>
      </c>
      <c r="Y520" t="str">
        <v>Se monetiza ya que el valor ofrecido por el banco en cada divisa es superior al valor facturado</v>
      </c>
      <c r="Z520">
        <f>K520*O520</f>
        <v>4638085.2576</v>
      </c>
      <c r="AA520">
        <f>Z520-Q520</f>
        <v>97763.70960000064</v>
      </c>
    </row>
    <row r="521">
      <c r="B521">
        <v>499</v>
      </c>
      <c r="C521" t="str">
        <v>Flexco</v>
      </c>
      <c r="D521" t="str">
        <v>FV-4-6766</v>
      </c>
      <c r="E521">
        <v>46104</v>
      </c>
      <c r="F521">
        <v>46164</v>
      </c>
      <c r="J521">
        <f>IFERROR(IF(TODAY()&gt;=E521,(TODAY()-E521)/I521,0),0)</f>
        <v>0</v>
      </c>
      <c r="K521">
        <v>363.46</v>
      </c>
      <c r="L521">
        <v>362.634316720166</v>
      </c>
      <c r="M521">
        <f>K521-L521</f>
        <v>0.8256832798339815</v>
      </c>
      <c r="N521">
        <v>3614.1</v>
      </c>
      <c r="O521">
        <v>3691.92</v>
      </c>
      <c r="Q521">
        <f>K521*N521</f>
        <v>1313580.7859999998</v>
      </c>
      <c r="R521">
        <f>L521*O521</f>
        <v>1338816.8865855152</v>
      </c>
      <c r="S521">
        <f>R521-Q521</f>
        <v>25236.100585515378</v>
      </c>
      <c r="T521" t="str">
        <f>IF(R521&lt;= Q521,"No Monetizar","Monetizar")</f>
        <v>Monetizar</v>
      </c>
      <c r="V521">
        <v>46107</v>
      </c>
      <c r="W521" t="str">
        <v>Alfonso Fonseca A</v>
      </c>
      <c r="X521" t="str">
        <v>Alfonso Fonseca A</v>
      </c>
      <c r="Y521" t="str">
        <v>Se monetiza ya que el valor ofrecido por el banco en cada divisa es superior al valor facturado</v>
      </c>
      <c r="Z521">
        <f>K521*O521</f>
        <v>1341865.2432</v>
      </c>
      <c r="AA521">
        <f>Z521-Q521</f>
        <v>28284.457200000063</v>
      </c>
    </row>
    <row r="522">
      <c r="B522">
        <v>500</v>
      </c>
      <c r="C522" t="str">
        <v>Flexco</v>
      </c>
      <c r="D522" t="str">
        <v>FV-5-239</v>
      </c>
      <c r="E522">
        <v>46104</v>
      </c>
      <c r="F522">
        <v>46164</v>
      </c>
      <c r="J522">
        <f>IFERROR(IF(TODAY()&gt;=E522,(TODAY()-E522)/I522,0),0)</f>
        <v>0</v>
      </c>
      <c r="K522">
        <v>4038.47</v>
      </c>
      <c r="L522">
        <v>4029.2956832798345</v>
      </c>
      <c r="M522">
        <f>K522-L522</f>
        <v>9.17431672016528</v>
      </c>
      <c r="N522">
        <v>3614.1</v>
      </c>
      <c r="O522">
        <v>3691.92</v>
      </c>
      <c r="Q522">
        <f>K522*N522</f>
        <v>14595434.427</v>
      </c>
      <c r="R522">
        <f>L522*O522</f>
        <v>14875837.319014488</v>
      </c>
      <c r="S522">
        <f>R522-Q522</f>
        <v>280402.8920144886</v>
      </c>
      <c r="T522" t="str">
        <f>IF(R522&lt;= Q522,"No Monetizar","Monetizar")</f>
        <v>Monetizar</v>
      </c>
      <c r="V522">
        <v>46107</v>
      </c>
      <c r="W522" t="str">
        <v>Alfonso Fonseca A</v>
      </c>
      <c r="X522" t="str">
        <v>Alfonso Fonseca A</v>
      </c>
      <c r="Y522" t="str">
        <v>Se monetiza ya que el valor ofrecido por el banco en cada divisa es superior al valor facturado</v>
      </c>
      <c r="Z522">
        <f>K522*O522</f>
        <v>14909708.1624</v>
      </c>
      <c r="AA522">
        <f>Z522-Q522</f>
        <v>314273.7354000006</v>
      </c>
    </row>
    <row r="523">
      <c r="B523">
        <v>501</v>
      </c>
      <c r="C523" t="str">
        <v>Endrington</v>
      </c>
      <c r="D523" t="str">
        <v>FV-4-6774</v>
      </c>
      <c r="E523">
        <v>46098</v>
      </c>
      <c r="F523">
        <v>46158</v>
      </c>
      <c r="J523">
        <f>IFERROR(IF(TODAY()&gt;=E523,(TODAY()-E523)/I523,0),0)</f>
        <v>0</v>
      </c>
      <c r="K523">
        <v>652.85</v>
      </c>
      <c r="L523">
        <v>652.85</v>
      </c>
      <c r="M523">
        <f>K523-L523</f>
        <v>0</v>
      </c>
      <c r="N523">
        <v>3650.99</v>
      </c>
      <c r="O523">
        <v>3696.37</v>
      </c>
      <c r="Q523">
        <f>K523*N523</f>
        <v>2383548.8215</v>
      </c>
      <c r="R523">
        <f>L523*O523</f>
        <v>2413175.1545</v>
      </c>
      <c r="S523">
        <f>R523-Q523</f>
        <v>29626.3330000001</v>
      </c>
      <c r="T523" t="str">
        <f>IF(R523&lt;= Q523,"No Monetizar","Monetizar")</f>
        <v>Monetizar</v>
      </c>
      <c r="V523">
        <v>46107</v>
      </c>
      <c r="W523" t="str">
        <v>Alfonso Fonseca A</v>
      </c>
      <c r="X523" t="str">
        <v>Alfonso Fonseca A</v>
      </c>
      <c r="Y523" t="str">
        <v>Se monetiza ya que el valor ofrecido por el banco en cada divisa es superior al valor facturado</v>
      </c>
      <c r="Z523">
        <f>K523*O523</f>
        <v>2413175.1545</v>
      </c>
      <c r="AA523">
        <f>Z523-Q523</f>
        <v>29626.3330000001</v>
      </c>
    </row>
    <row r="524">
      <c r="B524">
        <v>502</v>
      </c>
      <c r="C524" t="str">
        <v>Endrington</v>
      </c>
      <c r="D524" t="str">
        <v>FV-5-249</v>
      </c>
      <c r="E524">
        <v>46098</v>
      </c>
      <c r="F524">
        <v>46158</v>
      </c>
      <c r="J524">
        <f>IFERROR(IF(TODAY()&gt;=E524,(TODAY()-E524)/I524,0),0)</f>
        <v>0</v>
      </c>
      <c r="K524">
        <v>11870.01</v>
      </c>
      <c r="L524">
        <v>11870.01</v>
      </c>
      <c r="M524">
        <f>K524-L524</f>
        <v>0</v>
      </c>
      <c r="N524">
        <v>3650.99</v>
      </c>
      <c r="O524">
        <v>3696.37</v>
      </c>
      <c r="Q524">
        <f>K524*N524</f>
        <v>43337287.8099</v>
      </c>
      <c r="R524">
        <f>L524*O524</f>
        <v>43875948.8637</v>
      </c>
      <c r="S524">
        <f>R524-Q524</f>
        <v>538661.0538000017</v>
      </c>
      <c r="T524" t="str">
        <f>IF(R524&lt;= Q524,"No Monetizar","Monetizar")</f>
        <v>Monetizar</v>
      </c>
      <c r="V524">
        <v>46107</v>
      </c>
      <c r="W524" t="str">
        <v>Alfonso Fonseca A</v>
      </c>
      <c r="X524" t="str">
        <v>Alfonso Fonseca A</v>
      </c>
      <c r="Y524" t="str">
        <v>Se monetiza ya que el valor ofrecido por el banco en cada divisa es superior al valor facturado</v>
      </c>
      <c r="Z524">
        <f>K524*O524</f>
        <v>43875948.8637</v>
      </c>
      <c r="AA524">
        <f>Z524-Q524</f>
        <v>538661.0538000017</v>
      </c>
    </row>
    <row r="525">
      <c r="B525">
        <v>503</v>
      </c>
      <c r="C525" t="str">
        <v xml:space="preserve">Neo </v>
      </c>
      <c r="D525" t="str">
        <v>FV-4-6769</v>
      </c>
      <c r="E525">
        <v>46105</v>
      </c>
      <c r="F525">
        <v>46165</v>
      </c>
      <c r="J525">
        <f>IFERROR(IF(TODAY()&gt;=E525,(TODAY()-E525)/I525,0),0)</f>
        <v>0</v>
      </c>
      <c r="K525">
        <v>1569.87</v>
      </c>
      <c r="L525">
        <v>1565.3514676230748</v>
      </c>
      <c r="M525">
        <f>K525-L525</f>
        <v>4.518532376925123</v>
      </c>
      <c r="N525">
        <v>3650.99</v>
      </c>
      <c r="O525">
        <v>3696.37</v>
      </c>
      <c r="Q525">
        <f>K525*N525</f>
        <v>5731579.6713</v>
      </c>
      <c r="R525">
        <f>L525*O525</f>
        <v>5786118.204377905</v>
      </c>
      <c r="S525">
        <f>R525-Q525</f>
        <v>54538.533077904955</v>
      </c>
      <c r="T525" t="str">
        <f>IF(R525&lt;= Q525,"No Monetizar","Monetizar")</f>
        <v>Monetizar</v>
      </c>
      <c r="V525">
        <v>46107</v>
      </c>
      <c r="W525" t="str">
        <v>Alfonso Fonseca A</v>
      </c>
      <c r="X525" t="str">
        <v>Alfonso Fonseca A</v>
      </c>
      <c r="Y525" t="str">
        <v>Se monetiza ya que el valor ofrecido por el banco en cada divisa es superior al valor facturado</v>
      </c>
      <c r="Z525">
        <f>K525*O525</f>
        <v>5802820.3719</v>
      </c>
      <c r="AA525">
        <f>Z525-Q525</f>
        <v>71240.7006000001</v>
      </c>
    </row>
    <row r="526">
      <c r="B526">
        <v>504</v>
      </c>
      <c r="C526" t="str">
        <v xml:space="preserve">Neo </v>
      </c>
      <c r="D526" t="str">
        <v>FV-5-244</v>
      </c>
      <c r="E526">
        <v>46105</v>
      </c>
      <c r="F526">
        <v>46165</v>
      </c>
      <c r="J526">
        <f>IFERROR(IF(TODAY()&gt;=E526,(TODAY()-E526)/I526,0),0)</f>
        <v>0</v>
      </c>
      <c r="K526">
        <v>19623.31</v>
      </c>
      <c r="L526">
        <v>19566.828532376927</v>
      </c>
      <c r="M526">
        <f>K526-L526</f>
        <v>56.48146762307442</v>
      </c>
      <c r="N526">
        <v>3650.99</v>
      </c>
      <c r="O526">
        <v>3696.37</v>
      </c>
      <c r="Q526">
        <f>K526*N526</f>
        <v>71644508.5769</v>
      </c>
      <c r="R526">
        <f>L526*O526</f>
        <v>72326237.9822221</v>
      </c>
      <c r="S526">
        <f>R526-Q526</f>
        <v>681729.4053220898</v>
      </c>
      <c r="T526" t="str">
        <f>IF(R526&lt;= Q526,"No Monetizar","Monetizar")</f>
        <v>Monetizar</v>
      </c>
      <c r="V526">
        <v>46107</v>
      </c>
      <c r="W526" t="str">
        <v>Alfonso Fonseca A</v>
      </c>
      <c r="X526" t="str">
        <v>Alfonso Fonseca A</v>
      </c>
      <c r="Y526" t="str">
        <v>Se monetiza ya que el valor ofrecido por el banco en cada divisa es superior al valor facturado</v>
      </c>
      <c r="Z526">
        <f>K526*O526</f>
        <v>72535014.3847</v>
      </c>
      <c r="AA526">
        <f>Z526-Q526</f>
        <v>890505.807799995</v>
      </c>
    </row>
    <row r="527">
      <c r="B527">
        <v>505</v>
      </c>
      <c r="C527" t="str">
        <v>Europortage</v>
      </c>
      <c r="D527" t="str">
        <v>FV-4-6788</v>
      </c>
      <c r="E527">
        <v>46107</v>
      </c>
      <c r="F527">
        <v>46169</v>
      </c>
      <c r="J527">
        <f>IFERROR(IF(TODAY()&gt;=E527,(TODAY()-E527)/I527,0),0)</f>
        <v>0</v>
      </c>
      <c r="K527">
        <v>1063.98</v>
      </c>
      <c r="L527">
        <v>1062.4952982966913</v>
      </c>
      <c r="M527">
        <f>K527-L527</f>
        <v>1.4847017033087013</v>
      </c>
      <c r="N527">
        <v>3634.62</v>
      </c>
      <c r="O527">
        <v>3696.37</v>
      </c>
      <c r="Q527">
        <f>K527*N527</f>
        <v>3867162.9876</v>
      </c>
      <c r="R527">
        <f>L527*O527</f>
        <v>3927375.745764941</v>
      </c>
      <c r="S527">
        <f>R527-Q527</f>
        <v>60212.75816494087</v>
      </c>
      <c r="T527" t="str">
        <f>IF(R527&lt;= Q527,"No Monetizar","Monetizar")</f>
        <v>Monetizar</v>
      </c>
      <c r="V527">
        <v>46107</v>
      </c>
      <c r="W527" t="str">
        <v>Alfonso Fonseca A</v>
      </c>
      <c r="X527" t="str">
        <v>Alfonso Fonseca A</v>
      </c>
      <c r="Y527" t="str">
        <v>Se monetiza ya que el valor ofrecido por el banco en cada divisa es superior al valor facturado</v>
      </c>
      <c r="Z527">
        <f>K527*O527</f>
        <v>3932863.7526</v>
      </c>
      <c r="AA527">
        <f>Z527-Q527</f>
        <v>65700.76499999966</v>
      </c>
    </row>
    <row r="528">
      <c r="B528">
        <v>506</v>
      </c>
      <c r="C528" t="str">
        <v>Europortage</v>
      </c>
      <c r="D528" t="str">
        <v>FV-5-260</v>
      </c>
      <c r="E528">
        <v>46107</v>
      </c>
      <c r="F528">
        <v>46169</v>
      </c>
      <c r="J528">
        <f>IFERROR(IF(TODAY()&gt;=E528,(TODAY()-E528)/I528,0),0)</f>
        <v>0</v>
      </c>
      <c r="K528">
        <v>16851.74</v>
      </c>
      <c r="L528">
        <v>16828.22470170331</v>
      </c>
      <c r="M528">
        <f>K528-L528</f>
        <v>23.515298296690162</v>
      </c>
      <c r="N528">
        <v>3634.62</v>
      </c>
      <c r="O528">
        <v>3696.37</v>
      </c>
      <c r="Q528">
        <f>K528*N528</f>
        <v>61249671.238800004</v>
      </c>
      <c r="R528">
        <f>L528*O528</f>
        <v>62203344.94063507</v>
      </c>
      <c r="S528">
        <f>R528-Q528</f>
        <v>953673.7018350661</v>
      </c>
      <c r="T528" t="str">
        <f>IF(R528&lt;= Q528,"No Monetizar","Monetizar")</f>
        <v>Monetizar</v>
      </c>
      <c r="V528">
        <v>46107</v>
      </c>
      <c r="W528" t="str">
        <v>Alfonso Fonseca A</v>
      </c>
      <c r="X528" t="str">
        <v>Alfonso Fonseca A</v>
      </c>
      <c r="Y528" t="str">
        <v>Se monetiza ya que el valor ofrecido por el banco en cada divisa es superior al valor facturado</v>
      </c>
      <c r="Z528">
        <f>K528*O528</f>
        <v>62290266.183800004</v>
      </c>
      <c r="AA528">
        <f>Z528-Q528</f>
        <v>1040594.9450000003</v>
      </c>
    </row>
    <row r="529">
      <c r="B529">
        <v>507</v>
      </c>
      <c r="C529" t="str">
        <v>Hemmebarsch GMBH &amp; Co KG</v>
      </c>
      <c r="D529" t="str">
        <v>FV-4-6700</v>
      </c>
      <c r="E529">
        <v>46104</v>
      </c>
      <c r="F529">
        <v>46164</v>
      </c>
      <c r="J529">
        <f>IFERROR(IF(TODAY()&gt;=E529,(TODAY()-E529)/I529,0),0)</f>
        <v>0</v>
      </c>
      <c r="K529">
        <v>95.35</v>
      </c>
      <c r="L529">
        <v>95.35</v>
      </c>
      <c r="M529">
        <f>K529-L529</f>
        <v>0</v>
      </c>
      <c r="N529">
        <v>3543.31</v>
      </c>
      <c r="O529">
        <v>3696.37</v>
      </c>
      <c r="Q529">
        <f>K529*N529</f>
        <v>337854.6085</v>
      </c>
      <c r="R529">
        <f>L529*O529</f>
        <v>352448.8795</v>
      </c>
      <c r="S529">
        <f>R529-Q529</f>
        <v>14594.271000000008</v>
      </c>
      <c r="T529" t="str">
        <f>IF(R529&lt;= Q529,"No Monetizar","Monetizar")</f>
        <v>Monetizar</v>
      </c>
      <c r="V529">
        <v>46107</v>
      </c>
      <c r="W529" t="str">
        <v>Alfonso Fonseca A</v>
      </c>
      <c r="X529" t="str">
        <v>Alfonso Fonseca A</v>
      </c>
      <c r="Y529" t="str">
        <v>Se monetiza ya que el valor ofrecido por el banco en cada divisa es superior al valor facturado</v>
      </c>
      <c r="Z529">
        <f>K529*O529</f>
        <v>352448.8795</v>
      </c>
      <c r="AA529">
        <f>Z529-Q529</f>
        <v>14594.271000000008</v>
      </c>
    </row>
    <row r="530">
      <c r="B530">
        <v>508</v>
      </c>
      <c r="C530" t="str">
        <v>Hemmebarsch GMBH &amp; Co KG</v>
      </c>
      <c r="D530" t="str">
        <v>FV-5-224</v>
      </c>
      <c r="E530">
        <v>46104</v>
      </c>
      <c r="F530">
        <v>46164</v>
      </c>
      <c r="J530">
        <f>IFERROR(IF(TODAY()&gt;=E530,(TODAY()-E530)/I530,0),0)</f>
        <v>0</v>
      </c>
      <c r="K530">
        <v>953.52</v>
      </c>
      <c r="L530">
        <v>953.52</v>
      </c>
      <c r="M530">
        <f>K530-L530</f>
        <v>0</v>
      </c>
      <c r="N530">
        <v>3543.31</v>
      </c>
      <c r="O530">
        <v>3696.37</v>
      </c>
      <c r="Q530">
        <f>K530*N530</f>
        <v>3378616.9512</v>
      </c>
      <c r="R530">
        <f>L530*O530</f>
        <v>3524562.7224</v>
      </c>
      <c r="S530">
        <f>R530-Q530</f>
        <v>145945.77119999984</v>
      </c>
      <c r="T530" t="str">
        <f>IF(R530&lt;= Q530,"No Monetizar","Monetizar")</f>
        <v>Monetizar</v>
      </c>
      <c r="V530">
        <v>46107</v>
      </c>
      <c r="W530" t="str">
        <v>Alfonso Fonseca A</v>
      </c>
      <c r="X530" t="str">
        <v>Alfonso Fonseca A</v>
      </c>
      <c r="Y530" t="str">
        <v>Se monetiza ya que el valor ofrecido por el banco en cada divisa es superior al valor facturado</v>
      </c>
      <c r="Z530">
        <f>K530*O530</f>
        <v>3524562.7224</v>
      </c>
      <c r="AA530">
        <f>Z530-Q530</f>
        <v>145945.77119999984</v>
      </c>
    </row>
    <row r="531">
      <c r="B531">
        <v>509</v>
      </c>
      <c r="C531" t="str">
        <v>Hemmebarsch GMBH &amp; Co KG</v>
      </c>
      <c r="D531" t="str">
        <v>FV-4-6771</v>
      </c>
      <c r="E531">
        <v>46104</v>
      </c>
      <c r="F531">
        <v>46164</v>
      </c>
      <c r="J531">
        <f>IFERROR(IF(TODAY()&gt;=E531,(TODAY()-E531)/I531,0),0)</f>
        <v>0</v>
      </c>
      <c r="K531">
        <v>125.22</v>
      </c>
      <c r="L531">
        <v>125.22</v>
      </c>
      <c r="M531">
        <f>K531-L531</f>
        <v>0</v>
      </c>
      <c r="N531">
        <v>3614.11</v>
      </c>
      <c r="O531">
        <v>3696.37</v>
      </c>
      <c r="Q531">
        <f>K531*N531</f>
        <v>452558.8542</v>
      </c>
      <c r="R531">
        <f>L531*O531</f>
        <v>462859.45139999996</v>
      </c>
      <c r="S531">
        <f>R531-Q531</f>
        <v>10300.59719999996</v>
      </c>
      <c r="T531" t="str">
        <f>IF(R531&lt;= Q531,"No Monetizar","Monetizar")</f>
        <v>Monetizar</v>
      </c>
      <c r="V531">
        <v>46107</v>
      </c>
      <c r="W531" t="str">
        <v>Alfonso Fonseca A</v>
      </c>
      <c r="X531" t="str">
        <v>Alfonso Fonseca A</v>
      </c>
      <c r="Y531" t="str">
        <v>Se monetiza ya que el valor ofrecido por el banco en cada divisa es superior al valor facturado</v>
      </c>
      <c r="Z531">
        <f>K531*O531</f>
        <v>462859.45139999996</v>
      </c>
      <c r="AA531">
        <f>Z531-Q531</f>
        <v>10300.59719999996</v>
      </c>
    </row>
    <row r="532">
      <c r="B532">
        <v>510</v>
      </c>
      <c r="C532" t="str">
        <v>Hemmebarsch GMBH &amp; Co KG</v>
      </c>
      <c r="D532" t="str">
        <v>FV-5-246</v>
      </c>
      <c r="E532">
        <v>46104</v>
      </c>
      <c r="F532">
        <v>46164</v>
      </c>
      <c r="J532">
        <f>IFERROR(IF(TODAY()&gt;=E532,(TODAY()-E532)/I532,0),0)</f>
        <v>0</v>
      </c>
      <c r="K532">
        <v>1252.24</v>
      </c>
      <c r="L532">
        <v>1252.24</v>
      </c>
      <c r="M532">
        <f>K532-L532</f>
        <v>0</v>
      </c>
      <c r="N532">
        <v>3614.11</v>
      </c>
      <c r="O532">
        <v>3696.37</v>
      </c>
      <c r="Q532">
        <f>K532*N532</f>
        <v>4525733.1064</v>
      </c>
      <c r="R532">
        <f>L532*O532</f>
        <v>4628742.3688</v>
      </c>
      <c r="S532">
        <f>R532-Q532</f>
        <v>103009.26240000036</v>
      </c>
      <c r="T532" t="str">
        <f>IF(R532&lt;= Q532,"No Monetizar","Monetizar")</f>
        <v>Monetizar</v>
      </c>
      <c r="V532">
        <v>46107</v>
      </c>
      <c r="W532" t="str">
        <v>Alfonso Fonseca A</v>
      </c>
      <c r="X532" t="str">
        <v>Alfonso Fonseca A</v>
      </c>
      <c r="Y532" t="str">
        <v>Se monetiza ya que el valor ofrecido por el banco en cada divisa es superior al valor facturado</v>
      </c>
      <c r="Z532">
        <f>K532*O532</f>
        <v>4628742.3688</v>
      </c>
      <c r="AA532">
        <f>Z532-Q532</f>
        <v>103009.26240000036</v>
      </c>
    </row>
    <row r="533">
      <c r="B533">
        <v>511</v>
      </c>
      <c r="C533" t="str">
        <v>Insider</v>
      </c>
      <c r="D533" t="str">
        <v>FV-4-6810</v>
      </c>
      <c r="E533">
        <v>46107</v>
      </c>
      <c r="F533">
        <v>46167</v>
      </c>
      <c r="J533">
        <f>IFERROR(IF(TODAY()&gt;=E533,(TODAY()-E533)/I533,0),0)</f>
        <v>0</v>
      </c>
      <c r="K533">
        <f>5121.35+830.3+0.01</f>
        <v>5951.660000000001</v>
      </c>
      <c r="L533">
        <f>5121.35+830.3+0.01</f>
        <v>5951.660000000001</v>
      </c>
      <c r="M533">
        <f>K533-L533</f>
        <v>0</v>
      </c>
      <c r="N533">
        <v>3650.99</v>
      </c>
      <c r="O533">
        <v>3653.73</v>
      </c>
      <c r="Q533">
        <f>K533*N533</f>
        <v>21729451.143400002</v>
      </c>
      <c r="R533">
        <f>L533*O533</f>
        <v>21745758.691800002</v>
      </c>
      <c r="S533">
        <f>R533-Q533</f>
        <v>16307.548399999738</v>
      </c>
      <c r="T533" t="str">
        <f>IF(R533&lt;= Q533,"No Monetizar","Monetizar")</f>
        <v>Monetizar</v>
      </c>
      <c r="V533">
        <v>46108</v>
      </c>
      <c r="W533" t="str">
        <v>Alfonso Fonseca A</v>
      </c>
      <c r="X533" t="str">
        <v>Alfonso Fonseca A</v>
      </c>
      <c r="Y533" t="str">
        <v>Se monetiza ya que el valor ofrecido por el banco en cada divisa es superior al valor facturado</v>
      </c>
      <c r="Z533">
        <f>K533*O533</f>
        <v>21745758.691800002</v>
      </c>
      <c r="AA533">
        <f>Z533-Q533</f>
        <v>16307.548399999738</v>
      </c>
    </row>
    <row r="534">
      <c r="B534">
        <v>512</v>
      </c>
      <c r="C534" t="str">
        <v>Insider</v>
      </c>
      <c r="D534" t="str">
        <v>FV-5-271</v>
      </c>
      <c r="E534">
        <v>46107</v>
      </c>
      <c r="F534">
        <v>46167</v>
      </c>
      <c r="J534">
        <f>IFERROR(IF(TODAY()&gt;=E534,(TODAY()-E534)/I534,0),0)</f>
        <v>0</v>
      </c>
      <c r="K534">
        <v>187840.61</v>
      </c>
      <c r="L534">
        <v>187840.61</v>
      </c>
      <c r="M534">
        <f>K534-L534</f>
        <v>0</v>
      </c>
      <c r="N534">
        <v>3650.99</v>
      </c>
      <c r="O534">
        <v>3653.73</v>
      </c>
      <c r="Q534">
        <f>K534*N534</f>
        <v>685804188.7038999</v>
      </c>
      <c r="R534">
        <f>L534*O534</f>
        <v>686318871.9753</v>
      </c>
      <c r="S534">
        <f>R534-Q534</f>
        <v>514683.27140009403</v>
      </c>
      <c r="T534" t="str">
        <f>IF(R534&lt;= Q534,"No Monetizar","Monetizar")</f>
        <v>Monetizar</v>
      </c>
      <c r="V534">
        <v>46108</v>
      </c>
      <c r="W534" t="str">
        <v>Alfonso Fonseca A</v>
      </c>
      <c r="X534" t="str">
        <v>Alfonso Fonseca A</v>
      </c>
      <c r="Y534" t="str">
        <v>Se monetiza ya que el valor ofrecido por el banco en cada divisa es superior al valor facturado</v>
      </c>
      <c r="Z534">
        <f>K534*O534</f>
        <v>686318871.9753</v>
      </c>
      <c r="AA534">
        <f>Z534-Q534</f>
        <v>514683.27140009403</v>
      </c>
    </row>
    <row r="535">
      <c r="B535">
        <v>513</v>
      </c>
      <c r="C535" t="str">
        <v>Poc Pharma Limited</v>
      </c>
      <c r="D535" t="str">
        <v>FV-4-6776</v>
      </c>
      <c r="E535">
        <v>46108</v>
      </c>
      <c r="F535">
        <v>46168</v>
      </c>
      <c r="J535">
        <f>IFERROR(IF(TODAY()&gt;=E535,(TODAY()-E535)/I535,0),0)</f>
        <v>0</v>
      </c>
      <c r="K535">
        <v>640.01</v>
      </c>
      <c r="L535">
        <v>640.01</v>
      </c>
      <c r="M535">
        <f>K535-L535</f>
        <v>0</v>
      </c>
      <c r="N535">
        <v>3650.99</v>
      </c>
      <c r="O535">
        <v>3656</v>
      </c>
      <c r="Q535">
        <f>K535*N535</f>
        <v>2336670.1099</v>
      </c>
      <c r="R535">
        <f>L535*O535</f>
        <v>2339876.56</v>
      </c>
      <c r="S535">
        <f>R535-Q535</f>
        <v>3206.4501000000164</v>
      </c>
      <c r="T535" t="str">
        <f>IF(R535&lt;= Q535,"No Monetizar","Monetizar")</f>
        <v>Monetizar</v>
      </c>
      <c r="V535">
        <v>46108</v>
      </c>
      <c r="W535" t="str">
        <v>Alfonso Fonseca A</v>
      </c>
      <c r="X535" t="str">
        <v>Alfonso Fonseca A</v>
      </c>
      <c r="Y535" t="str">
        <v>Se monetiza ya que el valor ofrecido por el banco en cada divisa es superior al valor facturado</v>
      </c>
      <c r="Z535">
        <f>K535*O535</f>
        <v>2339876.56</v>
      </c>
      <c r="AA535">
        <f>Z535-Q535</f>
        <v>3206.4501000000164</v>
      </c>
    </row>
    <row r="536">
      <c r="B536">
        <v>514</v>
      </c>
      <c r="C536" t="str">
        <v>Poc Pharma Limited</v>
      </c>
      <c r="D536" t="str">
        <v>FV-5-251</v>
      </c>
      <c r="E536">
        <v>46108</v>
      </c>
      <c r="F536">
        <v>46168</v>
      </c>
      <c r="J536">
        <f>IFERROR(IF(TODAY()&gt;=E536,(TODAY()-E536)/I536,0),0)</f>
        <v>0</v>
      </c>
      <c r="K536">
        <v>3643.56</v>
      </c>
      <c r="L536">
        <v>3643.56</v>
      </c>
      <c r="M536">
        <f>K536-L536</f>
        <v>0</v>
      </c>
      <c r="N536">
        <v>3650.99</v>
      </c>
      <c r="O536">
        <v>3656</v>
      </c>
      <c r="Q536">
        <f>K536*N536</f>
        <v>13302601.1244</v>
      </c>
      <c r="R536">
        <f>L536*O536</f>
        <v>13320855.36</v>
      </c>
      <c r="S536">
        <f>R536-Q536</f>
        <v>18254.235600000247</v>
      </c>
      <c r="T536" t="str">
        <f>IF(R536&lt;= Q536,"No Monetizar","Monetizar")</f>
        <v>Monetizar</v>
      </c>
      <c r="V536">
        <v>46108</v>
      </c>
      <c r="W536" t="str">
        <v>Alfonso Fonseca A</v>
      </c>
      <c r="X536" t="str">
        <v>Alfonso Fonseca A</v>
      </c>
      <c r="Y536" t="str">
        <v>Se monetiza ya que el valor ofrecido por el banco en cada divisa es superior al valor facturado</v>
      </c>
      <c r="Z536">
        <f>K536*O536</f>
        <v>13320855.36</v>
      </c>
      <c r="AA536">
        <f>Z536-Q536</f>
        <v>18254.235600000247</v>
      </c>
    </row>
    <row r="537">
      <c r="B537">
        <v>515</v>
      </c>
      <c r="C537" t="str">
        <v>Hong kong yonyou xinfushe cloud technology co</v>
      </c>
      <c r="D537" t="str">
        <v>FV-4-6773</v>
      </c>
      <c r="E537">
        <v>46108</v>
      </c>
      <c r="F537">
        <v>46168</v>
      </c>
      <c r="J537">
        <f>IFERROR(IF(TODAY()&gt;=E537,(TODAY()-E537)/I537,0),0)</f>
        <v>0</v>
      </c>
      <c r="K537">
        <v>749.7</v>
      </c>
      <c r="L537">
        <v>749.7</v>
      </c>
      <c r="M537">
        <f>K537-L537</f>
        <v>0</v>
      </c>
      <c r="N537">
        <v>3650.99</v>
      </c>
      <c r="O537">
        <v>3657.5</v>
      </c>
      <c r="Q537">
        <f>K537*N537</f>
        <v>2737147.203</v>
      </c>
      <c r="R537">
        <f>L537*O537</f>
        <v>2742027.75</v>
      </c>
      <c r="S537">
        <f>R537-Q537</f>
        <v>4880.546999999788</v>
      </c>
      <c r="T537" t="str">
        <f>IF(R537&lt;= Q537,"No Monetizar","Monetizar")</f>
        <v>Monetizar</v>
      </c>
      <c r="V537">
        <v>46108</v>
      </c>
      <c r="W537" t="str">
        <v>Alfonso Fonseca A</v>
      </c>
      <c r="X537" t="str">
        <v>Alfonso Fonseca A</v>
      </c>
      <c r="Y537" t="str">
        <v>Se monetiza ya que el valor ofrecido por el banco en cada divisa es superior al valor facturado</v>
      </c>
      <c r="Z537">
        <f>K537*O537</f>
        <v>2742027.75</v>
      </c>
      <c r="AA537">
        <f>Z537-Q537</f>
        <v>4880.546999999788</v>
      </c>
    </row>
    <row r="538">
      <c r="B538">
        <v>516</v>
      </c>
      <c r="C538" t="str">
        <v>Hong kong yonyou xinfushe cloud technology co</v>
      </c>
      <c r="D538" t="str">
        <v>FV-5-248</v>
      </c>
      <c r="E538">
        <v>46108</v>
      </c>
      <c r="F538">
        <v>46168</v>
      </c>
      <c r="J538">
        <f>IFERROR(IF(TODAY()&gt;=E538,(TODAY()-E538)/I538,0),0)</f>
        <v>0</v>
      </c>
      <c r="K538">
        <v>13375.04</v>
      </c>
      <c r="L538">
        <v>13375.04</v>
      </c>
      <c r="M538">
        <f>K538-L538</f>
        <v>0</v>
      </c>
      <c r="N538">
        <v>3650.99</v>
      </c>
      <c r="O538">
        <v>3657.5</v>
      </c>
      <c r="Q538">
        <f>K538*N538</f>
        <v>48832137.2896</v>
      </c>
      <c r="R538">
        <f>L538*O538</f>
        <v>48919208.800000004</v>
      </c>
      <c r="S538">
        <f>R538-Q538</f>
        <v>87071.51040000468</v>
      </c>
      <c r="T538" t="str">
        <f>IF(R538&lt;= Q538,"No Monetizar","Monetizar")</f>
        <v>Monetizar</v>
      </c>
      <c r="V538">
        <v>46108</v>
      </c>
      <c r="W538" t="str">
        <v>Alfonso Fonseca A</v>
      </c>
      <c r="X538" t="str">
        <v>Alfonso Fonseca A</v>
      </c>
      <c r="Y538" t="str">
        <v>Se monetiza ya que el valor ofrecido por el banco en cada divisa es superior al valor facturado</v>
      </c>
      <c r="Z538">
        <f>K538*O538</f>
        <v>48919208.800000004</v>
      </c>
      <c r="AA538">
        <f>Z538-Q538</f>
        <v>87071.51040000468</v>
      </c>
    </row>
    <row r="539">
      <c r="B539">
        <v>517</v>
      </c>
      <c r="C539" t="str">
        <v>Minudoc OÜ - Siffi</v>
      </c>
      <c r="D539" t="str">
        <v>FV-4-6811</v>
      </c>
      <c r="E539">
        <v>46111</v>
      </c>
      <c r="F539">
        <v>46171</v>
      </c>
      <c r="J539">
        <f>IFERROR(IF(TODAY()&gt;=E539,(TODAY()-E539)/I539,0),0)</f>
        <v>0</v>
      </c>
      <c r="K539">
        <v>216.28</v>
      </c>
      <c r="L539">
        <v>215.37089380590487</v>
      </c>
      <c r="M539">
        <f>K539-L539</f>
        <v>0.9091061940951306</v>
      </c>
      <c r="N539">
        <v>3644.2</v>
      </c>
      <c r="O539">
        <v>3660.01</v>
      </c>
      <c r="Q539">
        <f>K539*N539</f>
        <v>788167.576</v>
      </c>
      <c r="R539">
        <f>L539*O539</f>
        <v>788259.6250385499</v>
      </c>
      <c r="S539">
        <f>R539-Q539</f>
        <v>92.04903854988515</v>
      </c>
      <c r="T539" t="str">
        <f>IF(R539&lt;= Q539,"No Monetizar","Monetizar")</f>
        <v>Monetizar</v>
      </c>
      <c r="V539">
        <v>46119</v>
      </c>
      <c r="W539" t="str">
        <v>Alfonso Fonseca A</v>
      </c>
      <c r="X539" t="str">
        <v>Alfonso Fonseca A</v>
      </c>
      <c r="Y539" t="str">
        <v>Se monetiza ya que el valor ofrecido por el banco en cada divisa es superior al valor facturado</v>
      </c>
      <c r="Z539">
        <f>K539*O539</f>
        <v>791586.9628000001</v>
      </c>
      <c r="AA539">
        <f>Z539-Q539</f>
        <v>3419.386800000095</v>
      </c>
    </row>
    <row r="540">
      <c r="B540">
        <v>518</v>
      </c>
      <c r="C540" t="str">
        <v>Minudoc OÜ - Siffi</v>
      </c>
      <c r="D540" t="str">
        <v>FV-5-252</v>
      </c>
      <c r="E540">
        <v>46111</v>
      </c>
      <c r="F540">
        <v>46171</v>
      </c>
      <c r="J540">
        <f>IFERROR(IF(TODAY()&gt;=E540,(TODAY()-E540)/I540,0),0)</f>
        <v>0</v>
      </c>
      <c r="K540">
        <v>2162.76</v>
      </c>
      <c r="L540">
        <v>2153.6691061940946</v>
      </c>
      <c r="M540">
        <f>K540-L540</f>
        <v>9.09089380590558</v>
      </c>
      <c r="N540">
        <v>3644.2</v>
      </c>
      <c r="O540">
        <v>3660.01</v>
      </c>
      <c r="Q540">
        <f>K540*N540</f>
        <v>7881529.992000001</v>
      </c>
      <c r="R540">
        <f>L540*O540</f>
        <v>7882450.465361449</v>
      </c>
      <c r="S540">
        <f>R540-Q540</f>
        <v>920.4733614483848</v>
      </c>
      <c r="T540" t="str">
        <f>IF(R540&lt;= Q540,"No Monetizar","Monetizar")</f>
        <v>Monetizar</v>
      </c>
      <c r="V540">
        <v>46119</v>
      </c>
      <c r="W540" t="str">
        <v>Alfonso Fonseca A</v>
      </c>
      <c r="X540" t="str">
        <v>Alfonso Fonseca A</v>
      </c>
      <c r="Y540" t="str">
        <v>Se monetiza ya que el valor ofrecido por el banco en cada divisa es superior al valor facturado</v>
      </c>
      <c r="Z540">
        <f>K540*O540</f>
        <v>7915723.227600002</v>
      </c>
      <c r="AA540">
        <f>Z540-Q540</f>
        <v>34193.23560000118</v>
      </c>
    </row>
    <row r="541">
      <c r="B541">
        <v>519</v>
      </c>
      <c r="C541" t="str">
        <v>Insider</v>
      </c>
      <c r="D541" t="str">
        <v>FV-5-258</v>
      </c>
      <c r="E541">
        <v>46111</v>
      </c>
      <c r="F541">
        <v>46171</v>
      </c>
      <c r="J541">
        <f>IFERROR(IF(TODAY()&gt;=E541,(TODAY()-E541)/I541,0),0)</f>
        <v>0</v>
      </c>
      <c r="K541">
        <v>191.01</v>
      </c>
      <c r="L541">
        <v>191.01</v>
      </c>
      <c r="M541">
        <f>K541-L541</f>
        <v>0</v>
      </c>
      <c r="N541">
        <v>3650.99</v>
      </c>
      <c r="O541">
        <v>3658.51</v>
      </c>
      <c r="Q541">
        <f>K541*N541</f>
        <v>697375.5998999999</v>
      </c>
      <c r="R541">
        <f>L541*O541</f>
        <v>698811.9951000001</v>
      </c>
      <c r="S541">
        <f>R541-Q541</f>
        <v>1436.3952000001445</v>
      </c>
      <c r="T541" t="str">
        <f>IF(R541&lt;= Q541,"No Monetizar","Monetizar")</f>
        <v>Monetizar</v>
      </c>
      <c r="V541">
        <v>46119</v>
      </c>
      <c r="W541" t="str">
        <v>Alfonso Fonseca A</v>
      </c>
      <c r="X541" t="str">
        <v>Alfonso Fonseca A</v>
      </c>
      <c r="Y541" t="str">
        <v>Se monetiza ya que el valor ofrecido por el banco en cada divisa es superior al valor facturado</v>
      </c>
      <c r="Z541">
        <f>K541*O541</f>
        <v>698811.9951000001</v>
      </c>
      <c r="AA541">
        <f>Z541-Q541</f>
        <v>1436.3952000001445</v>
      </c>
    </row>
    <row r="546">
      <c r="P546">
        <f>O546-N546</f>
        <v>0</v>
      </c>
    </row>
    <row r="547">
      <c r="P547">
        <f>O547-N547</f>
        <v>0</v>
      </c>
    </row>
    <row r="548">
      <c r="B548" t="str">
        <v>TOTAL</v>
      </c>
      <c r="K548">
        <f>SUBTOTAL(9,K32:K547)</f>
        <v>8392315.29436191</v>
      </c>
      <c r="L548">
        <f>SUBTOTAL(9,L32:L547)</f>
        <v>8389805.890000006</v>
      </c>
      <c r="M548">
        <f>SUBTOTAL(9,M32:M547)</f>
        <v>2559.4043619055483</v>
      </c>
      <c r="P548">
        <f>SUBTOTAL(9,P32:P547)</f>
        <v>6532.510000000029</v>
      </c>
      <c r="Q548">
        <f>SUBTOTAL(9,Q32:Q547)</f>
        <v>32480925044.914146</v>
      </c>
      <c r="R548">
        <f>SUBTOTAL(9,R32:R547)</f>
        <v>32859962147.3697</v>
      </c>
      <c r="S548">
        <f>SUBTOTAL(9,S32:S547)</f>
        <v>378764534.87954605</v>
      </c>
      <c r="Z548">
        <f>SUBTOTAL(9,Z32:Z547)</f>
        <v>32862532479.340355</v>
      </c>
      <c r="AA548">
        <f>SUBTOTAL(9,AA32:AA547)</f>
        <v>381607434.4261361</v>
      </c>
    </row>
    <row r="555">
      <c r="C555" t="str">
        <v xml:space="preserve">Forward negociado 13 de marzo </v>
      </c>
    </row>
    <row r="557">
      <c r="C557" t="str">
        <v>Endrington</v>
      </c>
      <c r="D557">
        <v>12522.86</v>
      </c>
      <c r="E557">
        <v>0</v>
      </c>
      <c r="F557">
        <f>D557-E557</f>
        <v>12522.86</v>
      </c>
      <c r="G557">
        <v>3650.99</v>
      </c>
      <c r="I557">
        <f>F557*G557</f>
        <v>45720836.6314</v>
      </c>
      <c r="J557">
        <f>F557*$F$562</f>
        <v>46309536.28</v>
      </c>
      <c r="K557">
        <f>J557-I557</f>
        <v>588699.6486000046</v>
      </c>
    </row>
    <row r="558">
      <c r="C558" t="str">
        <v xml:space="preserve">Neo </v>
      </c>
      <c r="D558">
        <v>21193.18</v>
      </c>
      <c r="E558">
        <v>61</v>
      </c>
      <c r="F558">
        <f>D558-E558</f>
        <v>21132.18</v>
      </c>
      <c r="G558">
        <v>3650.99</v>
      </c>
      <c r="I558">
        <f>F558*G558</f>
        <v>77153377.8582</v>
      </c>
      <c r="J558">
        <f>F558*$F$562</f>
        <v>78146801.64</v>
      </c>
      <c r="K558">
        <f>J558-I558</f>
        <v>993423.7818000019</v>
      </c>
    </row>
    <row r="559">
      <c r="C559" t="str">
        <v xml:space="preserve">yon you </v>
      </c>
      <c r="D559">
        <v>14124.74</v>
      </c>
      <c r="E559">
        <v>0</v>
      </c>
      <c r="F559">
        <f>D559-E559</f>
        <v>14124.74</v>
      </c>
      <c r="G559">
        <v>3650.99</v>
      </c>
      <c r="I559">
        <f>F559*G559</f>
        <v>51569284.492599994</v>
      </c>
      <c r="J559">
        <f>F559*$F$562</f>
        <v>52233288.519999996</v>
      </c>
      <c r="K559">
        <f>J559-I559</f>
        <v>664004.0274000019</v>
      </c>
    </row>
    <row r="560">
      <c r="C560" t="str">
        <v>Poc Pharma</v>
      </c>
      <c r="D560">
        <v>4283.57</v>
      </c>
      <c r="E560">
        <v>0</v>
      </c>
      <c r="F560">
        <f>D560-E560</f>
        <v>4283.57</v>
      </c>
      <c r="G560">
        <v>3650.99</v>
      </c>
      <c r="I560">
        <f>F560*G560</f>
        <v>15639271.234299999</v>
      </c>
      <c r="J560">
        <f>F560*$F$562</f>
        <v>15840641.86</v>
      </c>
      <c r="K560">
        <f>J560-I560</f>
        <v>201370.62570000067</v>
      </c>
    </row>
    <row r="561">
      <c r="E561" t="str">
        <v>Total</v>
      </c>
      <c r="F561">
        <f>SUM(F557:F560)</f>
        <v>52063.35</v>
      </c>
      <c r="I561">
        <f>SUM(I557:I560)</f>
        <v>190082770.21649998</v>
      </c>
      <c r="J561">
        <f>SUM(J557:J560)</f>
        <v>192530268.3</v>
      </c>
      <c r="K561">
        <f>J561-I561</f>
        <v>2447498.0835000277</v>
      </c>
    </row>
    <row r="562">
      <c r="E562">
        <v>46107</v>
      </c>
      <c r="F562">
        <v>3698</v>
      </c>
    </row>
  </sheetData>
  <autoFilter ref="B31:XFC506"/>
  <mergeCells count="6">
    <mergeCell ref="C555:K555"/>
    <mergeCell ref="Z29:AA29"/>
    <mergeCell ref="B23:J23"/>
    <mergeCell ref="B548:J548"/>
    <mergeCell ref="Q29:S29"/>
    <mergeCell ref="J25:J26"/>
  </mergeCells>
  <pageMargins left="0.7086614173228347" right="0.7086614173228347" top="0.7480314960629921" bottom="0.7480314960629921" header="0.31496062992125984" footer="0.31496062992125984"/>
  <ignoredErrors>
    <ignoredError numberStoredAsText="1" sqref="B1:XFC562"/>
  </ignoredErrors>
  <legacyDrawing r:id="rId1"/>
</worksheet>
</file>

<file path=xl/worksheets/sheet9.xml><?xml version="1.0" encoding="utf-8"?>
<worksheet xmlns="http://schemas.openxmlformats.org/spreadsheetml/2006/main" xmlns:r="http://schemas.openxmlformats.org/officeDocument/2006/relationships">
  <dimension ref="B1:N163"/>
  <sheetViews>
    <sheetView workbookViewId="0" rightToLeft="0"/>
  </sheetViews>
  <sheetData>
    <row r="1">
      <c r="H1" t="str">
        <v>Sin Pagar</v>
      </c>
      <c r="I1" t="str">
        <v>Cancelado</v>
      </c>
    </row>
    <row r="2">
      <c r="B2" t="str">
        <v>Distribución de dinero</v>
      </c>
    </row>
    <row r="4">
      <c r="B4" t="str">
        <v>Semana</v>
      </c>
      <c r="C4" t="str">
        <v>Fecha Inicial</v>
      </c>
      <c r="D4" t="str">
        <v>Fecha Final</v>
      </c>
      <c r="E4" t="str">
        <v xml:space="preserve">Descripción </v>
      </c>
      <c r="F4" t="str">
        <v>Valor</v>
      </c>
      <c r="H4" t="str">
        <v>Sin pagar</v>
      </c>
      <c r="I4" t="str">
        <v>Cancelado</v>
      </c>
      <c r="J4" t="str">
        <v>Total</v>
      </c>
    </row>
    <row r="5">
      <c r="B5">
        <v>1</v>
      </c>
      <c r="C5">
        <v>45992</v>
      </c>
      <c r="D5">
        <v>45999</v>
      </c>
      <c r="E5" t="str">
        <v>Pagos a Realizar</v>
      </c>
      <c r="F5">
        <f>SUMIFS(DICIEMBRE!$E$115:$E$1613,DICIEMBRE!$F$115:$F$1613,"&gt;="&amp;C5,DICIEMBRE!$F$115:$F$1613,"&lt;="&amp;D5,DICIEMBRE!$G$115:$G$1613,$H$1)</f>
        <v>0</v>
      </c>
      <c r="G5" t="str">
        <v xml:space="preserve">Proveedores </v>
      </c>
    </row>
    <row r="6">
      <c r="B6">
        <v>2</v>
      </c>
      <c r="C6">
        <v>46000</v>
      </c>
      <c r="D6">
        <v>46002</v>
      </c>
      <c r="E6" t="str">
        <v>Pagos a Realizar</v>
      </c>
      <c r="F6">
        <f>SUMIFS(DICIEMBRE!$E$115:$E$1613,DICIEMBRE!$F$115:$F$1613,"&gt;="&amp;C6,DICIEMBRE!$F$115:$F$1613,"&lt;="&amp;D6,DICIEMBRE!$G$115:$G$1613,$H$1)</f>
        <v>0</v>
      </c>
      <c r="G6" t="str">
        <v xml:space="preserve">Proveedores </v>
      </c>
      <c r="H6">
        <f>SUMIFS(DICIEMBRE!$E$115:$E$1613,DICIEMBRE!$F$115:$F$1613,"&gt;="&amp;C5,DICIEMBRE!$F$115:$F$1613,"&lt;="&amp;$D$15,DICIEMBRE!$G$115:$G$1613,$H$1)</f>
        <v>0</v>
      </c>
      <c r="I6">
        <f>SUMIFS(DICIEMBRE!$E$115:$E$1613,DICIEMBRE!$F$115:$F$1613,"&gt;="&amp;C5,DICIEMBRE!$F$115:$F$1613,"&lt;="&amp;$D$15,DICIEMBRE!$G$115:$G$1613,$I$1)</f>
        <v>2821525919.76034</v>
      </c>
      <c r="J6">
        <f>SUM(H6:I6)</f>
        <v>2821525919.76034</v>
      </c>
      <c r="L6" t="e">
        <f>J6-#REF!</f>
        <v>#REF!</v>
      </c>
    </row>
    <row r="7">
      <c r="B7">
        <v>3</v>
      </c>
      <c r="C7">
        <v>46003</v>
      </c>
      <c r="D7">
        <v>46003</v>
      </c>
      <c r="E7" t="str">
        <v>Pagos a Realizar</v>
      </c>
      <c r="F7">
        <f>SUMIFS(DICIEMBRE!$E$115:$E$1613,DICIEMBRE!$F$115:$F$1613,"&gt;="&amp;C7,DICIEMBRE!$F$115:$F$1613,"&lt;="&amp;D7,DICIEMBRE!$G$115:$G$1613,$H$1)</f>
        <v>0</v>
      </c>
      <c r="G7" t="str">
        <v>Seguridad social-Anticipo nómina Nazdar y Action</v>
      </c>
    </row>
    <row r="8">
      <c r="B8">
        <v>4</v>
      </c>
      <c r="C8">
        <v>46004</v>
      </c>
      <c r="D8">
        <v>46005</v>
      </c>
      <c r="E8" t="str">
        <v>Pagos a Realizar</v>
      </c>
      <c r="F8">
        <f>SUMIFS(DICIEMBRE!$E$115:$E$1613,DICIEMBRE!$F$115:$F$1613,"&gt;="&amp;C8,DICIEMBRE!$F$115:$F$1613,"&lt;="&amp;D8,DICIEMBRE!$G$115:$G$1613,$H$1)</f>
        <v>0</v>
      </c>
      <c r="I8" t="str">
        <v>Comprobación</v>
      </c>
      <c r="J8">
        <f>DICIEMBRE!E325</f>
        <v>2887281484.1103406</v>
      </c>
    </row>
    <row r="9">
      <c r="B9">
        <v>5</v>
      </c>
      <c r="C9">
        <v>46006</v>
      </c>
      <c r="D9">
        <v>46006</v>
      </c>
      <c r="E9" t="str">
        <v>Pagos a Realizar</v>
      </c>
      <c r="F9">
        <f>SUMIFS(DICIEMBRE!$E$115:$E$1613,DICIEMBRE!$F$115:$F$1613,"&gt;="&amp;C9,DICIEMBRE!$F$115:$F$1613,"&lt;="&amp;D9,DICIEMBRE!$G$115:$G$1613,$H$1)</f>
        <v>0</v>
      </c>
      <c r="G9" t="str">
        <v>Primas EOR-S&amp;P y Nómina Time Resort</v>
      </c>
    </row>
    <row r="10">
      <c r="C10">
        <v>46007</v>
      </c>
      <c r="D10">
        <v>46007</v>
      </c>
      <c r="E10" t="str">
        <v>Pagos a Realizar</v>
      </c>
      <c r="F10">
        <f>SUMIFS(DICIEMBRE!$E$115:$E$1613,DICIEMBRE!$F$115:$F$1613,"&gt;="&amp;C10,DICIEMBRE!$F$115:$F$1613,"&lt;="&amp;D10,DICIEMBRE!$G$115:$G$1613,$H$1)</f>
        <v>0</v>
      </c>
      <c r="G10" t="str">
        <v>Impuestos Nacionales-TC Endrington</v>
      </c>
    </row>
    <row r="11">
      <c r="B11">
        <v>6</v>
      </c>
      <c r="C11">
        <v>46008</v>
      </c>
      <c r="D11">
        <v>46012</v>
      </c>
      <c r="E11" t="str">
        <v>Pagos a Realizar</v>
      </c>
      <c r="F11">
        <f>SUMIFS(DICIEMBRE!$E$115:$E$1613,DICIEMBRE!$F$115:$F$1613,"&gt;="&amp;C11,DICIEMBRE!$F$115:$F$1613,"&lt;="&amp;D11,DICIEMBRE!$G$115:$G$1613,$H$1)</f>
        <v>0</v>
      </c>
    </row>
    <row r="12">
      <c r="B12">
        <v>7</v>
      </c>
      <c r="C12">
        <v>46013</v>
      </c>
      <c r="D12">
        <v>46016</v>
      </c>
      <c r="E12" t="str">
        <v>Pagos a Realizar</v>
      </c>
      <c r="F12">
        <f>SUMIFS(DICIEMBRE!$E$115:$E$1613,DICIEMBRE!$F$115:$F$1613,"&gt;="&amp;C12,DICIEMBRE!$F$115:$F$1613,"&lt;="&amp;D12,DICIEMBRE!$G$115:$G$1613,$H$1)</f>
        <v>0</v>
      </c>
      <c r="G12" t="str">
        <v xml:space="preserve">Proveedores </v>
      </c>
    </row>
    <row r="13">
      <c r="B13">
        <v>8</v>
      </c>
      <c r="C13">
        <v>46017</v>
      </c>
      <c r="D13">
        <v>46017</v>
      </c>
      <c r="E13" t="str">
        <v>Pagos a Realizar</v>
      </c>
      <c r="F13">
        <f>SUMIFS(DICIEMBRE!$E$115:$E$1613,DICIEMBRE!$F$115:$F$1613,"&gt;="&amp;C13,DICIEMBRE!$F$115:$F$1613,"&lt;="&amp;D13,DICIEMBRE!$G$115:$G$1613,$H$1)</f>
        <v>0</v>
      </c>
      <c r="G13" t="str">
        <v>Nómina-Pagos a tercero-Proveedores</v>
      </c>
    </row>
    <row r="14">
      <c r="B14">
        <v>9</v>
      </c>
      <c r="C14">
        <v>46018</v>
      </c>
      <c r="D14">
        <v>46019</v>
      </c>
      <c r="E14" t="str">
        <v>Pagos a Realizar</v>
      </c>
      <c r="F14">
        <f>SUMIFS(DICIEMBRE!$E$115:$E$1613,DICIEMBRE!$F$115:$F$1613,"&gt;="&amp;C14,DICIEMBRE!$F$115:$F$1613,"&lt;="&amp;D14,DICIEMBRE!$G$115:$G$1613,$H$1)</f>
        <v>0</v>
      </c>
    </row>
    <row r="15">
      <c r="B15">
        <v>10</v>
      </c>
      <c r="C15">
        <v>46020</v>
      </c>
      <c r="D15">
        <v>46022</v>
      </c>
      <c r="E15" t="str">
        <v>Pagos a Realizar</v>
      </c>
      <c r="F15">
        <f>SUMIFS(DICIEMBRE!$E$115:$E$1613,DICIEMBRE!$F$115:$F$1613,"&gt;="&amp;C15,DICIEMBRE!$F$115:$F$1613,"&lt;="&amp;D15,DICIEMBRE!$G$115:$G$1613,$H$1)</f>
        <v>0</v>
      </c>
      <c r="G15" t="str">
        <v xml:space="preserve">Proveedores </v>
      </c>
    </row>
    <row r="16">
      <c r="B16" t="str">
        <v>TOTAL</v>
      </c>
      <c r="F16">
        <f>SUM(F5:F15)</f>
        <v>0</v>
      </c>
    </row>
    <row r="18">
      <c r="E18" t="str">
        <v>Escenario 1</v>
      </c>
    </row>
    <row r="19">
      <c r="E19" t="str">
        <v>Gastos y costos Periodo 01 al 17 Diciembre</v>
      </c>
      <c r="F19">
        <f>SUM($F$5:$F$11)</f>
        <v>0</v>
      </c>
    </row>
    <row r="20">
      <c r="E20" t="str">
        <v>4 X mil</v>
      </c>
      <c r="F20">
        <f>($F$19*4)/1000</f>
        <v>0</v>
      </c>
    </row>
    <row r="21">
      <c r="E21" t="str">
        <v>Total</v>
      </c>
      <c r="F21">
        <f>SUM(F19:F20)</f>
        <v>0</v>
      </c>
    </row>
    <row r="23">
      <c r="E23" t="str">
        <v xml:space="preserve">Bancos </v>
      </c>
      <c r="F23">
        <f>DICIEMBRE!$E$343</f>
        <v>1057444106.81</v>
      </c>
    </row>
    <row r="24">
      <c r="E24" t="str">
        <v>Action  AD</v>
      </c>
      <c r="F24">
        <v>13000000</v>
      </c>
    </row>
    <row r="25">
      <c r="E25" t="str">
        <v>Safeguard -Endrington-Noviembre</v>
      </c>
      <c r="F25" t="e">
        <f>'MONETIZACIONES PEND'!#REF!*3700</f>
        <v>#REF!</v>
      </c>
    </row>
    <row r="26">
      <c r="E26" t="str">
        <v>Safeguard por identificar servicios de centro américa</v>
      </c>
      <c r="F26" t="e">
        <f>('MONETIZACIONES PEND'!#REF!)*3700</f>
        <v>#REF!</v>
      </c>
    </row>
    <row r="27">
      <c r="E27" t="str">
        <v>Safeguard LTD x identificar</v>
      </c>
      <c r="F27" t="e">
        <f>('MONETIZACIONES PEND'!#REF!)*3700</f>
        <v>#REF!</v>
      </c>
    </row>
    <row r="28">
      <c r="E28" t="str">
        <v>Global Project</v>
      </c>
      <c r="F28" t="e">
        <f>'MONETIZACIONES PEND'!#REF!*3700</f>
        <v>#REF!</v>
      </c>
    </row>
    <row r="29">
      <c r="E29" t="str">
        <v>Remofirst</v>
      </c>
      <c r="F29" t="e">
        <f>'MONETIZACIONES PEND'!#REF!*3700</f>
        <v>#REF!</v>
      </c>
    </row>
    <row r="30">
      <c r="E30" t="str">
        <v xml:space="preserve">Global CS Colombia SAS factura # 5-61 Reembolso Celulares </v>
      </c>
      <c r="F30">
        <v>359994</v>
      </c>
    </row>
    <row r="31">
      <c r="E31" t="str">
        <v>Global CS Colombia SAS -Solutions &amp; payroll-Servicio Noviembre 2025 Factura 2-257</v>
      </c>
      <c r="F31">
        <v>19334755</v>
      </c>
    </row>
    <row r="32">
      <c r="E32" t="str">
        <v>Clientes nacionales</v>
      </c>
      <c r="F32">
        <f>DICIEMBRE!$E$14+DICIEMBRE!$E$15+DICIEMBRE!$E$26+DICIEMBRE!$E$24+DICIEMBRE!$E$29+DICIEMBRE!$E$30+DICIEMBRE!$E$47+DICIEMBRE!$E$57</f>
        <v>72533124.49</v>
      </c>
    </row>
    <row r="33">
      <c r="E33" t="str">
        <v>Safeguard Payroll</v>
      </c>
      <c r="F33">
        <f>SUM(DICIEMBRE!$E$51:$E$53)</f>
        <v>0</v>
      </c>
    </row>
    <row r="34">
      <c r="E34" t="str">
        <v xml:space="preserve">Insider </v>
      </c>
      <c r="F34">
        <f>DICIEMBRE!$E$85</f>
        <v>144494834.04000002</v>
      </c>
    </row>
    <row r="35">
      <c r="E35" t="str">
        <v xml:space="preserve">Sobregiro </v>
      </c>
      <c r="F35">
        <v>0</v>
      </c>
    </row>
    <row r="36">
      <c r="E36" t="str">
        <v>Total</v>
      </c>
      <c r="F36" t="e">
        <f>SUM(F23:F35)</f>
        <v>#REF!</v>
      </c>
    </row>
    <row r="37">
      <c r="E37" t="str">
        <v>Saldo</v>
      </c>
      <c r="F37" t="e">
        <f>F36-$F$21</f>
        <v>#REF!</v>
      </c>
    </row>
    <row r="39">
      <c r="E39" t="str">
        <v>Escenario 2</v>
      </c>
    </row>
    <row r="41">
      <c r="E41" t="str">
        <v>Gastos y costos Periodo 01 al 17 Diciembre</v>
      </c>
      <c r="F41">
        <f>SUM($F$5:$F$11)-DICIEMBRE!$E$267</f>
        <v>-144223182</v>
      </c>
    </row>
    <row r="42">
      <c r="E42" t="str">
        <v>4 X mil</v>
      </c>
      <c r="F42">
        <f>($F$19*4)/1000</f>
        <v>0</v>
      </c>
    </row>
    <row r="43">
      <c r="E43" t="str">
        <v>Total</v>
      </c>
      <c r="F43">
        <f>SUM(F41:F42)</f>
        <v>-144223182</v>
      </c>
    </row>
    <row r="45">
      <c r="E45" t="str">
        <v xml:space="preserve">Bancos </v>
      </c>
      <c r="F45">
        <f>DICIEMBRE!$E$343</f>
        <v>1057444106.81</v>
      </c>
    </row>
    <row r="46">
      <c r="E46" t="str">
        <v>Action  AD</v>
      </c>
      <c r="F46">
        <v>13000000</v>
      </c>
    </row>
    <row r="47">
      <c r="E47" t="str">
        <v>Safeguard -Endrington-Noviembre</v>
      </c>
      <c r="F47" t="e">
        <f>'MONETIZACIONES PEND'!#REF!*3700</f>
        <v>#REF!</v>
      </c>
    </row>
    <row r="48">
      <c r="E48" t="str">
        <v>Safeguard por identificar servicios de centro américa</v>
      </c>
      <c r="F48" t="e">
        <f>('MONETIZACIONES PEND'!#REF!)*3700</f>
        <v>#REF!</v>
      </c>
    </row>
    <row r="49">
      <c r="E49" t="str">
        <v>Safeguard LTD x identificar</v>
      </c>
      <c r="F49" t="e">
        <f>('MONETIZACIONES PEND'!#REF!)*3700</f>
        <v>#REF!</v>
      </c>
    </row>
    <row r="50">
      <c r="E50" t="str">
        <v>Global Project</v>
      </c>
      <c r="F50" t="e">
        <f>'MONETIZACIONES PEND'!#REF!*3700</f>
        <v>#REF!</v>
      </c>
    </row>
    <row r="51">
      <c r="E51" t="str">
        <v>Remofirst</v>
      </c>
      <c r="F51" t="e">
        <f>'MONETIZACIONES PEND'!#REF!*3700</f>
        <v>#REF!</v>
      </c>
    </row>
    <row r="52">
      <c r="E52" t="str">
        <v xml:space="preserve">Global CS Colombia SAS factura # 5-61 Reembolso Celulares </v>
      </c>
      <c r="F52">
        <v>359994</v>
      </c>
    </row>
    <row r="53">
      <c r="E53" t="str">
        <v>Global CS Colombia SAS -Solutions &amp; payroll-Servicio Noviembre 2025 Factura 2-257</v>
      </c>
      <c r="F53">
        <v>19334755</v>
      </c>
    </row>
    <row r="54">
      <c r="E54" t="str">
        <v>Clientes nacionales</v>
      </c>
      <c r="F54">
        <f>DICIEMBRE!$E$14+DICIEMBRE!$E$15+DICIEMBRE!$E$26+DICIEMBRE!$E$24+DICIEMBRE!$E$29+DICIEMBRE!$E$30+DICIEMBRE!$E$47+DICIEMBRE!$E$57</f>
        <v>72533124.49</v>
      </c>
    </row>
    <row r="55">
      <c r="E55" t="str">
        <v>Safeguard Payroll</v>
      </c>
      <c r="F55">
        <f>SUM(DICIEMBRE!$E$51:$E$53)*0</f>
        <v>0</v>
      </c>
    </row>
    <row r="56">
      <c r="E56" t="str">
        <v xml:space="preserve">Insider </v>
      </c>
      <c r="F56">
        <f>DICIEMBRE!$E$85*0</f>
        <v>0</v>
      </c>
    </row>
    <row r="57">
      <c r="E57" t="str">
        <v xml:space="preserve">Sobregiro </v>
      </c>
      <c r="F57">
        <v>0</v>
      </c>
    </row>
    <row r="58">
      <c r="E58" t="str">
        <v>Total</v>
      </c>
      <c r="F58" t="e">
        <f>SUM(F45:F57)</f>
        <v>#REF!</v>
      </c>
    </row>
    <row r="59">
      <c r="E59" t="str">
        <v>Saldo</v>
      </c>
      <c r="F59" t="e">
        <f>F58-$F$43</f>
        <v>#REF!</v>
      </c>
    </row>
    <row r="67">
      <c r="E67" t="str">
        <v>FORECAST DICIEMBRE 2025</v>
      </c>
      <c r="H67" t="str">
        <v>FORECAST ENERO 2026</v>
      </c>
      <c r="L67" t="str">
        <v>FORECAST FEBRERO 2026</v>
      </c>
    </row>
    <row r="69">
      <c r="E69" t="str">
        <v>INGRESO</v>
      </c>
      <c r="F69" t="e">
        <f>SUBTOTAL(9,F70:F77)</f>
        <v>#REF!</v>
      </c>
      <c r="H69" t="str">
        <v>INGRESO</v>
      </c>
      <c r="I69" t="e">
        <f>SUBTOTAL(9,I70:I76)</f>
        <v>#REF!</v>
      </c>
      <c r="L69" t="str">
        <v>INGRESO</v>
      </c>
      <c r="M69" t="e">
        <f>SUBTOTAL(9,M70:M76)</f>
        <v>#REF!</v>
      </c>
    </row>
    <row r="70">
      <c r="E70" t="str">
        <v>Bancos Valor previsto</v>
      </c>
      <c r="F70" t="e">
        <f>#REF!</f>
        <v>#REF!</v>
      </c>
      <c r="H70" t="str">
        <v>Bancos Valor previsto</v>
      </c>
      <c r="I70" t="e">
        <f>DICIEMBRE!E327</f>
        <v>#REF!</v>
      </c>
      <c r="L70" t="str">
        <v>Bancos Valor previsto</v>
      </c>
      <c r="M70" t="e">
        <f>$I$141</f>
        <v>#REF!</v>
      </c>
    </row>
    <row r="71">
      <c r="E71" t="str">
        <v>Ingreso previsto por EOR</v>
      </c>
      <c r="F71" t="e">
        <f>#REF!*1.7</f>
        <v>#REF!</v>
      </c>
      <c r="H71" t="str">
        <v>Safeguard LTD y LTD Payroll -Octubre</v>
      </c>
      <c r="I71">
        <v>65083860.2982</v>
      </c>
      <c r="J71">
        <v>1</v>
      </c>
      <c r="L71" t="str">
        <v>Safeguard LTD y LTD Payroll -Noviembre</v>
      </c>
      <c r="M71">
        <v>67000000</v>
      </c>
      <c r="N71">
        <v>1</v>
      </c>
    </row>
    <row r="72">
      <c r="E72" t="str">
        <v>Safeguard LTD y LTD Payroll -Septiembre</v>
      </c>
      <c r="F72">
        <v>63738690.82649999</v>
      </c>
      <c r="G72" t="e">
        <f>F70+F72+F73+F74+F75+F76</f>
        <v>#REF!</v>
      </c>
      <c r="H72" t="str">
        <v>Action XXXX</v>
      </c>
      <c r="I72">
        <v>13628765.357025</v>
      </c>
      <c r="L72" t="str">
        <v>Action XXXX</v>
      </c>
      <c r="M72">
        <v>13628765.357025</v>
      </c>
    </row>
    <row r="73">
      <c r="E73" t="str">
        <v>Action XXXX</v>
      </c>
      <c r="F73">
        <v>14000000</v>
      </c>
      <c r="H73" t="str">
        <v>Clientes nacionales Previsto -Global Project</v>
      </c>
      <c r="I73">
        <v>45000000</v>
      </c>
      <c r="L73" t="str">
        <v>Clientes nacionales Previsto -Global Project</v>
      </c>
      <c r="M73">
        <v>52000000</v>
      </c>
    </row>
    <row r="74">
      <c r="E74" t="str">
        <v>Clientes nacionales Previsto -Global Project</v>
      </c>
      <c r="F74">
        <v>50000000</v>
      </c>
      <c r="H74" t="str">
        <v xml:space="preserve">Global CS Colombia </v>
      </c>
      <c r="I74">
        <v>19000000</v>
      </c>
      <c r="L74" t="str">
        <v xml:space="preserve">Global CS Colombia </v>
      </c>
      <c r="M74">
        <v>20000000</v>
      </c>
    </row>
    <row r="75">
      <c r="E75" t="str">
        <v xml:space="preserve">Global CS Colombia </v>
      </c>
      <c r="F75">
        <v>19000000</v>
      </c>
      <c r="H75" t="str">
        <v>Intereses PM</v>
      </c>
      <c r="I75">
        <v>2670000</v>
      </c>
      <c r="L75" t="str">
        <v>Intereses PM</v>
      </c>
      <c r="M75">
        <v>2670000</v>
      </c>
    </row>
    <row r="76">
      <c r="E76" t="str">
        <v>Intereses PM</v>
      </c>
      <c r="F76">
        <v>2670000</v>
      </c>
      <c r="H76" t="str">
        <v>Sobregiro</v>
      </c>
      <c r="I76">
        <v>0</v>
      </c>
      <c r="L76" t="str">
        <v>Sobregiro</v>
      </c>
      <c r="M76">
        <v>0</v>
      </c>
    </row>
    <row r="77">
      <c r="E77" t="str">
        <v>Sobregiro</v>
      </c>
      <c r="F77">
        <v>0</v>
      </c>
      <c r="H77" t="str">
        <v>PAGOS DEL 1 AL 24 ENERO</v>
      </c>
      <c r="I77">
        <f>SUM(I78:I111)</f>
        <v>1088089546.614</v>
      </c>
      <c r="L77" t="str">
        <v>PAGOS DEL 1 AL 23 FEBRERO</v>
      </c>
      <c r="M77">
        <f>SUM(M78:M108)</f>
        <v>1225723258.094</v>
      </c>
    </row>
    <row r="78">
      <c r="E78" t="str">
        <v>PAGOS DEL 1 AL 20 DICIEMBRE</v>
      </c>
      <c r="F78">
        <f>SUM(F79:F111)</f>
        <v>1392769050.008472</v>
      </c>
      <c r="H78" t="str">
        <v xml:space="preserve">Anticipo nómina Action-primer anticipo </v>
      </c>
      <c r="I78">
        <v>3701569</v>
      </c>
      <c r="L78" t="str">
        <v xml:space="preserve">Anticipo nómina Action-primer anticipo </v>
      </c>
      <c r="M78">
        <v>3701569</v>
      </c>
    </row>
    <row r="79">
      <c r="E79" t="str">
        <v xml:space="preserve">Anticipo nómina Action-primer anticipo </v>
      </c>
      <c r="F79">
        <v>3701569</v>
      </c>
      <c r="H79" t="str">
        <v>Anticipo nómina Nazdar</v>
      </c>
      <c r="I79">
        <f>9500000</f>
        <v>9500000</v>
      </c>
      <c r="L79" t="str">
        <v>Anticipo nómina Nazdar</v>
      </c>
      <c r="M79">
        <f>9500000</f>
        <v>9500000</v>
      </c>
    </row>
    <row r="80">
      <c r="E80" t="str">
        <v>Anticipo nómina Nazdar</v>
      </c>
      <c r="F80">
        <f>9500000</f>
        <v>9500000</v>
      </c>
      <c r="H80" t="str">
        <v>Intereses de cesantías</v>
      </c>
      <c r="I80">
        <f>20000000</f>
        <v>20000000</v>
      </c>
      <c r="L80" t="str">
        <v>Cesantías EOR</v>
      </c>
      <c r="M80">
        <f>336000000*1.05</f>
        <v>352800000</v>
      </c>
    </row>
    <row r="81">
      <c r="E81" t="str">
        <v>Plan complementario compensar</v>
      </c>
      <c r="F81">
        <v>525000</v>
      </c>
      <c r="G81">
        <f>SUM(F79:F88,F92:F109)</f>
        <v>804290951.618</v>
      </c>
      <c r="H81" t="str">
        <v>Plan complementario compensar</v>
      </c>
      <c r="I81">
        <v>525000</v>
      </c>
      <c r="L81" t="str">
        <v>Cesantías S&amp;P</v>
      </c>
      <c r="M81">
        <f>99000000*1.07</f>
        <v>105930000</v>
      </c>
    </row>
    <row r="82">
      <c r="E82" t="str">
        <v xml:space="preserve">Seguridad social </v>
      </c>
      <c r="F82">
        <v>535600000</v>
      </c>
      <c r="H82" t="str">
        <v xml:space="preserve">Seguridad social </v>
      </c>
      <c r="I82">
        <v>540750000</v>
      </c>
      <c r="L82" t="str">
        <v>Plan complementario compensar</v>
      </c>
      <c r="M82">
        <v>525000</v>
      </c>
    </row>
    <row r="83">
      <c r="E83" t="str">
        <v xml:space="preserve">RETENCIÓN EN LA FUENTE </v>
      </c>
      <c r="F83">
        <v>183855000</v>
      </c>
      <c r="H83" t="str">
        <v xml:space="preserve">RETENCIÓN EN LA FUENTE </v>
      </c>
      <c r="I83">
        <v>150000000</v>
      </c>
      <c r="L83" t="str">
        <v xml:space="preserve">Seguridad social </v>
      </c>
      <c r="M83">
        <v>550000000</v>
      </c>
    </row>
    <row r="84">
      <c r="E84" t="str">
        <v>Retención de IVA</v>
      </c>
      <c r="F84">
        <v>227114.11800000002</v>
      </c>
      <c r="G84" t="e">
        <f>F70-G81</f>
        <v>#REF!</v>
      </c>
      <c r="H84" t="str">
        <v>Retención de IVA</v>
      </c>
      <c r="I84">
        <v>218000</v>
      </c>
      <c r="L84" t="str">
        <v xml:space="preserve">RETENCIÓN EN LA FUENTE </v>
      </c>
      <c r="M84">
        <v>145000000</v>
      </c>
    </row>
    <row r="85">
      <c r="E85" t="str">
        <v>Movistar 365</v>
      </c>
      <c r="F85">
        <v>350601</v>
      </c>
      <c r="H85" t="str">
        <v>IVA</v>
      </c>
      <c r="I85">
        <f>77531000*1.08</f>
        <v>83733480</v>
      </c>
      <c r="L85" t="str">
        <v>Retención de IVA</v>
      </c>
      <c r="M85">
        <v>225000</v>
      </c>
    </row>
    <row r="86">
      <c r="E86" t="str">
        <v>Poliza Suramericana Póliza #  091000808492</v>
      </c>
      <c r="F86">
        <v>7293422</v>
      </c>
      <c r="G86" t="e">
        <f>G72-F78</f>
        <v>#REF!</v>
      </c>
      <c r="H86" t="str">
        <v xml:space="preserve">RETENCIÓN EN LA FUENTE </v>
      </c>
      <c r="I86">
        <v>220626000</v>
      </c>
      <c r="L86" t="str">
        <v>Movistar 365</v>
      </c>
      <c r="M86">
        <v>350601</v>
      </c>
    </row>
    <row r="87">
      <c r="E87" t="str">
        <v>Poliza Suramericana Póliza #  083004098664</v>
      </c>
      <c r="F87">
        <v>697487</v>
      </c>
      <c r="H87" t="str">
        <v>Retención de IVA</v>
      </c>
      <c r="I87">
        <v>686400</v>
      </c>
      <c r="L87" t="str">
        <v>Poliza Suramericana Póliza #  091000808492</v>
      </c>
      <c r="M87">
        <v>7293422</v>
      </c>
    </row>
    <row r="88">
      <c r="E88" t="str">
        <v>Servicio de mensajería</v>
      </c>
      <c r="F88">
        <v>700000</v>
      </c>
      <c r="H88" t="str">
        <v>RTE ICA ( cada dos meses)</v>
      </c>
      <c r="I88">
        <v>855750</v>
      </c>
      <c r="L88" t="str">
        <v>Poliza Suramericana Póliza #  083004098664</v>
      </c>
      <c r="M88">
        <v>437488</v>
      </c>
    </row>
    <row r="89">
      <c r="E89" t="str">
        <v>Barrera Palacios</v>
      </c>
      <c r="F89">
        <v>1693965</v>
      </c>
      <c r="H89" t="str">
        <v>Movistar 365</v>
      </c>
      <c r="I89">
        <v>350601</v>
      </c>
      <c r="L89" t="str">
        <v>Servicio de mensajería</v>
      </c>
      <c r="M89">
        <v>500000</v>
      </c>
    </row>
    <row r="90">
      <c r="E90" t="str">
        <v>Primas EOR</v>
      </c>
      <c r="F90">
        <v>500000000</v>
      </c>
      <c r="G90">
        <v>150000000</v>
      </c>
      <c r="H90" t="str">
        <v>Poliza Suramericana Póliza #  091000808492</v>
      </c>
      <c r="I90">
        <v>7293422</v>
      </c>
      <c r="L90" t="str">
        <v>WORKPLACE SOLUTIONS GROUP SAS (SPACIO)</v>
      </c>
      <c r="M90">
        <v>313593.5</v>
      </c>
    </row>
    <row r="91">
      <c r="E91" t="str">
        <v>Primas S&amp;P</v>
      </c>
      <c r="F91">
        <f>F127*35%</f>
        <v>61249999.99999999</v>
      </c>
      <c r="G91">
        <f>F90-G90</f>
        <v>350000000</v>
      </c>
      <c r="H91" t="str">
        <v>Poliza Suramericana Póliza #  083004098664</v>
      </c>
      <c r="I91">
        <v>437488</v>
      </c>
      <c r="L91" t="str">
        <v>TC Bancolombia S&amp;P</v>
      </c>
      <c r="M91">
        <v>5000000</v>
      </c>
    </row>
    <row r="92">
      <c r="E92" t="str">
        <v>WORKPLACE SOLUTIONS GROUP SAS (SPACIO)</v>
      </c>
      <c r="F92">
        <v>313593.5</v>
      </c>
      <c r="H92" t="str">
        <v>Servicio de mensajería</v>
      </c>
      <c r="I92">
        <v>500000</v>
      </c>
      <c r="L92" t="str">
        <v>TC Bancolombia-Ramon Esteban Cardona Salazar</v>
      </c>
      <c r="M92">
        <v>15000000</v>
      </c>
    </row>
    <row r="93">
      <c r="E93" t="str">
        <v>TC Bancolombia S&amp;P</v>
      </c>
      <c r="F93">
        <v>5000000</v>
      </c>
      <c r="H93" t="str">
        <v>WORKPLACE SOLUTIONS GROUP SAS (SPACIO)</v>
      </c>
      <c r="I93">
        <v>313593.5</v>
      </c>
      <c r="L93" t="str">
        <v xml:space="preserve">Anticipo nómina Action-Segundo anticipo </v>
      </c>
      <c r="M93">
        <v>4853442</v>
      </c>
    </row>
    <row r="94">
      <c r="E94" t="str">
        <v>TC Bancolombia-Ramon Esteban Cardona Salazar</v>
      </c>
      <c r="F94">
        <v>15000000</v>
      </c>
      <c r="H94" t="str">
        <v>TC Bancolombia S&amp;P</v>
      </c>
      <c r="I94">
        <v>5000000</v>
      </c>
      <c r="L94" t="str">
        <v>Rafael Mier</v>
      </c>
      <c r="M94">
        <v>170000</v>
      </c>
    </row>
    <row r="95">
      <c r="E95" t="str">
        <v xml:space="preserve">Anticipo nómina Action-Segundo anticipo </v>
      </c>
      <c r="F95">
        <v>4853442</v>
      </c>
      <c r="H95" t="str">
        <v>TC Bancolombia-Ramon Esteban Cardona Salazar</v>
      </c>
      <c r="I95">
        <v>15000000</v>
      </c>
      <c r="L95" t="str">
        <v xml:space="preserve">Plan complementario Suramericana </v>
      </c>
      <c r="M95">
        <v>752141</v>
      </c>
    </row>
    <row r="96">
      <c r="E96" t="str">
        <v>Rafael Mier</v>
      </c>
      <c r="F96">
        <v>170000</v>
      </c>
      <c r="H96" t="str">
        <v xml:space="preserve">Anticipo nómina Action-Segundo anticipo </v>
      </c>
      <c r="I96">
        <v>4853442</v>
      </c>
      <c r="L96" t="str">
        <v>Allianz</v>
      </c>
      <c r="M96">
        <v>723370</v>
      </c>
    </row>
    <row r="97">
      <c r="E97" t="str">
        <v>Simbolo Group</v>
      </c>
      <c r="F97">
        <v>2376000</v>
      </c>
      <c r="H97" t="str">
        <v>Rafael Mier</v>
      </c>
      <c r="I97">
        <v>170000</v>
      </c>
      <c r="L97" t="str">
        <v xml:space="preserve">Reembolsos Saipem </v>
      </c>
      <c r="M97">
        <v>650000</v>
      </c>
    </row>
    <row r="98">
      <c r="E98" t="str">
        <v xml:space="preserve">Plan complementario Suramericana </v>
      </c>
      <c r="F98">
        <v>752141</v>
      </c>
      <c r="H98" t="str">
        <v xml:space="preserve">Plan complementario Suramericana </v>
      </c>
      <c r="I98">
        <v>752141</v>
      </c>
      <c r="L98" t="str">
        <v>Exámenes médicos Saipem</v>
      </c>
      <c r="M98">
        <v>1200000</v>
      </c>
    </row>
    <row r="99">
      <c r="E99" t="str">
        <v xml:space="preserve">Reembolsos Saipem </v>
      </c>
      <c r="F99">
        <v>2000000</v>
      </c>
      <c r="H99" t="str">
        <v>Allianz</v>
      </c>
      <c r="I99">
        <v>723370</v>
      </c>
      <c r="L99" t="str">
        <v>Tiquetes y hoteles Saipem</v>
      </c>
      <c r="M99">
        <v>1500000</v>
      </c>
    </row>
    <row r="100">
      <c r="E100" t="str">
        <v>Exámenes médicos Saipem</v>
      </c>
      <c r="F100">
        <v>17500000</v>
      </c>
      <c r="H100" t="str">
        <v xml:space="preserve">Reembolsos Saipem </v>
      </c>
      <c r="I100">
        <v>650000</v>
      </c>
      <c r="L100" t="str">
        <v xml:space="preserve">Yoana Forero Servicios Costa Rica </v>
      </c>
      <c r="M100">
        <v>774025</v>
      </c>
    </row>
    <row r="101">
      <c r="E101" t="str">
        <v>Tiquetes y hoteles Saipem</v>
      </c>
      <c r="F101">
        <v>4000000</v>
      </c>
      <c r="H101" t="str">
        <v>Exámenes médicos Saipem</v>
      </c>
      <c r="I101">
        <v>1200000</v>
      </c>
      <c r="L101" t="str">
        <v>Cuentas de cobro Eduard Forero</v>
      </c>
      <c r="M101">
        <f>1287442*2</f>
        <v>2574884</v>
      </c>
    </row>
    <row r="102">
      <c r="E102" t="str">
        <v xml:space="preserve">Yoana Forero Servicios Costa Rica </v>
      </c>
      <c r="F102">
        <v>774025</v>
      </c>
      <c r="H102" t="str">
        <v>Tiquetes y hoteles Saipem</v>
      </c>
      <c r="I102">
        <v>1500000</v>
      </c>
      <c r="L102" t="str">
        <v>Cuentas de cobro William Romero</v>
      </c>
      <c r="M102">
        <v>640000</v>
      </c>
    </row>
    <row r="103">
      <c r="E103" t="str">
        <v>Cuentas de cobro Eduard Forero</v>
      </c>
      <c r="F103">
        <f>1287442*2</f>
        <v>2574884</v>
      </c>
      <c r="H103" t="str">
        <v xml:space="preserve">Yoana Forero Servicios Costa Rica </v>
      </c>
      <c r="I103">
        <v>774025</v>
      </c>
      <c r="L103" t="str">
        <v xml:space="preserve">Analia Lorena Di Nicola </v>
      </c>
      <c r="M103">
        <v>475363</v>
      </c>
    </row>
    <row r="104">
      <c r="E104" t="str">
        <v>Cuentas de cobro William Romero</v>
      </c>
      <c r="F104">
        <v>640000</v>
      </c>
      <c r="H104" t="str">
        <v>Cuentas de cobro Eduard Forero</v>
      </c>
      <c r="I104">
        <f>1287442*2</f>
        <v>2574884</v>
      </c>
      <c r="L104" t="str">
        <v>Emasoc</v>
      </c>
      <c r="M104">
        <v>1500000</v>
      </c>
    </row>
    <row r="105">
      <c r="E105" t="str">
        <v xml:space="preserve">Analia Lorena Di Nicola </v>
      </c>
      <c r="F105">
        <v>475363</v>
      </c>
      <c r="H105" t="str">
        <v>Cuentas de cobro William Romero</v>
      </c>
      <c r="I105">
        <v>640000</v>
      </c>
      <c r="L105" t="str">
        <v>Praxedes nómina electrónica</v>
      </c>
      <c r="M105">
        <v>450000</v>
      </c>
    </row>
    <row r="106">
      <c r="E106" t="str">
        <v>Emasoc</v>
      </c>
      <c r="F106">
        <v>1200000</v>
      </c>
      <c r="H106" t="str">
        <v xml:space="preserve">Analia Lorena Di Nicola </v>
      </c>
      <c r="I106">
        <v>475363</v>
      </c>
      <c r="L106" t="str">
        <v>Praxedes</v>
      </c>
      <c r="M106">
        <v>3000000</v>
      </c>
    </row>
    <row r="107">
      <c r="E107" t="str">
        <v>Praxedes nómina electrónica</v>
      </c>
      <c r="F107">
        <v>450000</v>
      </c>
      <c r="H107" t="str">
        <v>Emasoc</v>
      </c>
      <c r="I107">
        <v>1500000</v>
      </c>
      <c r="L107" t="str">
        <v>Imprevisto</v>
      </c>
      <c r="M107">
        <v>5000000</v>
      </c>
    </row>
    <row r="108">
      <c r="E108" t="str">
        <v>Innovate SAS</v>
      </c>
      <c r="F108">
        <v>761310</v>
      </c>
      <c r="H108" t="str">
        <v>Praxedes nómina electrónica</v>
      </c>
      <c r="I108">
        <v>450000</v>
      </c>
      <c r="L108" t="str">
        <v>4 X mil transacciones</v>
      </c>
      <c r="M108">
        <f>N108</f>
        <v>4883359.594</v>
      </c>
      <c r="N108">
        <f>(SUM(M78:M107)*4/1000)</f>
        <v>4883359.594</v>
      </c>
    </row>
    <row r="109">
      <c r="E109" t="str">
        <v>Praxedes</v>
      </c>
      <c r="F109">
        <v>3000000</v>
      </c>
      <c r="H109" t="str">
        <v>Praxedes</v>
      </c>
      <c r="I109">
        <v>3000000</v>
      </c>
      <c r="L109" t="str">
        <v>Diferencia</v>
      </c>
      <c r="M109" t="e">
        <f>M69-M77</f>
        <v>#REF!</v>
      </c>
    </row>
    <row r="110">
      <c r="E110" t="str">
        <v>Imprevisto</v>
      </c>
      <c r="F110">
        <v>20000000</v>
      </c>
      <c r="H110" t="str">
        <v>Imprevisto</v>
      </c>
      <c r="I110">
        <v>5000000</v>
      </c>
    </row>
    <row r="111">
      <c r="E111" t="str">
        <v>4 X mil transacciones</v>
      </c>
      <c r="F111">
        <f>G111</f>
        <v>5534133.390472</v>
      </c>
      <c r="G111">
        <f>(SUM(F80:F110)*4/1000)</f>
        <v>5534133.390472</v>
      </c>
      <c r="H111" t="str">
        <v>4 X mil transacciones</v>
      </c>
      <c r="I111">
        <f>J112</f>
        <v>4335018.114</v>
      </c>
      <c r="L111" t="str">
        <v>Ingreso previsto por EOR</v>
      </c>
      <c r="M111">
        <v>2600000000</v>
      </c>
    </row>
    <row r="112">
      <c r="E112" t="str">
        <v>Diferencia</v>
      </c>
      <c r="F112" t="e">
        <f>F69-F78</f>
        <v>#REF!</v>
      </c>
      <c r="H112" t="str">
        <v>Diferencia</v>
      </c>
      <c r="I112" t="e">
        <f>I69-I77</f>
        <v>#REF!</v>
      </c>
      <c r="J112">
        <f>(SUM(I78:I110)*4/1000)</f>
        <v>4335018.114</v>
      </c>
      <c r="L112" t="str">
        <v>Total</v>
      </c>
      <c r="M112" t="e">
        <f>SUM(M109:M111)</f>
        <v>#REF!</v>
      </c>
    </row>
    <row r="114">
      <c r="E114" t="str">
        <v>Total</v>
      </c>
      <c r="F114" t="e">
        <f>SUM(F112:F113)</f>
        <v>#REF!</v>
      </c>
      <c r="H114" t="str">
        <v>Ingreso previsto por EOR</v>
      </c>
      <c r="I114">
        <v>2400000000</v>
      </c>
      <c r="L114" t="str">
        <v>PAGOS DEL 24 AL 28 FEBRERO</v>
      </c>
      <c r="M114">
        <f>SUM(M115:M137)</f>
        <v>1771142652.3083198</v>
      </c>
    </row>
    <row r="115">
      <c r="H115" t="str">
        <v>Total</v>
      </c>
      <c r="I115" t="e">
        <f>SUM(I112:I114)</f>
        <v>#REF!</v>
      </c>
      <c r="L115" t="str">
        <v>AFC OE</v>
      </c>
      <c r="M115">
        <v>16800500</v>
      </c>
    </row>
    <row r="116">
      <c r="E116" t="str">
        <v>PAGOS DEL 22 AL 31 DE DICIEMBRE</v>
      </c>
      <c r="F116">
        <f>SUM(F117:F139)</f>
        <v>1814866852.3083198</v>
      </c>
      <c r="L116" t="str">
        <v xml:space="preserve">AFC Edward Forero </v>
      </c>
      <c r="M116">
        <v>2199500</v>
      </c>
    </row>
    <row r="117">
      <c r="D117">
        <v>1</v>
      </c>
      <c r="E117" t="str">
        <v>AFC OE</v>
      </c>
      <c r="F117">
        <v>16800500</v>
      </c>
      <c r="H117" t="str">
        <v>PAGOS DEL 25 AL 31 ENERO</v>
      </c>
      <c r="I117">
        <f>SUM(I118:I140)</f>
        <v>1771142652.3083198</v>
      </c>
      <c r="L117" t="str">
        <v>Reembolso caja menor</v>
      </c>
      <c r="M117">
        <v>300000</v>
      </c>
    </row>
    <row r="118">
      <c r="E118" t="str">
        <v xml:space="preserve">AFC Edward Forero </v>
      </c>
      <c r="F118">
        <v>2199500</v>
      </c>
      <c r="H118" t="str">
        <v>AFC OE</v>
      </c>
      <c r="I118">
        <v>16800500</v>
      </c>
      <c r="L118" t="str">
        <v>Nixcom</v>
      </c>
      <c r="M118">
        <f>1276775*1.06</f>
        <v>1353381.5</v>
      </c>
    </row>
    <row r="119">
      <c r="E119" t="str">
        <v>Reembolso caja menor</v>
      </c>
      <c r="F119">
        <v>450000</v>
      </c>
      <c r="H119" t="str">
        <v xml:space="preserve">AFC Edward Forero </v>
      </c>
      <c r="I119">
        <v>2199500</v>
      </c>
      <c r="L119" t="str">
        <v>Carvajal</v>
      </c>
      <c r="M119">
        <v>75000</v>
      </c>
    </row>
    <row r="120">
      <c r="E120" t="str">
        <v>Nixcom</v>
      </c>
      <c r="F120">
        <f>1276775*1.06</f>
        <v>1353381.5</v>
      </c>
      <c r="H120" t="str">
        <v>Reembolso caja menor</v>
      </c>
      <c r="I120">
        <v>300000</v>
      </c>
      <c r="L120" t="str">
        <v>Movistar Telefonía</v>
      </c>
      <c r="M120">
        <v>1002252</v>
      </c>
    </row>
    <row r="121">
      <c r="E121" t="str">
        <v>Carvajal</v>
      </c>
      <c r="F121">
        <v>75000</v>
      </c>
      <c r="H121" t="str">
        <v>Nixcom</v>
      </c>
      <c r="I121">
        <f>1276775*1.06</f>
        <v>1353381.5</v>
      </c>
      <c r="L121" t="str">
        <v>ACT&amp;J Consultores  S&amp;P</v>
      </c>
      <c r="M121">
        <f>3178793*1.06</f>
        <v>3369520.58</v>
      </c>
    </row>
    <row r="122">
      <c r="E122" t="str">
        <v>Movistar Telefonía</v>
      </c>
      <c r="F122">
        <v>1002252</v>
      </c>
      <c r="H122" t="str">
        <v>Carvajal</v>
      </c>
      <c r="I122">
        <v>75000</v>
      </c>
      <c r="L122" t="str">
        <v>ACT&amp;J Consultores  Global</v>
      </c>
      <c r="M122">
        <f>3484500*1.06</f>
        <v>3693570</v>
      </c>
    </row>
    <row r="123">
      <c r="E123" t="str">
        <v>ACT&amp;J Consultores  S&amp;P</v>
      </c>
      <c r="F123">
        <f>3178793*1.06</f>
        <v>3369520.58</v>
      </c>
      <c r="H123" t="str">
        <v>Movistar Telefonía</v>
      </c>
      <c r="I123">
        <v>1002252</v>
      </c>
      <c r="L123" t="str">
        <v>Libranza Compensar</v>
      </c>
      <c r="M123">
        <v>1241772</v>
      </c>
    </row>
    <row r="124">
      <c r="E124" t="str">
        <v>ACT&amp;J Consultores  Global</v>
      </c>
      <c r="F124">
        <f>3484500*1.06</f>
        <v>3693570</v>
      </c>
      <c r="H124" t="str">
        <v>ACT&amp;J Consultores  S&amp;P</v>
      </c>
      <c r="I124">
        <f>3178793*1.06</f>
        <v>3369520.58</v>
      </c>
      <c r="L124" t="str">
        <v xml:space="preserve">Nómina OE </v>
      </c>
      <c r="M124">
        <v>1500000000</v>
      </c>
    </row>
    <row r="125">
      <c r="E125" t="str">
        <v>Libranza Compensar</v>
      </c>
      <c r="F125">
        <v>1241772</v>
      </c>
      <c r="H125" t="str">
        <v>ACT&amp;J Consultores  Global</v>
      </c>
      <c r="I125">
        <f>3484500*1.06</f>
        <v>3693570</v>
      </c>
      <c r="L125" t="str">
        <v>Nomina S&amp;P</v>
      </c>
      <c r="M125">
        <v>175000000</v>
      </c>
    </row>
    <row r="126">
      <c r="E126" t="str">
        <v xml:space="preserve">Nómina OE </v>
      </c>
      <c r="F126">
        <v>1500000000</v>
      </c>
      <c r="H126" t="str">
        <v>Libranza Compensar</v>
      </c>
      <c r="I126">
        <v>1241772</v>
      </c>
      <c r="L126" t="str">
        <v>People Pass bienestar, medios de transporte y alimentación</v>
      </c>
      <c r="M126">
        <v>15000000</v>
      </c>
    </row>
    <row r="127">
      <c r="E127" t="str">
        <v>Nomina S&amp;P</v>
      </c>
      <c r="F127">
        <v>175000000</v>
      </c>
      <c r="H127" t="str">
        <v xml:space="preserve">Nómina OE </v>
      </c>
      <c r="I127">
        <v>1500000000</v>
      </c>
      <c r="L127" t="str">
        <v>People Pass dotación</v>
      </c>
      <c r="M127">
        <v>2390123</v>
      </c>
    </row>
    <row r="128">
      <c r="E128" t="str">
        <v>People Pass bienestar, medios de transporte y alimentación</v>
      </c>
      <c r="F128">
        <v>15000000</v>
      </c>
      <c r="H128" t="str">
        <v>Nomina S&amp;P</v>
      </c>
      <c r="I128">
        <v>175000000</v>
      </c>
      <c r="L128" t="str">
        <v xml:space="preserve">Embargo Daniel Fernando Salamanca-Neo- Banco Agrario </v>
      </c>
      <c r="M128">
        <v>2540000</v>
      </c>
    </row>
    <row r="129">
      <c r="E129" t="str">
        <v>People Pass dotación</v>
      </c>
      <c r="F129">
        <v>2390123</v>
      </c>
      <c r="H129" t="str">
        <v>People Pass bienestar, medios de transporte y alimentación</v>
      </c>
      <c r="I129">
        <v>15000000</v>
      </c>
      <c r="L129" t="str">
        <v>Embargo Fabian Morales</v>
      </c>
      <c r="M129">
        <v>1009880</v>
      </c>
    </row>
    <row r="130">
      <c r="E130" t="str">
        <v xml:space="preserve">Embargo Daniel Fernando Salamanca-Neo- Banco Agrario </v>
      </c>
      <c r="F130">
        <v>2540000</v>
      </c>
      <c r="H130" t="str">
        <v>People Pass dotación</v>
      </c>
      <c r="I130">
        <v>2390123</v>
      </c>
      <c r="L130" t="str">
        <v>Reembolsos Remotefisrt</v>
      </c>
      <c r="M130">
        <v>10000000</v>
      </c>
    </row>
    <row r="131">
      <c r="E131" t="str">
        <v>Embargo Fabian Morales</v>
      </c>
      <c r="F131">
        <v>1009880</v>
      </c>
      <c r="H131" t="str">
        <v xml:space="preserve">Embargo Daniel Fernando Salamanca-Neo- Banco Agrario </v>
      </c>
      <c r="I131">
        <v>2540000</v>
      </c>
      <c r="L131" t="str">
        <v>Reembolsos Insider</v>
      </c>
      <c r="M131">
        <v>7000000</v>
      </c>
    </row>
    <row r="132">
      <c r="E132" t="str">
        <v>Reembolsos Remotefisrt</v>
      </c>
      <c r="F132">
        <v>10000000</v>
      </c>
      <c r="H132" t="str">
        <v>Embargo Fabian Morales</v>
      </c>
      <c r="I132">
        <v>1009880</v>
      </c>
      <c r="L132" t="str">
        <v>Pedro Pablo Oviedo</v>
      </c>
      <c r="M132">
        <v>1190808</v>
      </c>
    </row>
    <row r="133">
      <c r="E133" t="str">
        <v>Reembolsos Insider</v>
      </c>
      <c r="F133">
        <v>43000000</v>
      </c>
      <c r="H133" t="str">
        <v>Reembolsos Remotefisrt</v>
      </c>
      <c r="I133">
        <v>10000000</v>
      </c>
      <c r="L133" t="str">
        <v>Tiquetes Saipem</v>
      </c>
      <c r="M133">
        <v>1600000</v>
      </c>
    </row>
    <row r="134">
      <c r="E134" t="str">
        <v>Pedro pablo oviedo</v>
      </c>
      <c r="F134">
        <v>1190808</v>
      </c>
      <c r="H134" t="str">
        <v>Reembolsos Insider</v>
      </c>
      <c r="I134">
        <v>7000000</v>
      </c>
      <c r="L134" t="str">
        <v>Novasoft</v>
      </c>
      <c r="M134">
        <v>13000000</v>
      </c>
    </row>
    <row r="135">
      <c r="E135" t="str">
        <v>Tiquetes Saipem</v>
      </c>
      <c r="F135">
        <v>4000000</v>
      </c>
      <c r="H135" t="str">
        <v>Pedro Pablo Oviedo</v>
      </c>
      <c r="I135">
        <v>1190808</v>
      </c>
      <c r="L135" t="str">
        <v>Mensajería</v>
      </c>
      <c r="M135">
        <v>320000</v>
      </c>
    </row>
    <row r="136">
      <c r="E136" t="str">
        <v>Novasoft</v>
      </c>
      <c r="F136">
        <v>13000000</v>
      </c>
      <c r="H136" t="str">
        <v>Tiquetes Saipem</v>
      </c>
      <c r="I136">
        <v>1600000</v>
      </c>
      <c r="L136" t="str">
        <v xml:space="preserve">Imprevistos </v>
      </c>
      <c r="M136">
        <v>5000000</v>
      </c>
    </row>
    <row r="137">
      <c r="E137" t="str">
        <v>Mensajería</v>
      </c>
      <c r="F137">
        <v>320000</v>
      </c>
      <c r="H137" t="str">
        <v>Novasoft</v>
      </c>
      <c r="I137">
        <v>13000000</v>
      </c>
      <c r="L137" t="str">
        <v>Costos Financieros</v>
      </c>
      <c r="M137">
        <f>N137</f>
        <v>7056345.22832</v>
      </c>
      <c r="N137">
        <f>(SUM(M115:M136)*4/1000)</f>
        <v>7056345.22832</v>
      </c>
    </row>
    <row r="138">
      <c r="E138" t="str">
        <v xml:space="preserve">Imprevistos </v>
      </c>
      <c r="F138">
        <v>10000000</v>
      </c>
      <c r="H138" t="str">
        <v>Mensajería</v>
      </c>
      <c r="I138">
        <v>320000</v>
      </c>
      <c r="L138" t="str">
        <v>DIFERENCIA</v>
      </c>
      <c r="M138" t="e">
        <f>M112-M114</f>
        <v>#REF!</v>
      </c>
    </row>
    <row r="139">
      <c r="E139" t="str">
        <v>Costos Financieros</v>
      </c>
      <c r="F139">
        <f>G140</f>
        <v>7230545.22832</v>
      </c>
      <c r="H139" t="str">
        <v xml:space="preserve">Imprevistos </v>
      </c>
      <c r="I139">
        <v>5000000</v>
      </c>
    </row>
    <row r="140">
      <c r="E140" t="str">
        <v>DIFERENCIA</v>
      </c>
      <c r="F140" t="e">
        <f>F114-F116</f>
        <v>#REF!</v>
      </c>
      <c r="G140">
        <f>(SUM(F117:F138)*4/1000)</f>
        <v>7230545.22832</v>
      </c>
      <c r="H140" t="str">
        <v>Costos Financieros</v>
      </c>
      <c r="I140">
        <f>J140</f>
        <v>7056345.22832</v>
      </c>
      <c r="J140">
        <f>(SUM(I118:I139)*4/1000)</f>
        <v>7056345.22832</v>
      </c>
    </row>
    <row r="141">
      <c r="H141" t="str">
        <v>DIFERENCIA</v>
      </c>
      <c r="I141" t="e">
        <f>I115-I117</f>
        <v>#REF!</v>
      </c>
    </row>
  </sheetData>
  <mergeCells count="8">
    <mergeCell ref="H67:I67"/>
    <mergeCell ref="L67:M67"/>
    <mergeCell ref="B2:F2"/>
    <mergeCell ref="B16:E16"/>
    <mergeCell ref="E18:F18"/>
    <mergeCell ref="D23:D36"/>
    <mergeCell ref="E39:F39"/>
    <mergeCell ref="E67:F67"/>
  </mergeCells>
  <pageMargins left="0.7" right="0.7" top="0.75" bottom="0.75" header="0.3" footer="0.3"/>
  <ignoredErrors>
    <ignoredError numberStoredAsText="1" sqref="B1:N163"/>
  </ignoredErrors>
  <legacyDrawing r:id="rId1"/>
</worksheet>
</file>

<file path=xl/worksheets/sheet10.xml><?xml version="1.0" encoding="utf-8"?>
<worksheet xmlns="http://schemas.openxmlformats.org/spreadsheetml/2006/main" xmlns:r="http://schemas.openxmlformats.org/officeDocument/2006/relationships">
  <dimension ref="C3:S10"/>
  <sheetViews>
    <sheetView workbookViewId="0" rightToLeft="0"/>
  </sheetViews>
  <sheetData>
    <row r="3">
      <c r="D3" t="str">
        <v>Concepto</v>
      </c>
      <c r="E3" t="str">
        <v>Ene</v>
      </c>
      <c r="F3" t="str">
        <v>Feb</v>
      </c>
      <c r="G3" t="str">
        <v xml:space="preserve">Marzo </v>
      </c>
      <c r="H3" t="str">
        <v>Abril</v>
      </c>
      <c r="I3" t="str">
        <v>Mayo</v>
      </c>
      <c r="J3" t="str">
        <v>Junio</v>
      </c>
      <c r="K3" t="str">
        <v>Julio</v>
      </c>
      <c r="L3" t="str">
        <v>Agosto</v>
      </c>
      <c r="M3" t="str">
        <v>Septiembre</v>
      </c>
      <c r="N3" t="str">
        <v>Octubre</v>
      </c>
      <c r="O3" t="str">
        <v>Noviembre</v>
      </c>
      <c r="P3" t="str">
        <v>Diciembre</v>
      </c>
      <c r="Q3" t="str">
        <v>Acumulado</v>
      </c>
    </row>
    <row r="4">
      <c r="C4">
        <v>421020</v>
      </c>
      <c r="D4" t="str">
        <v>Diferencia en cambio ( Ingreso)</v>
      </c>
      <c r="E4">
        <v>26960712.08</v>
      </c>
      <c r="F4">
        <v>93771698.01</v>
      </c>
      <c r="G4">
        <v>57438102.92</v>
      </c>
      <c r="H4" t="e">
        <f>#REF!+#REF!+#REF!+#REF!+#REF!+#REF!+#REF!+#REF!+#REF!+#REF!+#REF!+#REF!+#REF!+#REF!+#REF!+#REF!+#REF!+#REF!+#REF!+#REF!+#REF!+#REF!</f>
        <v>#REF!</v>
      </c>
      <c r="Q4" t="e">
        <f>SUM(E4:P4)</f>
        <v>#REF!</v>
      </c>
    </row>
    <row r="5">
      <c r="C5">
        <v>530525</v>
      </c>
      <c r="D5" t="str">
        <v>Diferencia en cambio ( Gasto)</v>
      </c>
      <c r="E5">
        <v>19562974.43</v>
      </c>
      <c r="F5">
        <v>6983301.02</v>
      </c>
      <c r="G5">
        <v>1320421.97</v>
      </c>
      <c r="H5">
        <v>2775771</v>
      </c>
      <c r="Q5">
        <f>SUM(E5:P5)</f>
        <v>30642468.419999998</v>
      </c>
    </row>
    <row r="6">
      <c r="D6" t="str">
        <v>Balanza 25</v>
      </c>
      <c r="E6">
        <f>E4-E5</f>
        <v>7397737.6499999985</v>
      </c>
      <c r="F6">
        <f>F4-F5</f>
        <v>86788396.99000001</v>
      </c>
      <c r="G6">
        <f>G4-G5</f>
        <v>56117680.95</v>
      </c>
      <c r="H6" t="e">
        <f>H4-H5</f>
        <v>#REF!</v>
      </c>
      <c r="I6">
        <f>I4-I5</f>
        <v>0</v>
      </c>
      <c r="J6">
        <f>J4-J5</f>
        <v>0</v>
      </c>
      <c r="K6">
        <f>K4-K5</f>
        <v>0</v>
      </c>
      <c r="L6">
        <f>L4-L5</f>
        <v>0</v>
      </c>
      <c r="M6">
        <f>M4-M5</f>
        <v>0</v>
      </c>
      <c r="N6">
        <f>N4-N5</f>
        <v>0</v>
      </c>
      <c r="O6">
        <f>O4-O5</f>
        <v>0</v>
      </c>
      <c r="P6">
        <f>P4-P5</f>
        <v>0</v>
      </c>
      <c r="Q6" t="e">
        <f>Q4-Q5</f>
        <v>#REF!</v>
      </c>
    </row>
    <row r="8">
      <c r="D8" t="str">
        <v>Diferencia en cambio ( Ingreso)</v>
      </c>
      <c r="E8">
        <v>20456548</v>
      </c>
      <c r="F8">
        <v>20805959.9</v>
      </c>
      <c r="G8">
        <v>2493777.01</v>
      </c>
      <c r="H8">
        <v>52141246.17</v>
      </c>
      <c r="Q8">
        <f>SUM(E8:P8)</f>
        <v>95897531.08</v>
      </c>
    </row>
    <row r="9">
      <c r="D9" t="str">
        <v>Diferencia en cambio ( Gasto)</v>
      </c>
      <c r="E9">
        <v>593328</v>
      </c>
      <c r="F9">
        <v>9336021.66</v>
      </c>
      <c r="G9">
        <v>12371549.66</v>
      </c>
      <c r="H9">
        <v>1819382.59</v>
      </c>
      <c r="Q9">
        <f>SUM(E9:P9)</f>
        <v>24120281.91</v>
      </c>
    </row>
    <row r="10">
      <c r="D10" t="str">
        <v>Balanza 24</v>
      </c>
      <c r="E10">
        <f>E8-E9</f>
        <v>19863220</v>
      </c>
      <c r="F10">
        <f>F8-F9</f>
        <v>11469938.239999998</v>
      </c>
      <c r="G10">
        <f>G8-G9</f>
        <v>-9877772.65</v>
      </c>
      <c r="H10">
        <f>H8-H9</f>
        <v>50321863.58</v>
      </c>
      <c r="I10">
        <f>I8-I9</f>
        <v>0</v>
      </c>
      <c r="J10">
        <f>J8-J9</f>
        <v>0</v>
      </c>
      <c r="K10">
        <f>K8-K9</f>
        <v>0</v>
      </c>
      <c r="L10">
        <f>L8-L9</f>
        <v>0</v>
      </c>
      <c r="M10">
        <f>M8-M9</f>
        <v>0</v>
      </c>
      <c r="N10">
        <f>N8-N9</f>
        <v>0</v>
      </c>
      <c r="O10">
        <f>O8-O9</f>
        <v>0</v>
      </c>
      <c r="P10">
        <f>P8-P9</f>
        <v>0</v>
      </c>
      <c r="Q10">
        <f>Q8-Q9</f>
        <v>71777249.17</v>
      </c>
    </row>
  </sheetData>
  <pageMargins left="0.7" right="0.7" top="0.75" bottom="0.75" header="0.3" footer="0.3"/>
  <ignoredErrors>
    <ignoredError numberStoredAsText="1" sqref="C3:S10"/>
  </ignoredErrors>
</worksheet>
</file>

<file path=xl/worksheets/sheet11.xml><?xml version="1.0" encoding="utf-8"?>
<worksheet xmlns="http://schemas.openxmlformats.org/spreadsheetml/2006/main" xmlns:r="http://schemas.openxmlformats.org/officeDocument/2006/relationships">
  <dimension ref="B2:F7"/>
  <sheetViews>
    <sheetView workbookViewId="0" rightToLeft="0"/>
  </sheetViews>
  <sheetData>
    <row r="2">
      <c r="B2" t="str">
        <v xml:space="preserve">Seguridad social </v>
      </c>
      <c r="E2" t="str">
        <v>Retención en la fuente</v>
      </c>
    </row>
    <row r="3">
      <c r="B3" t="str">
        <v>Enero</v>
      </c>
      <c r="C3">
        <v>326365300</v>
      </c>
      <c r="E3" t="str">
        <v>Enero</v>
      </c>
      <c r="F3">
        <v>132004000</v>
      </c>
    </row>
    <row r="4">
      <c r="B4" t="str">
        <v>Febrero</v>
      </c>
      <c r="C4">
        <v>366144100</v>
      </c>
      <c r="E4" t="str">
        <v>Febrero</v>
      </c>
      <c r="F4">
        <v>114838000</v>
      </c>
    </row>
    <row r="5">
      <c r="B5" t="str">
        <v>Marzo</v>
      </c>
      <c r="C5">
        <v>336362300</v>
      </c>
      <c r="E5" t="str">
        <v>Marzo</v>
      </c>
      <c r="F5">
        <v>122963000</v>
      </c>
    </row>
    <row r="6">
      <c r="B6" t="str">
        <v>Abril</v>
      </c>
      <c r="C6">
        <v>356100200</v>
      </c>
      <c r="E6" t="str">
        <v>Abril</v>
      </c>
      <c r="F6">
        <v>121740150</v>
      </c>
    </row>
    <row r="7">
      <c r="B7" t="str">
        <v>Total</v>
      </c>
      <c r="C7">
        <f>AVERAGE(C3:C6)</f>
        <v>346242975</v>
      </c>
      <c r="E7" t="str">
        <v>Total</v>
      </c>
      <c r="F7">
        <f>AVERAGE(F3:F6)</f>
        <v>122886287.5</v>
      </c>
    </row>
  </sheetData>
  <mergeCells count="2">
    <mergeCell ref="B2:C2"/>
    <mergeCell ref="E2:F2"/>
  </mergeCells>
  <pageMargins left="0.7" right="0.7" top="0.75" bottom="0.75" header="0.3" footer="0.3"/>
  <ignoredErrors>
    <ignoredError numberStoredAsText="1" sqref="B2:F7"/>
  </ignoredErrors>
</worksheet>
</file>

<file path=xl/worksheets/sheet12.xml><?xml version="1.0" encoding="utf-8"?>
<worksheet xmlns="http://schemas.openxmlformats.org/spreadsheetml/2006/main" xmlns:r="http://schemas.openxmlformats.org/officeDocument/2006/relationships">
  <dimension ref="B1:N20"/>
  <sheetViews>
    <sheetView workbookViewId="0" rightToLeft="0"/>
  </sheetViews>
  <sheetData>
    <row r="2">
      <c r="B2" t="str">
        <v>Semana</v>
      </c>
      <c r="C2" t="str">
        <v>Fecha Inicial</v>
      </c>
      <c r="D2" t="str">
        <v>Fecha Final</v>
      </c>
      <c r="E2" t="str">
        <v xml:space="preserve">Descripción </v>
      </c>
      <c r="F2" t="str">
        <v>Valor</v>
      </c>
    </row>
    <row r="3">
      <c r="B3">
        <v>1</v>
      </c>
      <c r="C3">
        <v>45689</v>
      </c>
      <c r="D3">
        <v>45697</v>
      </c>
      <c r="E3" t="str">
        <v>Proveedores</v>
      </c>
      <c r="F3">
        <v>4927863.5</v>
      </c>
    </row>
    <row r="4">
      <c r="B4">
        <v>2</v>
      </c>
      <c r="C4">
        <v>45698</v>
      </c>
      <c r="D4">
        <v>45701</v>
      </c>
      <c r="E4" t="str">
        <v>SS-Movistar</v>
      </c>
      <c r="F4">
        <v>366472412</v>
      </c>
    </row>
    <row r="5">
      <c r="B5">
        <v>2</v>
      </c>
      <c r="C5">
        <v>45702</v>
      </c>
      <c r="D5">
        <v>45702</v>
      </c>
      <c r="E5" t="str">
        <v>Cesantías-Anticipo NZD ACT</v>
      </c>
      <c r="F5">
        <v>497926761</v>
      </c>
    </row>
    <row r="6">
      <c r="B6">
        <v>4</v>
      </c>
      <c r="C6">
        <v>45705</v>
      </c>
      <c r="D6">
        <v>45711</v>
      </c>
      <c r="E6" t="str">
        <v>RTE FTE-TC Endrington-Proveedores</v>
      </c>
      <c r="F6">
        <v>151400713</v>
      </c>
    </row>
    <row r="7">
      <c r="B7" t="str">
        <v>SUBTOTAL</v>
      </c>
      <c r="F7">
        <f>SUM(F3:F6)</f>
        <v>1020727749.5</v>
      </c>
    </row>
    <row r="8">
      <c r="B8" t="str">
        <v>4 x MIL</v>
      </c>
      <c r="F8">
        <f>(F7*4)/1000</f>
        <v>4082910.998</v>
      </c>
    </row>
    <row r="9">
      <c r="B9" t="str">
        <v>TOTAL</v>
      </c>
      <c r="F9">
        <f>SUM(F7:F8)</f>
        <v>1024810660.498</v>
      </c>
    </row>
    <row r="11">
      <c r="E11" t="str">
        <v>Bancos</v>
      </c>
      <c r="F11" t="e">
        <f>#REF!</f>
        <v>#REF!</v>
      </c>
    </row>
    <row r="12">
      <c r="E12" t="str">
        <v>Action # 5678</v>
      </c>
      <c r="F12" t="e">
        <f>#REF!</f>
        <v>#REF!</v>
      </c>
    </row>
    <row r="13">
      <c r="E13" t="str">
        <v>Monetizaciones</v>
      </c>
      <c r="F13">
        <f>'MONETIZACIONES PEND'!$R$23</f>
        <v>148257053</v>
      </c>
      <c r="J13" t="str">
        <v>Facturado</v>
      </c>
      <c r="K13">
        <f>'MONETIZACIONES PEND'!Q23</f>
        <v>193793916.06350002</v>
      </c>
      <c r="L13" t="str">
        <v>Monetizado</v>
      </c>
      <c r="M13">
        <f>F13</f>
        <v>148257053</v>
      </c>
      <c r="N13">
        <f>F13-K13</f>
        <v>-45536863.06350002</v>
      </c>
    </row>
    <row r="14">
      <c r="E14" t="str">
        <v>Endrington</v>
      </c>
      <c r="F14" t="e">
        <f>#REF!</f>
        <v>#REF!</v>
      </c>
    </row>
    <row r="15">
      <c r="E15" t="str">
        <v>Payroll Safeguard</v>
      </c>
      <c r="F15" t="e">
        <f>#REF!</f>
        <v>#REF!</v>
      </c>
      <c r="H15">
        <v>13791.26</v>
      </c>
      <c r="I15">
        <v>4406.16</v>
      </c>
      <c r="J15" t="str">
        <v>Facturado</v>
      </c>
      <c r="K15">
        <f>H15*I15</f>
        <v>60766498.1616</v>
      </c>
      <c r="L15" t="str">
        <v>Monetizado</v>
      </c>
      <c r="M15" t="e">
        <f>$H$15*$I$16</f>
        <v>#REF!</v>
      </c>
      <c r="N15" t="e">
        <f>K16-K15</f>
        <v>#REF!</v>
      </c>
    </row>
    <row r="16">
      <c r="E16" t="str">
        <v>Gran Total</v>
      </c>
      <c r="F16" t="e">
        <f>SUM(F11:F15)</f>
        <v>#REF!</v>
      </c>
      <c r="I16" t="e">
        <f>'MONETIZACIONES PEND'!#REF!</f>
        <v>#REF!</v>
      </c>
      <c r="K16" t="e">
        <f>$H$15*$I$16</f>
        <v>#REF!</v>
      </c>
    </row>
    <row r="18">
      <c r="E18" t="str">
        <v>Deficit</v>
      </c>
      <c r="F18" t="e">
        <f>F16-F9</f>
        <v>#REF!</v>
      </c>
      <c r="J18" t="str">
        <v>Total</v>
      </c>
      <c r="K18">
        <f>K13+K15</f>
        <v>254560414.2251</v>
      </c>
      <c r="M18" t="e">
        <f>M13+M15</f>
        <v>#REF!</v>
      </c>
      <c r="N18" t="e">
        <f>N13+N15</f>
        <v>#REF!</v>
      </c>
    </row>
    <row r="19">
      <c r="N19" t="e">
        <f>N18/K18</f>
        <v>#REF!</v>
      </c>
    </row>
  </sheetData>
  <mergeCells count="4">
    <mergeCell ref="B7:E7"/>
    <mergeCell ref="B8:E8"/>
    <mergeCell ref="B9:E9"/>
    <mergeCell ref="N15:N16"/>
  </mergeCells>
  <pageMargins left="0.7" right="0.7" top="0.75" bottom="0.75" header="0.3" footer="0.3"/>
  <ignoredErrors>
    <ignoredError numberStoredAsText="1" sqref="B1:N20"/>
  </ignoredErrors>
</worksheet>
</file>

<file path=xl/worksheets/sheet13.xml><?xml version="1.0" encoding="utf-8"?>
<worksheet xmlns="http://schemas.openxmlformats.org/spreadsheetml/2006/main" xmlns:r="http://schemas.openxmlformats.org/officeDocument/2006/relationships">
  <dimension ref="A2:M45"/>
  <sheetViews>
    <sheetView workbookViewId="0" rightToLeft="0"/>
  </sheetViews>
  <sheetData>
    <row r="2">
      <c r="B2" t="str">
        <v>Nazdar</v>
      </c>
      <c r="C2">
        <v>13336.33</v>
      </c>
      <c r="D2">
        <v>1</v>
      </c>
    </row>
    <row r="3">
      <c r="B3" t="str">
        <v>Flexco</v>
      </c>
      <c r="C3">
        <v>6784.5</v>
      </c>
      <c r="D3">
        <v>2</v>
      </c>
      <c r="K3">
        <v>288.62</v>
      </c>
      <c r="L3">
        <f>K3/K5</f>
        <v>0.01395032077230894</v>
      </c>
      <c r="M3">
        <f>G7*L3</f>
        <v>177.21915545989611</v>
      </c>
    </row>
    <row r="4">
      <c r="B4" t="str">
        <v>MKD</v>
      </c>
      <c r="C4">
        <v>2103.98</v>
      </c>
      <c r="D4">
        <v>3</v>
      </c>
      <c r="K4">
        <v>20400.51</v>
      </c>
      <c r="L4">
        <f>K4/K5</f>
        <v>0.9860496792276912</v>
      </c>
      <c r="M4">
        <f>G7*L4</f>
        <v>12526.370844540104</v>
      </c>
    </row>
    <row r="5">
      <c r="B5" t="str">
        <v>Remotefirst</v>
      </c>
      <c r="C5">
        <v>106335.63</v>
      </c>
      <c r="K5">
        <f>SUM(K3:K4)</f>
        <v>20689.129999999997</v>
      </c>
    </row>
    <row r="6">
      <c r="B6" t="str">
        <v>Remotefisrt</v>
      </c>
      <c r="C6">
        <v>33144.18</v>
      </c>
    </row>
    <row r="7">
      <c r="B7" t="str">
        <v>Neo</v>
      </c>
      <c r="C7">
        <v>20628.13</v>
      </c>
      <c r="D7">
        <v>4</v>
      </c>
      <c r="F7">
        <f>'MONETIZACIONES PEND'!K239+'MONETIZACIONES PEND'!K240</f>
        <v>7924.54</v>
      </c>
      <c r="G7">
        <f>C7-F7</f>
        <v>12703.59</v>
      </c>
    </row>
    <row r="8">
      <c r="B8" t="str">
        <v>Oncehub</v>
      </c>
      <c r="C8">
        <v>2866.23</v>
      </c>
      <c r="D8">
        <v>5</v>
      </c>
    </row>
    <row r="9">
      <c r="B9" t="str">
        <v>Total</v>
      </c>
      <c r="C9">
        <f>SUM(C2:C8)</f>
        <v>185198.98</v>
      </c>
    </row>
    <row r="11">
      <c r="H11" t="str">
        <v>Mayor valor</v>
      </c>
    </row>
    <row r="12">
      <c r="B12" t="str">
        <v>Forward 1</v>
      </c>
      <c r="C12">
        <v>133605.5</v>
      </c>
      <c r="E12">
        <v>4294.81</v>
      </c>
      <c r="G12">
        <f>C5+C6</f>
        <v>139479.81</v>
      </c>
      <c r="H12">
        <f>G12-C12</f>
        <v>5874.309999999998</v>
      </c>
    </row>
    <row r="13">
      <c r="B13" t="str">
        <v>Forward 2</v>
      </c>
      <c r="C13">
        <v>49487.77</v>
      </c>
      <c r="E13">
        <v>4239.77</v>
      </c>
      <c r="G13">
        <f>C2+C3+C4+C7+C8</f>
        <v>45719.170000000006</v>
      </c>
      <c r="H13">
        <f>G13-C13</f>
        <v>-3768.5999999999913</v>
      </c>
    </row>
    <row r="38">
      <c r="F38" t="str">
        <v>Pendiente</v>
      </c>
      <c r="G38">
        <v>33144.18</v>
      </c>
    </row>
    <row r="40">
      <c r="F40" t="str">
        <v xml:space="preserve">Saldo </v>
      </c>
      <c r="G40">
        <v>3768.6</v>
      </c>
    </row>
    <row r="41">
      <c r="F41" t="str">
        <v xml:space="preserve">Saldo </v>
      </c>
      <c r="G41">
        <v>27269.87</v>
      </c>
    </row>
    <row r="42">
      <c r="F42" t="str">
        <v xml:space="preserve">Negocie </v>
      </c>
      <c r="G42">
        <v>2105.71</v>
      </c>
    </row>
    <row r="43">
      <c r="G43">
        <f>SUM(G40:G42)</f>
        <v>33144.18</v>
      </c>
      <c r="I43">
        <f>G43*4278.77</f>
        <v>141816323.0586</v>
      </c>
    </row>
    <row r="45">
      <c r="G45">
        <f>G38-G43</f>
        <v>0</v>
      </c>
    </row>
  </sheetData>
  <pageMargins left="0.7" right="0.7" top="0.75" bottom="0.75" header="0.3" footer="0.3"/>
  <ignoredErrors>
    <ignoredError numberStoredAsText="1" sqref="A2:M45"/>
  </ignoredErrors>
</worksheet>
</file>

<file path=xl/worksheets/sheet14.xml><?xml version="1.0" encoding="utf-8"?>
<worksheet xmlns="http://schemas.openxmlformats.org/spreadsheetml/2006/main" xmlns:r="http://schemas.openxmlformats.org/officeDocument/2006/relationships">
  <dimension ref="B1:AF30"/>
  <sheetViews>
    <sheetView workbookViewId="0" rightToLeft="0"/>
  </sheetViews>
  <sheetData>
    <row r="2" xml:space="preserve">
      <c r="B2" t="str">
        <v>ID</v>
      </c>
      <c r="C2" t="str">
        <v>Client</v>
      </c>
      <c r="D2" t="str">
        <v>Invoice</v>
      </c>
      <c r="E2" t="str">
        <v>Incoming resources</v>
      </c>
      <c r="F2" t="str">
        <v>Maximum Date for Monetization</v>
      </c>
      <c r="G2" t="str">
        <v>Días</v>
      </c>
      <c r="H2" t="str">
        <v>Progress</v>
      </c>
      <c r="J2" t="str">
        <v>Invoiced</v>
      </c>
      <c r="L2" t="str">
        <v>Received</v>
      </c>
      <c r="M2" t="str">
        <v>Banking taxes</v>
      </c>
      <c r="N2" t="str" xml:space="preserve">
        <v xml:space="preserve">TRM Invoice_x000d_
Cops</v>
      </c>
      <c r="O2" t="str" xml:space="preserve">
        <v xml:space="preserve">TRM Bank (Average)_x000d_
Cops</v>
      </c>
      <c r="P2" t="str">
        <v>Difference in exchange rates</v>
      </c>
      <c r="Q2" t="str">
        <v>invoicing in COPS</v>
      </c>
      <c r="R2" t="str">
        <v xml:space="preserve"> negotiated COPS</v>
      </c>
      <c r="S2" t="str">
        <v>difference</v>
      </c>
      <c r="T2" t="str">
        <v>KPI</v>
      </c>
      <c r="U2" t="str">
        <v>Color KPI</v>
      </c>
    </row>
    <row r="3">
      <c r="B3">
        <v>1</v>
      </c>
      <c r="C3" t="str">
        <v>Remofirst-10AK</v>
      </c>
      <c r="D3">
        <v>4820</v>
      </c>
      <c r="E3">
        <v>45443</v>
      </c>
      <c r="F3">
        <v>45503</v>
      </c>
      <c r="G3">
        <f>F3-E3</f>
        <v>60</v>
      </c>
      <c r="H3">
        <f>IFERROR(IF(TODAY()&gt;=E3,(TODAY()-E3)/G3,0),0)</f>
        <v>11.3</v>
      </c>
      <c r="I3">
        <v>1</v>
      </c>
      <c r="J3">
        <v>9692.05</v>
      </c>
      <c r="K3">
        <f>J3/$J$23</f>
        <v>0.0885433029971461</v>
      </c>
      <c r="L3">
        <f>J3-M3</f>
        <v>9688.065551365127</v>
      </c>
      <c r="M3">
        <f>K3*$K$23</f>
        <v>3.984448634871575</v>
      </c>
      <c r="N3">
        <v>3864.23</v>
      </c>
      <c r="O3">
        <v>3882.9</v>
      </c>
      <c r="P3">
        <f>O3-N3</f>
        <v>18.670000000000073</v>
      </c>
      <c r="Q3">
        <f>J3*N3</f>
        <v>37452310.3715</v>
      </c>
      <c r="R3">
        <f>L3*O3</f>
        <v>37617789.72939565</v>
      </c>
      <c r="S3">
        <f>R3-Q3</f>
        <v>165479.35789564997</v>
      </c>
      <c r="T3" t="str">
        <f>IF(O3&lt;= N3,"No Monetizar","Monetizar")</f>
        <v>Monetizar</v>
      </c>
      <c r="W3" t="str">
        <v>Remofirst-10AK Factura # 4820</v>
      </c>
    </row>
    <row r="4">
      <c r="B4">
        <v>2</v>
      </c>
      <c r="C4" t="str">
        <v>Remofirst-Ferrous</v>
      </c>
      <c r="D4">
        <v>4821</v>
      </c>
      <c r="E4">
        <v>45443</v>
      </c>
      <c r="F4">
        <v>45503</v>
      </c>
      <c r="G4">
        <f>F4-E4</f>
        <v>60</v>
      </c>
      <c r="H4">
        <f>IFERROR(IF(TODAY()&gt;=E4,(TODAY()-E4)/G4,0),0)</f>
        <v>11.3</v>
      </c>
      <c r="I4">
        <v>1</v>
      </c>
      <c r="J4">
        <v>8127.7</v>
      </c>
      <c r="K4">
        <f>J4/$J$23</f>
        <v>0.07425192851562924</v>
      </c>
      <c r="L4">
        <f>J4-M4</f>
        <v>8124.358663216796</v>
      </c>
      <c r="M4">
        <f>K4*$K$23</f>
        <v>3.341336783203316</v>
      </c>
      <c r="N4">
        <v>3864.23</v>
      </c>
      <c r="O4">
        <v>3882.9</v>
      </c>
      <c r="P4">
        <f>O4-N4</f>
        <v>18.670000000000073</v>
      </c>
      <c r="Q4">
        <f>J4*N4</f>
        <v>31407302.171</v>
      </c>
      <c r="R4">
        <f>L4*O4</f>
        <v>31546072.253404498</v>
      </c>
      <c r="S4">
        <f>R4-Q4</f>
        <v>138770.082404498</v>
      </c>
      <c r="T4" t="str">
        <f>IF(O4&lt;= N4,"No Monetizar","Monetizar")</f>
        <v>Monetizar</v>
      </c>
      <c r="W4" t="str">
        <v>Remofirst-Ferrous Factura # 4821</v>
      </c>
    </row>
    <row r="5">
      <c r="B5">
        <v>3</v>
      </c>
      <c r="C5" t="str">
        <v xml:space="preserve">Remofirst Bluleadz </v>
      </c>
      <c r="D5">
        <v>4822</v>
      </c>
      <c r="E5">
        <v>45443</v>
      </c>
      <c r="F5">
        <v>45503</v>
      </c>
      <c r="G5">
        <f>F5-E5</f>
        <v>60</v>
      </c>
      <c r="H5">
        <f>IFERROR(IF(TODAY()&gt;=E5,(TODAY()-E5)/G5,0),0)</f>
        <v>11.3</v>
      </c>
      <c r="I5">
        <v>1</v>
      </c>
      <c r="J5">
        <v>5392.67</v>
      </c>
      <c r="K5">
        <f>J5/$J$23</f>
        <v>0.04926561602278361</v>
      </c>
      <c r="L5">
        <f>J5-M5</f>
        <v>5390.453047278975</v>
      </c>
      <c r="M5">
        <f>K5*$K$23</f>
        <v>2.2169527210252626</v>
      </c>
      <c r="N5">
        <v>3864.23</v>
      </c>
      <c r="O5">
        <v>3882.9</v>
      </c>
      <c r="P5">
        <f>O5-N5</f>
        <v>18.670000000000073</v>
      </c>
      <c r="Q5">
        <f>J5*N5</f>
        <v>20838517.1941</v>
      </c>
      <c r="R5">
        <f>L5*O5</f>
        <v>20930590.137279533</v>
      </c>
      <c r="S5">
        <f>R5-Q5</f>
        <v>92072.94317953289</v>
      </c>
      <c r="T5" t="str">
        <f>IF(O5&lt;= N5,"No Monetizar","Monetizar")</f>
        <v>Monetizar</v>
      </c>
      <c r="W5" t="str">
        <v>Remofirst Bluleadz  Factura # 4822</v>
      </c>
    </row>
    <row r="6">
      <c r="B6">
        <v>4</v>
      </c>
      <c r="C6" t="str">
        <v xml:space="preserve">Remofirst TC1 Corporation SAC </v>
      </c>
      <c r="D6">
        <v>4823</v>
      </c>
      <c r="E6">
        <v>45443</v>
      </c>
      <c r="F6">
        <v>45503</v>
      </c>
      <c r="G6">
        <f>F6-E6</f>
        <v>60</v>
      </c>
      <c r="H6">
        <f>IFERROR(IF(TODAY()&gt;=E6,(TODAY()-E6)/G6,0),0)</f>
        <v>11.3</v>
      </c>
      <c r="I6">
        <v>1</v>
      </c>
      <c r="J6">
        <v>6167.93</v>
      </c>
      <c r="K6">
        <f>J6/$J$23</f>
        <v>0.05634813015359882</v>
      </c>
      <c r="L6">
        <f>J6-M6</f>
        <v>6165.394334143089</v>
      </c>
      <c r="M6">
        <f>K6*$K$23</f>
        <v>2.5356658569119466</v>
      </c>
      <c r="N6">
        <v>3864.23</v>
      </c>
      <c r="O6">
        <v>3882.9</v>
      </c>
      <c r="P6">
        <f>O6-N6</f>
        <v>18.670000000000073</v>
      </c>
      <c r="Q6">
        <f>J6*N6</f>
        <v>23834300.1439</v>
      </c>
      <c r="R6">
        <f>L6*O6</f>
        <v>23939609.6600442</v>
      </c>
      <c r="S6">
        <f>R6-Q6</f>
        <v>105309.51614420116</v>
      </c>
      <c r="T6" t="str">
        <f>IF(O6&lt;= N6,"No Monetizar","Monetizar")</f>
        <v>Monetizar</v>
      </c>
      <c r="W6" t="str">
        <v>Remofirst TC1 Corporation SAC  Factura # 4823</v>
      </c>
    </row>
    <row r="7">
      <c r="B7">
        <v>5</v>
      </c>
      <c r="C7" t="str">
        <v>Remofirst BGB Comunications</v>
      </c>
      <c r="D7">
        <v>4824</v>
      </c>
      <c r="E7">
        <v>45443</v>
      </c>
      <c r="F7">
        <v>45503</v>
      </c>
      <c r="G7">
        <f>F7-E7</f>
        <v>60</v>
      </c>
      <c r="H7">
        <f>IFERROR(IF(TODAY()&gt;=E7,(TODAY()-E7)/G7,0),0)</f>
        <v>11.3</v>
      </c>
      <c r="I7">
        <v>1</v>
      </c>
      <c r="J7">
        <v>2914.59</v>
      </c>
      <c r="K7">
        <f>J7/$J$23</f>
        <v>0.02662671214886965</v>
      </c>
      <c r="L7">
        <f>J7-M7</f>
        <v>2913.391797953301</v>
      </c>
      <c r="M7">
        <f>K7*$K$23</f>
        <v>1.1982020466991343</v>
      </c>
      <c r="N7">
        <v>3864.23</v>
      </c>
      <c r="O7">
        <v>3882.9</v>
      </c>
      <c r="P7">
        <f>O7-N7</f>
        <v>18.670000000000073</v>
      </c>
      <c r="Q7">
        <f>J7*N7</f>
        <v>11262646.1157</v>
      </c>
      <c r="R7">
        <f>L7*O7</f>
        <v>11312409.012272874</v>
      </c>
      <c r="S7">
        <f>R7-Q7</f>
        <v>49762.896572872996</v>
      </c>
      <c r="T7" t="str">
        <f>IF(O7&lt;= N7,"No Monetizar","Monetizar")</f>
        <v>Monetizar</v>
      </c>
      <c r="W7" t="str">
        <v>Remofirst BGB Comunications Factura # 4824</v>
      </c>
    </row>
    <row r="8">
      <c r="B8">
        <v>6</v>
      </c>
      <c r="C8" t="str">
        <v xml:space="preserve">Remofirst Hypatos </v>
      </c>
      <c r="D8">
        <v>4835</v>
      </c>
      <c r="E8">
        <v>45443</v>
      </c>
      <c r="F8">
        <v>45503</v>
      </c>
      <c r="G8">
        <f>F8-E8</f>
        <v>60</v>
      </c>
      <c r="H8">
        <f>IFERROR(IF(TODAY()&gt;=E8,(TODAY()-E8)/G8,0),0)</f>
        <v>11.3</v>
      </c>
      <c r="I8">
        <v>1</v>
      </c>
      <c r="J8">
        <v>3873.2</v>
      </c>
      <c r="K8">
        <f>J8/$J$23</f>
        <v>0.035384250098642316</v>
      </c>
      <c r="L8">
        <f>J8-M8</f>
        <v>3871.607708745561</v>
      </c>
      <c r="M8">
        <f>K8*$K$23</f>
        <v>1.5922912544389043</v>
      </c>
      <c r="N8">
        <v>3864.23</v>
      </c>
      <c r="O8">
        <v>3882.9</v>
      </c>
      <c r="P8">
        <f>O8-N8</f>
        <v>18.670000000000073</v>
      </c>
      <c r="Q8">
        <f>J8*N8</f>
        <v>14966935.636</v>
      </c>
      <c r="R8">
        <f>L8*O8</f>
        <v>15033065.572288139</v>
      </c>
      <c r="S8">
        <f>R8-Q8</f>
        <v>66129.93628813885</v>
      </c>
      <c r="T8" t="str">
        <f>IF(O8&lt;= N8,"No Monetizar","Monetizar")</f>
        <v>Monetizar</v>
      </c>
      <c r="W8" t="str">
        <v>Remofirst Hypatos  Factura # 4835</v>
      </c>
    </row>
    <row r="9">
      <c r="B9">
        <v>7</v>
      </c>
      <c r="C9" t="str">
        <v xml:space="preserve">Remofirst R&amp;R Windows </v>
      </c>
      <c r="D9">
        <v>4825</v>
      </c>
      <c r="E9">
        <v>45443</v>
      </c>
      <c r="F9">
        <v>45503</v>
      </c>
      <c r="G9">
        <f>F9-E9</f>
        <v>60</v>
      </c>
      <c r="H9">
        <f>IFERROR(IF(TODAY()&gt;=E9,(TODAY()-E9)/G9,0),0)</f>
        <v>11.3</v>
      </c>
      <c r="I9">
        <v>1</v>
      </c>
      <c r="J9">
        <v>7033.16</v>
      </c>
      <c r="K9">
        <f>J9/$J$23</f>
        <v>0.06425257988840422</v>
      </c>
      <c r="L9">
        <f>J9-M9</f>
        <v>7030.2686339050215</v>
      </c>
      <c r="M9">
        <f>K9*$K$23</f>
        <v>2.89136609497819</v>
      </c>
      <c r="N9">
        <v>3864.23</v>
      </c>
      <c r="O9">
        <v>3882.9</v>
      </c>
      <c r="P9">
        <f>O9-N9</f>
        <v>18.670000000000073</v>
      </c>
      <c r="Q9">
        <f>J9*N9</f>
        <v>27177747.8668</v>
      </c>
      <c r="R9">
        <f>L9*O9</f>
        <v>27297830.07858981</v>
      </c>
      <c r="S9">
        <f>R9-Q9</f>
        <v>120082.21178980917</v>
      </c>
      <c r="T9" t="str">
        <f>IF(O9&lt;= N9,"No Monetizar","Monetizar")</f>
        <v>Monetizar</v>
      </c>
      <c r="W9" t="str">
        <v>Remofirst R&amp;R Windows  Factura # 4825</v>
      </c>
    </row>
    <row r="10">
      <c r="B10">
        <v>8</v>
      </c>
      <c r="C10" t="str">
        <v>Remofirst Velo3D</v>
      </c>
      <c r="D10">
        <v>4826</v>
      </c>
      <c r="E10">
        <v>45443</v>
      </c>
      <c r="F10">
        <v>45503</v>
      </c>
      <c r="G10">
        <f>F10-E10</f>
        <v>60</v>
      </c>
      <c r="H10">
        <f>IFERROR(IF(TODAY()&gt;=E10,(TODAY()-E10)/G10,0),0)</f>
        <v>11.3</v>
      </c>
      <c r="I10">
        <v>1</v>
      </c>
      <c r="J10">
        <v>3625.59</v>
      </c>
      <c r="K10">
        <f>J10/$J$23</f>
        <v>0.033122168572533466</v>
      </c>
      <c r="L10">
        <f>J10-M10</f>
        <v>3624.099502414236</v>
      </c>
      <c r="M10">
        <f>K10*$K$23</f>
        <v>1.490497585764006</v>
      </c>
      <c r="N10">
        <v>3864.23</v>
      </c>
      <c r="O10">
        <v>3882.9</v>
      </c>
      <c r="P10">
        <f>O10-N10</f>
        <v>18.670000000000073</v>
      </c>
      <c r="Q10">
        <f>J10*N10</f>
        <v>14010113.6457</v>
      </c>
      <c r="R10">
        <f>L10*O10</f>
        <v>14072015.957924237</v>
      </c>
      <c r="S10">
        <f>R10-Q10</f>
        <v>61902.31222423725</v>
      </c>
      <c r="T10" t="str">
        <f>IF(O10&lt;= N10,"No Monetizar","Monetizar")</f>
        <v>Monetizar</v>
      </c>
      <c r="W10" t="str">
        <v>Remofirst Velo3D Factura # 4826</v>
      </c>
    </row>
    <row r="11">
      <c r="B11">
        <v>9</v>
      </c>
      <c r="C11" t="str">
        <v>Remofirst Starlight Software Solutions</v>
      </c>
      <c r="D11">
        <v>4827</v>
      </c>
      <c r="E11">
        <v>45443</v>
      </c>
      <c r="F11">
        <v>45503</v>
      </c>
      <c r="G11">
        <f>F11-E11</f>
        <v>60</v>
      </c>
      <c r="H11">
        <f>IFERROR(IF(TODAY()&gt;=E11,(TODAY()-E11)/G11,0),0)</f>
        <v>11.3</v>
      </c>
      <c r="I11">
        <v>1</v>
      </c>
      <c r="J11">
        <v>5792.08</v>
      </c>
      <c r="K11">
        <f>J11/$J$23</f>
        <v>0.05291449119883926</v>
      </c>
      <c r="L11">
        <f>J11-M11</f>
        <v>5789.698847896052</v>
      </c>
      <c r="M11">
        <f>K11*$K$23</f>
        <v>2.3811521039477666</v>
      </c>
      <c r="N11">
        <v>3864.23</v>
      </c>
      <c r="O11">
        <v>3882.9</v>
      </c>
      <c r="P11">
        <f>O11-N11</f>
        <v>18.670000000000073</v>
      </c>
      <c r="Q11">
        <f>J11*N11</f>
        <v>22381929.2984</v>
      </c>
      <c r="R11">
        <f>L11*O11</f>
        <v>22480821.656495582</v>
      </c>
      <c r="S11">
        <f>R11-Q11</f>
        <v>98892.35809558257</v>
      </c>
      <c r="T11" t="str">
        <f>IF(O11&lt;= N11,"No Monetizar","Monetizar")</f>
        <v>Monetizar</v>
      </c>
      <c r="W11" t="str">
        <v>Remofirst Starlight Software Solutions Factura # 4827</v>
      </c>
    </row>
    <row r="12">
      <c r="B12">
        <v>10</v>
      </c>
      <c r="C12" t="str">
        <v xml:space="preserve">Remofirst One firefly </v>
      </c>
      <c r="D12">
        <v>4828</v>
      </c>
      <c r="E12">
        <v>45443</v>
      </c>
      <c r="F12">
        <v>45503</v>
      </c>
      <c r="G12">
        <f>F12-E12</f>
        <v>60</v>
      </c>
      <c r="H12">
        <f>IFERROR(IF(TODAY()&gt;=E12,(TODAY()-E12)/G12,0),0)</f>
        <v>11.3</v>
      </c>
      <c r="I12">
        <v>1</v>
      </c>
      <c r="J12">
        <v>2779.9500000000003</v>
      </c>
      <c r="K12">
        <f>J12/$J$23</f>
        <v>0.02539668647674293</v>
      </c>
      <c r="L12">
        <f>J12-M12</f>
        <v>2778.807149108547</v>
      </c>
      <c r="M12">
        <f>K12*$K$23</f>
        <v>1.1428508914534319</v>
      </c>
      <c r="N12">
        <v>3864.23</v>
      </c>
      <c r="O12">
        <v>3882.9</v>
      </c>
      <c r="P12">
        <f>O12-N12</f>
        <v>18.670000000000073</v>
      </c>
      <c r="Q12">
        <f>J12*N12</f>
        <v>10742366.188500002</v>
      </c>
      <c r="R12">
        <f>L12*O12</f>
        <v>10789830.279273577</v>
      </c>
      <c r="S12">
        <f>R12-Q12</f>
        <v>47464.09077357501</v>
      </c>
      <c r="T12" t="str">
        <f>IF(O12&lt;= N12,"No Monetizar","Monetizar")</f>
        <v>Monetizar</v>
      </c>
      <c r="W12" t="str">
        <v>Remofirst One firefly  Factura # 4828</v>
      </c>
    </row>
    <row r="13">
      <c r="B13">
        <v>11</v>
      </c>
      <c r="C13" t="str">
        <v>Remofirst Search Wizards</v>
      </c>
      <c r="D13">
        <v>4829</v>
      </c>
      <c r="E13">
        <v>45443</v>
      </c>
      <c r="F13">
        <v>45503</v>
      </c>
      <c r="G13">
        <f>F13-E13</f>
        <v>60</v>
      </c>
      <c r="H13">
        <f>IFERROR(IF(TODAY()&gt;=E13,(TODAY()-E13)/G13,0),0)</f>
        <v>11.3</v>
      </c>
      <c r="I13">
        <v>1</v>
      </c>
      <c r="J13">
        <v>1838.6499999999999</v>
      </c>
      <c r="K13">
        <f>J13/$J$23</f>
        <v>0.016797286854246796</v>
      </c>
      <c r="L13">
        <f>J13-M13</f>
        <v>1837.8941220915588</v>
      </c>
      <c r="M13">
        <f>K13*$K$23</f>
        <v>0.7558779084411058</v>
      </c>
      <c r="N13">
        <v>3864.23</v>
      </c>
      <c r="O13">
        <v>3882.9</v>
      </c>
      <c r="P13">
        <f>O13-N13</f>
        <v>18.670000000000073</v>
      </c>
      <c r="Q13">
        <f>J13*N13</f>
        <v>7104966.489499999</v>
      </c>
      <c r="R13">
        <f>L13*O13</f>
        <v>7136359.086669314</v>
      </c>
      <c r="S13">
        <f>R13-Q13</f>
        <v>31392.59716931451</v>
      </c>
      <c r="T13" t="str">
        <f>IF(O13&lt;= N13,"No Monetizar","Monetizar")</f>
        <v>Monetizar</v>
      </c>
      <c r="W13" t="str">
        <v>Remofirst Search Wizards Factura # 4829</v>
      </c>
    </row>
    <row r="14">
      <c r="B14">
        <v>12</v>
      </c>
      <c r="C14" t="str">
        <v>Remofirst Search Insighful</v>
      </c>
      <c r="D14">
        <v>4830</v>
      </c>
      <c r="E14">
        <v>45443</v>
      </c>
      <c r="F14">
        <v>45503</v>
      </c>
      <c r="G14">
        <f>F14-E14</f>
        <v>60</v>
      </c>
      <c r="H14">
        <f>IFERROR(IF(TODAY()&gt;=E14,(TODAY()-E14)/G14,0),0)</f>
        <v>11.3</v>
      </c>
      <c r="I14">
        <v>1</v>
      </c>
      <c r="J14">
        <v>19928.19</v>
      </c>
      <c r="K14">
        <f>J14/$J$23</f>
        <v>0.18205722889942758</v>
      </c>
      <c r="L14">
        <f>J14-M14</f>
        <v>19919.997424699526</v>
      </c>
      <c r="M14">
        <f>K14*$K$23</f>
        <v>8.19257530047424</v>
      </c>
      <c r="N14">
        <v>3864.23</v>
      </c>
      <c r="O14">
        <v>3882.9</v>
      </c>
      <c r="P14">
        <f>O14-N14</f>
        <v>18.670000000000073</v>
      </c>
      <c r="Q14">
        <f>J14*N14</f>
        <v>77007109.64369999</v>
      </c>
      <c r="R14">
        <f>L14*O14</f>
        <v>77347358.0003658</v>
      </c>
      <c r="S14">
        <f>R14-Q14</f>
        <v>340248.356665805</v>
      </c>
      <c r="T14" t="str">
        <f>IF(O14&lt;= N14,"No Monetizar","Monetizar")</f>
        <v>Monetizar</v>
      </c>
      <c r="W14" t="str">
        <v>Remofirst Search Insighful Factura # 4830</v>
      </c>
    </row>
    <row r="15">
      <c r="B15">
        <v>13</v>
      </c>
      <c r="C15" t="str">
        <v>Remofirst Search Wise Butterfly</v>
      </c>
      <c r="D15">
        <v>4831</v>
      </c>
      <c r="E15">
        <v>45443</v>
      </c>
      <c r="F15">
        <v>45503</v>
      </c>
      <c r="G15">
        <f>F15-E15</f>
        <v>60</v>
      </c>
      <c r="H15">
        <f>IFERROR(IF(TODAY()&gt;=E15,(TODAY()-E15)/G15,0),0)</f>
        <v>11.3</v>
      </c>
      <c r="I15">
        <v>1</v>
      </c>
      <c r="J15">
        <v>1774.1</v>
      </c>
      <c r="K15">
        <f>J15/$J$23</f>
        <v>0.016207579804812904</v>
      </c>
      <c r="L15">
        <f>J15-M15</f>
        <v>1773.3706589087833</v>
      </c>
      <c r="M15">
        <f>K15*$K$23</f>
        <v>0.7293410912165806</v>
      </c>
      <c r="N15">
        <v>3864.23</v>
      </c>
      <c r="O15">
        <v>3882.9</v>
      </c>
      <c r="P15">
        <f>O15-N15</f>
        <v>18.670000000000073</v>
      </c>
      <c r="Q15">
        <f>J15*N15</f>
        <v>6855530.443</v>
      </c>
      <c r="R15">
        <f>L15*O15</f>
        <v>6885820.931476915</v>
      </c>
      <c r="S15">
        <f>R15-Q15</f>
        <v>30290.488476915285</v>
      </c>
      <c r="T15" t="str">
        <f>IF(O15&lt;= N15,"No Monetizar","Monetizar")</f>
        <v>Monetizar</v>
      </c>
      <c r="W15" t="str">
        <v>Remofirst Search Wise Butterfly Factura # 4831</v>
      </c>
    </row>
    <row r="16">
      <c r="B16">
        <v>14</v>
      </c>
      <c r="C16" t="str">
        <v>Remofirst Coop Edgar</v>
      </c>
      <c r="D16">
        <v>4832</v>
      </c>
      <c r="E16">
        <v>45443</v>
      </c>
      <c r="F16">
        <v>45503</v>
      </c>
      <c r="G16">
        <f>F16-E16</f>
        <v>60</v>
      </c>
      <c r="H16">
        <f>IFERROR(IF(TODAY()&gt;=E16,(TODAY()-E16)/G16,0),0)</f>
        <v>11.3</v>
      </c>
      <c r="I16">
        <v>1</v>
      </c>
      <c r="J16">
        <v>4054.74</v>
      </c>
      <c r="K16">
        <f>J16/$J$23</f>
        <v>0.03704273836749172</v>
      </c>
      <c r="L16">
        <f>J16-M16</f>
        <v>4053.0730767734626</v>
      </c>
      <c r="M16">
        <f>K16*$K$23</f>
        <v>1.6669232265371274</v>
      </c>
      <c r="N16">
        <v>3864.23</v>
      </c>
      <c r="O16">
        <v>3882.9</v>
      </c>
      <c r="P16">
        <f>O16-N16</f>
        <v>18.670000000000073</v>
      </c>
      <c r="Q16">
        <f>J16*N16</f>
        <v>15668447.950199999</v>
      </c>
      <c r="R16">
        <f>L16*O16</f>
        <v>15737677.449803678</v>
      </c>
      <c r="S16">
        <f>R16-Q16</f>
        <v>69229.4996036794</v>
      </c>
      <c r="T16" t="str">
        <f>IF(O16&lt;= N16,"No Monetizar","Monetizar")</f>
        <v>Monetizar</v>
      </c>
      <c r="W16" t="str">
        <v>Remofirst Coop Edgar Factura # 4832</v>
      </c>
    </row>
    <row r="17">
      <c r="B17">
        <v>15</v>
      </c>
      <c r="C17" t="str">
        <v>Remofirst Search AMG Global Distribution</v>
      </c>
      <c r="D17">
        <v>4833</v>
      </c>
      <c r="E17">
        <v>45443</v>
      </c>
      <c r="F17">
        <v>45503</v>
      </c>
      <c r="G17">
        <f>F17-E17</f>
        <v>60</v>
      </c>
      <c r="H17">
        <f>IFERROR(IF(TODAY()&gt;=E17,(TODAY()-E17)/G17,0),0)</f>
        <v>11.3</v>
      </c>
      <c r="I17">
        <v>1</v>
      </c>
      <c r="J17">
        <f>16965.69</f>
        <v>16965.69</v>
      </c>
      <c r="K17">
        <f>J17/$J$23</f>
        <v>0.15499282713416168</v>
      </c>
      <c r="L17">
        <f>J17-M17</f>
        <v>16958.71532277896</v>
      </c>
      <c r="M17">
        <f>K17*$K$23</f>
        <v>6.974677221037275</v>
      </c>
      <c r="N17">
        <v>3864.23</v>
      </c>
      <c r="O17">
        <v>3882.9</v>
      </c>
      <c r="P17">
        <f>O17-N17</f>
        <v>18.670000000000073</v>
      </c>
      <c r="Q17">
        <f>J17*N17</f>
        <v>65559328.268699996</v>
      </c>
      <c r="R17">
        <f>L17*O17</f>
        <v>65848995.72681843</v>
      </c>
      <c r="S17">
        <f>R17-Q17</f>
        <v>289667.45811843127</v>
      </c>
      <c r="T17" t="str">
        <f>IF(O17&lt;= N17,"No Monetizar","Monetizar")</f>
        <v>Monetizar</v>
      </c>
      <c r="W17" t="str">
        <v>Remofirst Search AMG Global Distribution Factura # 4833</v>
      </c>
    </row>
    <row r="18">
      <c r="B18">
        <v>16</v>
      </c>
      <c r="C18" t="str">
        <v>Remofirst Search Carbon better</v>
      </c>
      <c r="D18">
        <v>4834</v>
      </c>
      <c r="E18">
        <v>45443</v>
      </c>
      <c r="F18">
        <v>45503</v>
      </c>
      <c r="G18">
        <f>F18-E18</f>
        <v>60</v>
      </c>
      <c r="H18">
        <f>IFERROR(IF(TODAY()&gt;=E18,(TODAY()-E18)/G18,0),0)</f>
        <v>11.3</v>
      </c>
      <c r="I18">
        <v>1</v>
      </c>
      <c r="J18">
        <f>1712.33</f>
        <v>1712.33</v>
      </c>
      <c r="K18">
        <f>J18/$J$23</f>
        <v>0.015643269898638904</v>
      </c>
      <c r="L18">
        <f>J18-M18</f>
        <v>1711.626052854561</v>
      </c>
      <c r="M18">
        <f>K18*$K$23</f>
        <v>0.7039471454387507</v>
      </c>
      <c r="N18">
        <v>3864.23</v>
      </c>
      <c r="O18">
        <v>3882.9</v>
      </c>
      <c r="P18">
        <f>O18-N18</f>
        <v>18.670000000000073</v>
      </c>
      <c r="Q18">
        <f>J18*N18</f>
        <v>6616836.9558999995</v>
      </c>
      <c r="R18">
        <f>L18*O18</f>
        <v>6646072.800628975</v>
      </c>
      <c r="S18">
        <f>R18-Q18</f>
        <v>29235.844728975557</v>
      </c>
      <c r="T18" t="str">
        <f>IF(O18&lt;= N18,"No Monetizar","Monetizar")</f>
        <v>Monetizar</v>
      </c>
      <c r="W18" t="str">
        <v>Remofirst Search Carbon better Factura # 4834</v>
      </c>
    </row>
    <row r="19">
      <c r="B19">
        <v>17</v>
      </c>
      <c r="C19" t="str">
        <v xml:space="preserve">Remofirst CPaT Global LLC </v>
      </c>
      <c r="D19">
        <v>4879</v>
      </c>
      <c r="E19">
        <v>45443</v>
      </c>
      <c r="F19">
        <v>45503</v>
      </c>
      <c r="G19">
        <f>F19-E19</f>
        <v>60</v>
      </c>
      <c r="H19">
        <f>IFERROR(IF(TODAY()&gt;=E19,(TODAY()-E19)/G19,0),0)</f>
        <v>11.3</v>
      </c>
      <c r="J19">
        <v>4772</v>
      </c>
      <c r="K19">
        <f>J19/$J$23</f>
        <v>0.043595384041805525</v>
      </c>
      <c r="L19">
        <f>J19-M19</f>
        <v>4770.038207718118</v>
      </c>
      <c r="M19">
        <f>K19*$K$23</f>
        <v>1.9617922818812485</v>
      </c>
      <c r="N19">
        <v>3864.23</v>
      </c>
      <c r="O19">
        <v>3882.9</v>
      </c>
      <c r="P19">
        <f>O19-N19</f>
        <v>18.670000000000073</v>
      </c>
      <c r="Q19">
        <f>J19*N19</f>
        <v>18440105.56</v>
      </c>
      <c r="R19">
        <f>L19*O19</f>
        <v>18521581.35674868</v>
      </c>
      <c r="S19">
        <f>R19-Q19</f>
        <v>81475.79674868286</v>
      </c>
      <c r="T19" t="str">
        <f>IF(O19&lt;= N19,"No Monetizar","Monetizar")</f>
        <v>Monetizar</v>
      </c>
      <c r="W19" t="str">
        <v>Remofirst CPaT Global LLC  Factura # 4879</v>
      </c>
    </row>
    <row r="20">
      <c r="B20">
        <v>18</v>
      </c>
      <c r="C20" t="str">
        <v xml:space="preserve">Remofirst CPaT Global LLC </v>
      </c>
      <c r="D20">
        <v>4880</v>
      </c>
      <c r="E20">
        <v>45443</v>
      </c>
      <c r="F20">
        <v>45503</v>
      </c>
      <c r="G20">
        <f>F20-E20</f>
        <v>60</v>
      </c>
      <c r="H20">
        <f>IFERROR(IF(TODAY()&gt;=E20,(TODAY()-E20)/G20,0),0)</f>
        <v>11.3</v>
      </c>
      <c r="J20">
        <v>3016.51</v>
      </c>
      <c r="K20">
        <f>J20/$J$23</f>
        <v>0.027557818926225226</v>
      </c>
      <c r="L20">
        <f>J20-M20</f>
        <v>3015.26989814832</v>
      </c>
      <c r="M20">
        <f>K20*$K$23</f>
        <v>1.2401018516801352</v>
      </c>
      <c r="N20">
        <v>3864.23</v>
      </c>
      <c r="O20">
        <v>3882.9</v>
      </c>
      <c r="P20">
        <f>O20-N20</f>
        <v>18.670000000000073</v>
      </c>
      <c r="Q20">
        <f>J20*N20</f>
        <v>11656488.4373</v>
      </c>
      <c r="R20">
        <f>L20*O20</f>
        <v>11707991.487520112</v>
      </c>
      <c r="S20">
        <f>R20-Q20</f>
        <v>51503.050220111385</v>
      </c>
      <c r="T20" t="str">
        <f>IF(O20&lt;= N20,"No Monetizar","Monetizar")</f>
        <v>Monetizar</v>
      </c>
      <c r="W20" t="str">
        <v>Remofirst CPaT Global LLC  Factura # 4880</v>
      </c>
    </row>
    <row r="21">
      <c r="B21" t="str">
        <v>TOTAL</v>
      </c>
      <c r="J21">
        <f>SUM(J3:J20)</f>
        <v>109461.13</v>
      </c>
      <c r="L21">
        <f>SUM(L3:L20)</f>
        <v>109416.13</v>
      </c>
      <c r="M21">
        <f>SUM(M3:M20)</f>
        <v>45.00000000000001</v>
      </c>
      <c r="Q21">
        <f>SUM(Q3:Q20)</f>
        <v>422982982.3799001</v>
      </c>
      <c r="R21">
        <f>SUM(R3:R20)</f>
        <v>424851891.177</v>
      </c>
      <c r="S21">
        <f>SUM(S3:S20)</f>
        <v>1868908.7971000131</v>
      </c>
      <c r="T21">
        <f>S21/Q21</f>
        <v>0.0044184018623743635</v>
      </c>
    </row>
    <row r="23">
      <c r="H23" t="str">
        <v>Remotefirst</v>
      </c>
      <c r="J23">
        <f>SUM(J3:J20)</f>
        <v>109461.13</v>
      </c>
      <c r="K23">
        <v>45</v>
      </c>
    </row>
    <row r="26">
      <c r="J26" t="str">
        <v>Diferencia Cambio</v>
      </c>
    </row>
    <row r="28">
      <c r="J28" t="str">
        <v>Diferencia en cambio ( Ingreso)</v>
      </c>
      <c r="M28" t="e">
        <f>#REF!+#REF!+#REF!</f>
        <v>#REF!</v>
      </c>
    </row>
    <row r="29">
      <c r="J29" t="str">
        <v>Diferencia en cambio ( Gasto)</v>
      </c>
      <c r="M29">
        <f>S21+'MONETIZACIONES PEND'!S23</f>
        <v>-43667954.26639997</v>
      </c>
    </row>
    <row r="30">
      <c r="J30" t="str">
        <v>Balanza</v>
      </c>
      <c r="M30" t="e">
        <f>SUM(M28:M29)</f>
        <v>#REF!</v>
      </c>
    </row>
  </sheetData>
  <mergeCells count="1">
    <mergeCell ref="B21:H21"/>
  </mergeCells>
  <pageMargins left="0.7" right="0.7" top="0.75" bottom="0.75" header="0.3" footer="0.3"/>
  <ignoredErrors>
    <ignoredError numberStoredAsText="1" sqref="B1:AF3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16.0300</AppVersion>
  <Company>Hewlett-Packard Company</Company>
  <DocSecurity>0</DocSecurity>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Festivos Colombia</vt:lpstr>
      <vt:lpstr>DICIEMBRE</vt:lpstr>
      <vt:lpstr>ENERO</vt:lpstr>
      <vt:lpstr>FEBRERO</vt:lpstr>
      <vt:lpstr>MARZO</vt:lpstr>
      <vt:lpstr>ABRIL</vt:lpstr>
      <vt:lpstr>DISTRIBUCIÓN</vt:lpstr>
      <vt:lpstr>MONETIZACIONES PEND</vt:lpstr>
      <vt:lpstr>DISTRIBUCIÓN (2)</vt:lpstr>
      <vt:lpstr>Balanza DF</vt:lpstr>
      <vt:lpstr>Hoja2</vt:lpstr>
      <vt:lpstr>Análisis</vt:lpstr>
      <vt:lpstr>Hoja1</vt:lpstr>
      <vt:lpstr>Proyectado Moneti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2016-04-11T14:48:28Z</dcterms:created>
  <dcterms:modified xsi:type="dcterms:W3CDTF">2026-04-09T22:18:38Z</dcterms:modified>
  <cp:lastModifiedBy>Alfonso Fonseca</cp:lastModifiedBy>
  <cp:lastPrinted>2026-02-12T17:22:47Z</cp:lastPrinted>
  <dc:creator>Sergio Romero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0x0101002E526ECBB2595046A1C872549E0FCC00</vt:lpwstr>
  </property>
</Properties>
</file>