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oy86\Documents\MyCourses\Fall-2020\CEE6636- Traffic Flow Theory\HW1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" i="1" l="1"/>
  <c r="K27" i="1"/>
  <c r="L27" i="1"/>
  <c r="M27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K18" i="1"/>
  <c r="L18" i="1"/>
  <c r="M18" i="1"/>
  <c r="J18" i="1"/>
  <c r="R11" i="1"/>
  <c r="F5" i="1" l="1"/>
  <c r="F6" i="1"/>
  <c r="F7" i="1"/>
  <c r="F8" i="1"/>
  <c r="F9" i="1"/>
  <c r="F10" i="1"/>
  <c r="F11" i="1"/>
  <c r="F12" i="1"/>
  <c r="F13" i="1"/>
  <c r="F4" i="1"/>
  <c r="N19" i="1"/>
  <c r="G5" i="1" s="1"/>
  <c r="N21" i="1"/>
  <c r="G7" i="1" s="1"/>
  <c r="N23" i="1"/>
  <c r="G9" i="1" s="1"/>
  <c r="N14" i="1"/>
  <c r="R5" i="1"/>
  <c r="V5" i="1" s="1"/>
  <c r="R6" i="1"/>
  <c r="V6" i="1" s="1"/>
  <c r="R7" i="1"/>
  <c r="V7" i="1" s="1"/>
  <c r="R8" i="1"/>
  <c r="V8" i="1" s="1"/>
  <c r="R9" i="1"/>
  <c r="V9" i="1" s="1"/>
  <c r="R10" i="1"/>
  <c r="V10" i="1" s="1"/>
  <c r="V11" i="1"/>
  <c r="R12" i="1"/>
  <c r="V12" i="1" s="1"/>
  <c r="R13" i="1"/>
  <c r="V13" i="1" s="1"/>
  <c r="R4" i="1"/>
  <c r="V4" i="1" s="1"/>
  <c r="V14" i="1" l="1"/>
  <c r="W9" i="1"/>
  <c r="W7" i="1"/>
  <c r="W5" i="1"/>
  <c r="N18" i="1"/>
  <c r="G4" i="1" s="1"/>
  <c r="N24" i="1"/>
  <c r="G10" i="1" s="1"/>
  <c r="N22" i="1"/>
  <c r="W8" i="1" s="1"/>
  <c r="F14" i="1"/>
  <c r="N26" i="1"/>
  <c r="G12" i="1" s="1"/>
  <c r="N20" i="1"/>
  <c r="G6" i="1" s="1"/>
  <c r="N27" i="1"/>
  <c r="G13" i="1" s="1"/>
  <c r="N25" i="1"/>
  <c r="G11" i="1" s="1"/>
  <c r="W10" i="1" l="1"/>
  <c r="W4" i="1"/>
  <c r="W13" i="1"/>
  <c r="W11" i="1"/>
  <c r="W12" i="1"/>
  <c r="G8" i="1"/>
  <c r="W6" i="1"/>
  <c r="N28" i="1"/>
  <c r="G14" i="1" s="1"/>
  <c r="W14" i="1" l="1"/>
</calcChain>
</file>

<file path=xl/sharedStrings.xml><?xml version="1.0" encoding="utf-8"?>
<sst xmlns="http://schemas.openxmlformats.org/spreadsheetml/2006/main" count="33" uniqueCount="18">
  <si>
    <t>SPEED - mi\hr</t>
  </si>
  <si>
    <t>FLOW - veh in 15 min</t>
  </si>
  <si>
    <t>time Interval</t>
  </si>
  <si>
    <t>lane 1</t>
  </si>
  <si>
    <t>lane 2</t>
  </si>
  <si>
    <t>lane 3</t>
  </si>
  <si>
    <t>lane 4</t>
  </si>
  <si>
    <t>q</t>
  </si>
  <si>
    <t>OCCUPANCY - veh in 15 min</t>
  </si>
  <si>
    <t>DENSITY- veh in 15 min</t>
  </si>
  <si>
    <t>k</t>
  </si>
  <si>
    <t>tms</t>
  </si>
  <si>
    <t>sms</t>
  </si>
  <si>
    <t>tmvo</t>
  </si>
  <si>
    <t>smvo</t>
  </si>
  <si>
    <t>1.9. (a)</t>
  </si>
  <si>
    <t>1.9. (b)</t>
  </si>
  <si>
    <r>
      <t xml:space="preserve">1.9. (c) The discrepancies in the two values: </t>
    </r>
    <r>
      <rPr>
        <sz val="11"/>
        <color theme="1"/>
        <rFont val="Calibri"/>
        <family val="2"/>
        <scheme val="minor"/>
      </rPr>
      <t>Space-means values are less than time-mean for both speed and vehicle occupancy. Generally harmonic means are less than arithmetic means, so that explains it.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</si>
</sst>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/>
    <xf numFmtId="0" fontId="0" fillId="2" borderId="0" xfId="0" applyFill="1"/>
    <xf numFmtId="1" fontId="0" fillId="2" borderId="0" xfId="0" applyNumberFormat="1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9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9" displayName="Table19" ref="A3:G14" totalsRowCount="1" dataDxfId="48">
  <autoFilter ref="A3:G13"/>
  <tableColumns count="7">
    <tableColumn id="1" name="time Interval" dataDxfId="47" totalsRowDxfId="46"/>
    <tableColumn id="2" name="lane 1" dataDxfId="45" totalsRowDxfId="44"/>
    <tableColumn id="3" name="lane 2" dataDxfId="43" totalsRowDxfId="42"/>
    <tableColumn id="4" name="lane 3" dataDxfId="41" totalsRowDxfId="40"/>
    <tableColumn id="5" name="lane 4" dataDxfId="39" totalsRowDxfId="38"/>
    <tableColumn id="6" name="tms" totalsRowFunction="custom" dataDxfId="37" totalsRowDxfId="36">
      <calculatedColumnFormula>SUMPRODUCT(Table19[[#This Row],[lane 1]:[lane 4]],Table1310[[#This Row],[lane 1]:[lane 4]])/Table1310[[#This Row],[q]]</calculatedColumnFormula>
      <totalsRowFormula>SUMPRODUCT(Table19[tms],Table1310[q])/Table1310[[#Totals],[q]]</totalsRowFormula>
    </tableColumn>
    <tableColumn id="7" name="sms" totalsRowFunction="custom" dataDxfId="35" totalsRowDxfId="34">
      <calculatedColumnFormula>SUMPRODUCT(J18:M18, Table19[[#This Row],[lane 1]:[lane 4]])/N18</calculatedColumnFormula>
      <totalsRowFormula>SUMPRODUCT(Table19[sms],Table13105[k])/N28</totalsRow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10" displayName="Table1310" ref="I3:N14" totalsRowCount="1" dataDxfId="33">
  <autoFilter ref="I3:N13"/>
  <tableColumns count="6">
    <tableColumn id="1" name="time Interval" dataDxfId="32" totalsRowDxfId="12"/>
    <tableColumn id="2" name="lane 1" dataDxfId="31" totalsRowDxfId="11"/>
    <tableColumn id="3" name="lane 2" dataDxfId="30" totalsRowDxfId="10"/>
    <tableColumn id="4" name="lane 3" dataDxfId="29" totalsRowDxfId="9"/>
    <tableColumn id="5" name="lane 4" dataDxfId="28" totalsRowDxfId="8"/>
    <tableColumn id="6" name="q" totalsRowFunction="custom" dataDxfId="27" totalsRowDxfId="7">
      <totalsRowFormula>SUM(Table1310[q])</totalsRow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194" displayName="Table194" ref="Q3:W13" totalsRowShown="0" dataDxfId="26">
  <autoFilter ref="Q3:W13"/>
  <tableColumns count="7">
    <tableColumn id="1" name="time Interval" dataDxfId="25"/>
    <tableColumn id="2" name="lane 1" dataDxfId="24">
      <calculatedColumnFormula>_xlfn.NORM.INV(RAND(), 3, 3*0.2)</calculatedColumnFormula>
    </tableColumn>
    <tableColumn id="3" name="lane 2" dataDxfId="23"/>
    <tableColumn id="4" name="lane 3" dataDxfId="22"/>
    <tableColumn id="5" name="lane 4" dataDxfId="21"/>
    <tableColumn id="6" name="tmvo" dataDxfId="20">
      <calculatedColumnFormula>SUMPRODUCT(Table194[[#This Row],[lane 1]:[lane 4]],Table1310[[#This Row],[lane 1]:[lane 4]])/Table1310[[#This Row],[q]]</calculatedColumnFormula>
    </tableColumn>
    <tableColumn id="7" name="smvo" dataDxfId="19">
      <calculatedColumnFormula>SUMPRODUCT(Table194[[#This Row],[lane 1]:[lane 4]],J18:M18)/N18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13105" displayName="Table13105" ref="I17:N28" totalsRowCount="1" dataDxfId="18">
  <autoFilter ref="I17:N27"/>
  <tableColumns count="6">
    <tableColumn id="1" name="time Interval" dataDxfId="17" totalsRowDxfId="5"/>
    <tableColumn id="2" name="lane 1" dataDxfId="6" totalsRowDxfId="4">
      <calculatedColumnFormula>J4/B4</calculatedColumnFormula>
    </tableColumn>
    <tableColumn id="3" name="lane 2" dataDxfId="16" totalsRowDxfId="3">
      <calculatedColumnFormula>$N4/C4</calculatedColumnFormula>
    </tableColumn>
    <tableColumn id="4" name="lane 3" dataDxfId="15" totalsRowDxfId="2">
      <calculatedColumnFormula>$N4/D4</calculatedColumnFormula>
    </tableColumn>
    <tableColumn id="5" name="lane 4" dataDxfId="14" totalsRowDxfId="1">
      <calculatedColumnFormula>$N4/E4</calculatedColumnFormula>
    </tableColumn>
    <tableColumn id="6" name="k" totalsRowFunction="custom" dataDxfId="13" totalsRowDxfId="0">
      <calculatedColumnFormula>SUM(Table13105[[#This Row],[lane 1]:[lane 4]])</calculatedColumnFormula>
      <totalsRowFormula>SUM(Table13105[k])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workbookViewId="0">
      <selection activeCell="E27" sqref="E27"/>
    </sheetView>
  </sheetViews>
  <sheetFormatPr defaultRowHeight="14.4" x14ac:dyDescent="0.3"/>
  <sheetData>
    <row r="1" spans="1:23" x14ac:dyDescent="0.3">
      <c r="A1" s="11" t="s">
        <v>0</v>
      </c>
      <c r="B1" s="11"/>
      <c r="C1" s="11"/>
      <c r="D1" s="11"/>
      <c r="E1" s="11"/>
      <c r="F1" s="4"/>
      <c r="G1" s="4"/>
      <c r="I1" s="11" t="s">
        <v>1</v>
      </c>
      <c r="J1" s="11"/>
      <c r="K1" s="11"/>
      <c r="L1" s="11"/>
      <c r="M1" s="11"/>
      <c r="N1" s="1"/>
      <c r="O1" s="4"/>
      <c r="Q1" s="11" t="s">
        <v>8</v>
      </c>
      <c r="R1" s="11"/>
      <c r="S1" s="11"/>
      <c r="T1" s="11"/>
    </row>
    <row r="2" spans="1:23" x14ac:dyDescent="0.3">
      <c r="F2" s="12" t="s">
        <v>15</v>
      </c>
      <c r="G2" s="12"/>
      <c r="V2" s="12" t="s">
        <v>16</v>
      </c>
      <c r="W2" s="12"/>
    </row>
    <row r="3" spans="1:23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s="7" t="s">
        <v>11</v>
      </c>
      <c r="G3" s="7" t="s">
        <v>12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N3" t="s">
        <v>7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V3" s="7" t="s">
        <v>13</v>
      </c>
      <c r="W3" s="7" t="s">
        <v>14</v>
      </c>
    </row>
    <row r="4" spans="1:23" x14ac:dyDescent="0.3">
      <c r="A4" s="3">
        <v>1</v>
      </c>
      <c r="B4" s="3">
        <v>47.097532464085731</v>
      </c>
      <c r="C4" s="3">
        <v>26.113320215516254</v>
      </c>
      <c r="D4" s="3">
        <v>31.892872345487127</v>
      </c>
      <c r="E4" s="3">
        <v>37.565533356425036</v>
      </c>
      <c r="F4" s="8">
        <f>SUMPRODUCT(Table19[[#This Row],[lane 1]:[lane 4]],Table1310[[#This Row],[lane 1]:[lane 4]])/Table1310[[#This Row],[q]]</f>
        <v>36.30545706129238</v>
      </c>
      <c r="G4" s="8">
        <f>SUMPRODUCT(J18:M18, Table19[[#This Row],[lane 1]:[lane 4]])/N18</f>
        <v>34.673747276556938</v>
      </c>
      <c r="H4" s="6"/>
      <c r="I4" s="3">
        <v>1</v>
      </c>
      <c r="J4" s="3">
        <v>499.82325354744376</v>
      </c>
      <c r="K4" s="3">
        <v>396.04454166915588</v>
      </c>
      <c r="L4" s="3">
        <v>443.69801187526622</v>
      </c>
      <c r="M4" s="3">
        <v>476.37194137676249</v>
      </c>
      <c r="N4" s="3">
        <v>1815.9377484686283</v>
      </c>
      <c r="O4" s="3"/>
      <c r="Q4" s="2">
        <v>1</v>
      </c>
      <c r="R4" s="5">
        <f ca="1">_xlfn.NORM.INV(RAND(), 3, 3*0.2)</f>
        <v>3.3113476817031007</v>
      </c>
      <c r="S4" s="5">
        <v>1</v>
      </c>
      <c r="T4" s="5">
        <v>1</v>
      </c>
      <c r="U4" s="5">
        <v>1</v>
      </c>
      <c r="V4" s="9">
        <f ca="1">SUMPRODUCT(Table194[[#This Row],[lane 1]:[lane 4]],Table1310[[#This Row],[lane 1]:[lane 4]])/Table1310[[#This Row],[q]]</f>
        <v>1.6361811242276421</v>
      </c>
      <c r="W4" s="9">
        <f ca="1">SUMPRODUCT(Table194[[#This Row],[lane 1]:[lane 4]],J18:M18)/N18</f>
        <v>1.4683638901975615</v>
      </c>
    </row>
    <row r="5" spans="1:23" x14ac:dyDescent="0.3">
      <c r="A5" s="3">
        <v>2</v>
      </c>
      <c r="B5" s="3">
        <v>67.387411846699763</v>
      </c>
      <c r="C5" s="3">
        <v>26.766779544211325</v>
      </c>
      <c r="D5" s="3">
        <v>29.35967185613509</v>
      </c>
      <c r="E5" s="3">
        <v>25.865285810031644</v>
      </c>
      <c r="F5" s="8">
        <f>SUMPRODUCT(Table19[[#This Row],[lane 1]:[lane 4]],Table1310[[#This Row],[lane 1]:[lane 4]])/Table1310[[#This Row],[q]]</f>
        <v>37.593172236159944</v>
      </c>
      <c r="G5" s="8">
        <f>SUMPRODUCT(J19:M19, Table19[[#This Row],[lane 1]:[lane 4]])/N19</f>
        <v>32.187553557279401</v>
      </c>
      <c r="H5" s="6"/>
      <c r="I5" s="3">
        <v>2</v>
      </c>
      <c r="J5" s="3">
        <v>418.43061238855159</v>
      </c>
      <c r="K5" s="3">
        <v>402.15936394875808</v>
      </c>
      <c r="L5" s="3">
        <v>424.59595631272515</v>
      </c>
      <c r="M5" s="3">
        <v>393.67500601745087</v>
      </c>
      <c r="N5" s="3">
        <v>1638.8609386674857</v>
      </c>
      <c r="O5" s="3"/>
      <c r="Q5" s="2">
        <v>2</v>
      </c>
      <c r="R5" s="5">
        <f t="shared" ref="R5:R13" ca="1" si="0">_xlfn.NORM.INV(RAND(), 3, 3*0.2)</f>
        <v>2.8122381549222144</v>
      </c>
      <c r="S5" s="5">
        <v>1</v>
      </c>
      <c r="T5" s="5">
        <v>1</v>
      </c>
      <c r="U5" s="5">
        <v>1</v>
      </c>
      <c r="V5" s="9">
        <f ca="1">SUMPRODUCT(Table194[[#This Row],[lane 1]:[lane 4]],Table1310[[#This Row],[lane 1]:[lane 4]])/Table1310[[#This Row],[q]]</f>
        <v>1.462696927522448</v>
      </c>
      <c r="W5" s="9">
        <f ca="1">SUMPRODUCT(Table194[[#This Row],[lane 1]:[lane 4]],J19:M19)/N19</f>
        <v>1.2210068872996316</v>
      </c>
    </row>
    <row r="6" spans="1:23" x14ac:dyDescent="0.3">
      <c r="A6" s="3">
        <v>3</v>
      </c>
      <c r="B6" s="3">
        <v>69.749586273314861</v>
      </c>
      <c r="C6" s="3">
        <v>27.11210787911531</v>
      </c>
      <c r="D6" s="3">
        <v>27.464856978708234</v>
      </c>
      <c r="E6" s="3">
        <v>22.455359354605577</v>
      </c>
      <c r="F6" s="8">
        <f>SUMPRODUCT(Table19[[#This Row],[lane 1]:[lane 4]],Table1310[[#This Row],[lane 1]:[lane 4]])/Table1310[[#This Row],[q]]</f>
        <v>36.934645301817703</v>
      </c>
      <c r="G6" s="8">
        <f>SUMPRODUCT(J20:M20, Table19[[#This Row],[lane 1]:[lane 4]])/N20</f>
        <v>30.488529394568062</v>
      </c>
      <c r="H6" s="6"/>
      <c r="I6" s="3">
        <v>3</v>
      </c>
      <c r="J6" s="3">
        <v>397.34277277335798</v>
      </c>
      <c r="K6" s="3">
        <v>405.31596413764834</v>
      </c>
      <c r="L6" s="3">
        <v>408.48695770292795</v>
      </c>
      <c r="M6" s="3">
        <v>358.39221664445819</v>
      </c>
      <c r="N6" s="3">
        <v>1569.5379112583923</v>
      </c>
      <c r="O6" s="3"/>
      <c r="Q6" s="2">
        <v>3</v>
      </c>
      <c r="R6" s="5">
        <f t="shared" ca="1" si="0"/>
        <v>1.6253009590395608</v>
      </c>
      <c r="S6" s="5">
        <v>1</v>
      </c>
      <c r="T6" s="5">
        <v>1</v>
      </c>
      <c r="U6" s="5">
        <v>1</v>
      </c>
      <c r="V6" s="9">
        <f ca="1">SUMPRODUCT(Table194[[#This Row],[lane 1]:[lane 4]],Table1310[[#This Row],[lane 1]:[lane 4]])/Table1310[[#This Row],[q]]</f>
        <v>1.1583006151685846</v>
      </c>
      <c r="W6" s="9">
        <f ca="1">SUMPRODUCT(Table194[[#This Row],[lane 1]:[lane 4]],J20:M20)/N20</f>
        <v>1.0691954349353912</v>
      </c>
    </row>
    <row r="7" spans="1:23" x14ac:dyDescent="0.3">
      <c r="A7" s="3">
        <v>4</v>
      </c>
      <c r="B7" s="3">
        <v>71.74856433821536</v>
      </c>
      <c r="C7" s="3">
        <v>42.29817758478557</v>
      </c>
      <c r="D7" s="3">
        <v>35.874240446766819</v>
      </c>
      <c r="E7" s="3">
        <v>24.421982883907301</v>
      </c>
      <c r="F7" s="8">
        <f>SUMPRODUCT(Table19[[#This Row],[lane 1]:[lane 4]],Table1310[[#This Row],[lane 1]:[lane 4]])/Table1310[[#This Row],[q]]</f>
        <v>43.073599889432103</v>
      </c>
      <c r="G7" s="8">
        <f>SUMPRODUCT(J21:M21, Table19[[#This Row],[lane 1]:[lane 4]])/N21</f>
        <v>37.759467440374955</v>
      </c>
      <c r="H7" s="6"/>
      <c r="I7" s="3">
        <v>4</v>
      </c>
      <c r="J7" s="3">
        <v>377.60540188230158</v>
      </c>
      <c r="K7" s="3">
        <v>492.94470944994754</v>
      </c>
      <c r="L7" s="3">
        <v>468.09157015129648</v>
      </c>
      <c r="M7" s="3">
        <v>379.35701147422748</v>
      </c>
      <c r="N7" s="3">
        <v>1717.9986929577731</v>
      </c>
      <c r="O7" s="3"/>
      <c r="Q7" s="2">
        <v>4</v>
      </c>
      <c r="R7" s="5">
        <f t="shared" ca="1" si="0"/>
        <v>2.9725107407780311</v>
      </c>
      <c r="S7" s="5">
        <v>1</v>
      </c>
      <c r="T7" s="5">
        <v>1</v>
      </c>
      <c r="U7" s="5">
        <v>1</v>
      </c>
      <c r="V7" s="9">
        <f ca="1">SUMPRODUCT(Table194[[#This Row],[lane 1]:[lane 4]],Table1310[[#This Row],[lane 1]:[lane 4]])/Table1310[[#This Row],[q]]</f>
        <v>1.4335455632427259</v>
      </c>
      <c r="W7" s="9">
        <f ca="1">SUMPRODUCT(Table194[[#This Row],[lane 1]:[lane 4]],J21:M21)/N21</f>
        <v>1.2281641414037794</v>
      </c>
    </row>
    <row r="8" spans="1:23" x14ac:dyDescent="0.3">
      <c r="A8" s="3">
        <v>5</v>
      </c>
      <c r="B8" s="3">
        <v>79.965781836035475</v>
      </c>
      <c r="C8" s="3">
        <v>35.209867009921609</v>
      </c>
      <c r="D8" s="3">
        <v>34.127064225788516</v>
      </c>
      <c r="E8" s="3">
        <v>33.240372090905737</v>
      </c>
      <c r="F8" s="8">
        <f>SUMPRODUCT(Table19[[#This Row],[lane 1]:[lane 4]],Table1310[[#This Row],[lane 1]:[lane 4]])/Table1310[[#This Row],[q]]</f>
        <v>41.901270925405491</v>
      </c>
      <c r="G8" s="8">
        <f>SUMPRODUCT(J22:M22, Table19[[#This Row],[lane 1]:[lane 4]])/N22</f>
        <v>37.825935797980527</v>
      </c>
      <c r="H8" s="6"/>
      <c r="I8" s="3">
        <v>5</v>
      </c>
      <c r="J8" s="3">
        <v>278.25277595724486</v>
      </c>
      <c r="K8" s="3">
        <v>464.49924003821798</v>
      </c>
      <c r="L8" s="3">
        <v>458.23386566940172</v>
      </c>
      <c r="M8" s="3">
        <v>452.72425867731891</v>
      </c>
      <c r="N8" s="3">
        <v>1653.7101403421834</v>
      </c>
      <c r="O8" s="3"/>
      <c r="Q8" s="2">
        <v>5</v>
      </c>
      <c r="R8" s="5">
        <f t="shared" ca="1" si="0"/>
        <v>3.228422389344753</v>
      </c>
      <c r="S8" s="5">
        <v>1</v>
      </c>
      <c r="T8" s="5">
        <v>1</v>
      </c>
      <c r="U8" s="5">
        <v>1</v>
      </c>
      <c r="V8" s="9">
        <f ca="1">SUMPRODUCT(Table194[[#This Row],[lane 1]:[lane 4]],Table1310[[#This Row],[lane 1]:[lane 4]])/Table1310[[#This Row],[q]]</f>
        <v>1.3749536879009225</v>
      </c>
      <c r="W8" s="9">
        <f ca="1">SUMPRODUCT(Table194[[#This Row],[lane 1]:[lane 4]],J22:M22)/N22</f>
        <v>1.1773630395415575</v>
      </c>
    </row>
    <row r="9" spans="1:23" x14ac:dyDescent="0.3">
      <c r="A9" s="3">
        <v>6</v>
      </c>
      <c r="B9" s="3">
        <v>69.290269415237688</v>
      </c>
      <c r="C9" s="3">
        <v>36.671942339099871</v>
      </c>
      <c r="D9" s="3">
        <v>30.990888943005267</v>
      </c>
      <c r="E9" s="3">
        <v>25.790562346249203</v>
      </c>
      <c r="F9" s="8">
        <f>SUMPRODUCT(Table19[[#This Row],[lane 1]:[lane 4]],Table1310[[#This Row],[lane 1]:[lane 4]])/Table1310[[#This Row],[q]]</f>
        <v>40.393190864497484</v>
      </c>
      <c r="G9" s="8">
        <f>SUMPRODUCT(J23:M23, Table19[[#This Row],[lane 1]:[lane 4]])/N23</f>
        <v>35.487483278546115</v>
      </c>
      <c r="H9" s="6"/>
      <c r="I9" s="3">
        <v>6</v>
      </c>
      <c r="J9" s="3">
        <v>401.63290543111867</v>
      </c>
      <c r="K9" s="3">
        <v>472.15171649985285</v>
      </c>
      <c r="L9" s="3">
        <v>437.21574241554242</v>
      </c>
      <c r="M9" s="3">
        <v>392.9559199444783</v>
      </c>
      <c r="N9" s="3">
        <v>1703.9562842909922</v>
      </c>
      <c r="O9" s="3"/>
      <c r="Q9" s="2">
        <v>6</v>
      </c>
      <c r="R9" s="5">
        <f t="shared" ca="1" si="0"/>
        <v>2.7759042578884694</v>
      </c>
      <c r="S9" s="5">
        <v>1</v>
      </c>
      <c r="T9" s="5">
        <v>1</v>
      </c>
      <c r="U9" s="5">
        <v>1</v>
      </c>
      <c r="V9" s="9">
        <f ca="1">SUMPRODUCT(Table194[[#This Row],[lane 1]:[lane 4]],Table1310[[#This Row],[lane 1]:[lane 4]])/Table1310[[#This Row],[q]]</f>
        <v>1.4185914823278609</v>
      </c>
      <c r="W9" s="9">
        <f ca="1">SUMPRODUCT(Table194[[#This Row],[lane 1]:[lane 4]],J23:M23)/N23</f>
        <v>1.2143844778641468</v>
      </c>
    </row>
    <row r="10" spans="1:23" x14ac:dyDescent="0.3">
      <c r="A10" s="3">
        <v>7</v>
      </c>
      <c r="B10" s="3">
        <v>46.494201512419366</v>
      </c>
      <c r="C10" s="3">
        <v>28.352326741373474</v>
      </c>
      <c r="D10" s="3">
        <v>25.522231906794886</v>
      </c>
      <c r="E10" s="3">
        <v>27.563651718003463</v>
      </c>
      <c r="F10" s="8">
        <f>SUMPRODUCT(Table19[[#This Row],[lane 1]:[lane 4]],Table1310[[#This Row],[lane 1]:[lane 4]])/Table1310[[#This Row],[q]]</f>
        <v>32.802705987606679</v>
      </c>
      <c r="G10" s="8">
        <f>SUMPRODUCT(J24:M24, Table19[[#This Row],[lane 1]:[lane 4]])/N24</f>
        <v>30.870002622644257</v>
      </c>
      <c r="H10" s="6"/>
      <c r="I10" s="3">
        <v>7</v>
      </c>
      <c r="J10" s="3">
        <v>499.50793639644093</v>
      </c>
      <c r="K10" s="3">
        <v>416.22589746576648</v>
      </c>
      <c r="L10" s="3">
        <v>390.35371995401266</v>
      </c>
      <c r="M10" s="3">
        <v>409.36537953492558</v>
      </c>
      <c r="N10" s="3">
        <v>1715.4529333511455</v>
      </c>
      <c r="O10" s="3"/>
      <c r="Q10" s="2">
        <v>7</v>
      </c>
      <c r="R10" s="5">
        <f t="shared" ca="1" si="0"/>
        <v>2.7039287553585964</v>
      </c>
      <c r="S10" s="5">
        <v>1</v>
      </c>
      <c r="T10" s="5">
        <v>1</v>
      </c>
      <c r="U10" s="5">
        <v>1</v>
      </c>
      <c r="V10" s="9">
        <f ca="1">SUMPRODUCT(Table194[[#This Row],[lane 1]:[lane 4]],Table1310[[#This Row],[lane 1]:[lane 4]])/Table1310[[#This Row],[q]]</f>
        <v>1.4961523104531058</v>
      </c>
      <c r="W10" s="9">
        <f ca="1">SUMPRODUCT(Table194[[#This Row],[lane 1]:[lane 4]],J24:M24)/N24</f>
        <v>1.329422220980119</v>
      </c>
    </row>
    <row r="11" spans="1:23" x14ac:dyDescent="0.3">
      <c r="A11" s="3">
        <v>8</v>
      </c>
      <c r="B11" s="3">
        <v>40.812661016341963</v>
      </c>
      <c r="C11" s="3">
        <v>39.807563688846734</v>
      </c>
      <c r="D11" s="3">
        <v>25.270474927752275</v>
      </c>
      <c r="E11" s="3">
        <v>27.344718994794803</v>
      </c>
      <c r="F11" s="8">
        <f>SUMPRODUCT(Table19[[#This Row],[lane 1]:[lane 4]],Table1310[[#This Row],[lane 1]:[lane 4]])/Table1310[[#This Row],[q]]</f>
        <v>34.02919514965469</v>
      </c>
      <c r="G11" s="8">
        <f>SUMPRODUCT(J25:M25, Table19[[#This Row],[lane 1]:[lane 4]])/N25</f>
        <v>32.516371162094366</v>
      </c>
      <c r="H11" s="6"/>
      <c r="I11" s="3">
        <v>8</v>
      </c>
      <c r="J11" s="3">
        <v>488.78953088845259</v>
      </c>
      <c r="K11" s="3">
        <v>485.43489307458714</v>
      </c>
      <c r="L11" s="3">
        <v>387.88383029298217</v>
      </c>
      <c r="M11" s="3">
        <v>407.41305698698119</v>
      </c>
      <c r="N11" s="3">
        <v>1769.5213112430031</v>
      </c>
      <c r="O11" s="3"/>
      <c r="Q11" s="2">
        <v>8</v>
      </c>
      <c r="R11" s="5">
        <f t="shared" ca="1" si="0"/>
        <v>3.2136923747563659</v>
      </c>
      <c r="S11" s="5">
        <v>1</v>
      </c>
      <c r="T11" s="5">
        <v>1</v>
      </c>
      <c r="U11" s="5">
        <v>1</v>
      </c>
      <c r="V11" s="9">
        <f ca="1">SUMPRODUCT(Table194[[#This Row],[lane 1]:[lane 4]],Table1310[[#This Row],[lane 1]:[lane 4]])/Table1310[[#This Row],[q]]</f>
        <v>1.6114815631287511</v>
      </c>
      <c r="W11" s="9">
        <f ca="1">SUMPRODUCT(Table194[[#This Row],[lane 1]:[lane 4]],J25:M25)/N25</f>
        <v>1.4871812072609187</v>
      </c>
    </row>
    <row r="12" spans="1:23" x14ac:dyDescent="0.3">
      <c r="A12" s="3">
        <v>9</v>
      </c>
      <c r="B12" s="3">
        <v>42.895640595213337</v>
      </c>
      <c r="C12" s="3">
        <v>29.225641006602533</v>
      </c>
      <c r="D12" s="3">
        <v>40.099109830856001</v>
      </c>
      <c r="E12" s="3">
        <v>28.666710948159928</v>
      </c>
      <c r="F12" s="8">
        <f>SUMPRODUCT(Table19[[#This Row],[lane 1]:[lane 4]],Table1310[[#This Row],[lane 1]:[lane 4]])/Table1310[[#This Row],[q]]</f>
        <v>35.704943268010439</v>
      </c>
      <c r="G12" s="8">
        <f>SUMPRODUCT(J26:M26, Table19[[#This Row],[lane 1]:[lane 4]])/N26</f>
        <v>34.557067562854506</v>
      </c>
      <c r="H12" s="6"/>
      <c r="I12" s="3">
        <v>9</v>
      </c>
      <c r="J12" s="3">
        <v>494.34581490164186</v>
      </c>
      <c r="K12" s="3">
        <v>423.50769192426992</v>
      </c>
      <c r="L12" s="3">
        <v>486.4531107932126</v>
      </c>
      <c r="M12" s="3">
        <v>418.88540243880226</v>
      </c>
      <c r="N12" s="3">
        <v>1823.1920200579266</v>
      </c>
      <c r="O12" s="3"/>
      <c r="Q12" s="2">
        <v>9</v>
      </c>
      <c r="R12" s="5">
        <f t="shared" ca="1" si="0"/>
        <v>2.561223800138011</v>
      </c>
      <c r="S12" s="5">
        <v>1</v>
      </c>
      <c r="T12" s="5">
        <v>1</v>
      </c>
      <c r="U12" s="5">
        <v>1</v>
      </c>
      <c r="V12" s="9">
        <f ca="1">SUMPRODUCT(Table194[[#This Row],[lane 1]:[lane 4]],Table1310[[#This Row],[lane 1]:[lane 4]])/Table1310[[#This Row],[q]]</f>
        <v>1.4233149570819985</v>
      </c>
      <c r="W12" s="9">
        <f ca="1">SUMPRODUCT(Table194[[#This Row],[lane 1]:[lane 4]],J26:M26)/N26</f>
        <v>1.34102587976928</v>
      </c>
    </row>
    <row r="13" spans="1:23" x14ac:dyDescent="0.3">
      <c r="A13" s="3">
        <v>10</v>
      </c>
      <c r="B13" s="3">
        <v>43.581904801707132</v>
      </c>
      <c r="C13" s="3">
        <v>24.093707260088426</v>
      </c>
      <c r="D13" s="3">
        <v>23.97181034129267</v>
      </c>
      <c r="E13" s="3">
        <v>30.601834648762402</v>
      </c>
      <c r="F13" s="8">
        <f>SUMPRODUCT(Table19[[#This Row],[lane 1]:[lane 4]],Table1310[[#This Row],[lane 1]:[lane 4]])/Table1310[[#This Row],[q]]</f>
        <v>31.496582546333197</v>
      </c>
      <c r="G13" s="8">
        <f>SUMPRODUCT(J27:M27, Table19[[#This Row],[lane 1]:[lane 4]])/N27</f>
        <v>29.58891141685455</v>
      </c>
      <c r="H13" s="6"/>
      <c r="I13" s="3">
        <v>10</v>
      </c>
      <c r="J13" s="3">
        <v>495.76398325061234</v>
      </c>
      <c r="K13" s="3">
        <v>375.97421168264998</v>
      </c>
      <c r="L13" s="3">
        <v>374.7061852702235</v>
      </c>
      <c r="M13" s="3">
        <v>434.31072968988616</v>
      </c>
      <c r="N13" s="3">
        <v>1680.7551098933718</v>
      </c>
      <c r="O13" s="3"/>
      <c r="Q13" s="2">
        <v>10</v>
      </c>
      <c r="R13" s="5">
        <f t="shared" ca="1" si="0"/>
        <v>2.7959520413632708</v>
      </c>
      <c r="S13" s="5">
        <v>1</v>
      </c>
      <c r="T13" s="5">
        <v>1</v>
      </c>
      <c r="U13" s="5">
        <v>1</v>
      </c>
      <c r="V13" s="9">
        <f ca="1">SUMPRODUCT(Table194[[#This Row],[lane 1]:[lane 4]],Table1310[[#This Row],[lane 1]:[lane 4]])/Table1310[[#This Row],[q]]</f>
        <v>1.5297430497235314</v>
      </c>
      <c r="W13" s="9">
        <f ca="1">SUMPRODUCT(Table194[[#This Row],[lane 1]:[lane 4]],J27:M27)/N27</f>
        <v>1.3596566107718624</v>
      </c>
    </row>
    <row r="14" spans="1:23" x14ac:dyDescent="0.3">
      <c r="A14" s="3"/>
      <c r="B14" s="3"/>
      <c r="C14" s="3"/>
      <c r="D14" s="3"/>
      <c r="E14" s="3"/>
      <c r="F14" s="8">
        <f>SUMPRODUCT(Table19[tms],Table1310[q])/Table1310[[#Totals],[q]]</f>
        <v>36.99190548545333</v>
      </c>
      <c r="G14" s="8">
        <f>SUMPRODUCT(Table19[sms],Table13105[k])/N28</f>
        <v>33.405974198037711</v>
      </c>
      <c r="I14" s="3"/>
      <c r="J14" s="3"/>
      <c r="K14" s="3"/>
      <c r="L14" s="3"/>
      <c r="M14" s="3"/>
      <c r="N14" s="3">
        <f>SUM(Table1310[q])</f>
        <v>17088.923090530901</v>
      </c>
      <c r="O14" s="3"/>
      <c r="V14" s="10">
        <f ca="1">SUMPRODUCT(Table194[tmvo],Table1310[q])/Table1310[[#Totals],[q]]</f>
        <v>1.4585125353769934</v>
      </c>
      <c r="W14" s="10">
        <f ca="1">SUMPRODUCT(Table194[smvo],Table13105[k])/Table13105[[#Totals],[k]]</f>
        <v>1.2952056457025212</v>
      </c>
    </row>
    <row r="15" spans="1:23" x14ac:dyDescent="0.3">
      <c r="F15" s="7"/>
      <c r="G15" s="7"/>
    </row>
    <row r="16" spans="1:23" x14ac:dyDescent="0.3">
      <c r="I16" s="11" t="s">
        <v>9</v>
      </c>
      <c r="J16" s="11"/>
      <c r="K16" s="11"/>
      <c r="L16" s="11"/>
      <c r="M16" s="11"/>
    </row>
    <row r="17" spans="1:15" x14ac:dyDescent="0.3">
      <c r="I17" t="s">
        <v>2</v>
      </c>
      <c r="J17" t="s">
        <v>3</v>
      </c>
      <c r="K17" t="s">
        <v>4</v>
      </c>
      <c r="L17" t="s">
        <v>5</v>
      </c>
      <c r="M17" t="s">
        <v>6</v>
      </c>
      <c r="N17" t="s">
        <v>10</v>
      </c>
    </row>
    <row r="18" spans="1:15" x14ac:dyDescent="0.3">
      <c r="I18" s="3">
        <v>1</v>
      </c>
      <c r="J18" s="5">
        <f t="shared" ref="J18:J27" si="1">J4/B4</f>
        <v>10.612514656231395</v>
      </c>
      <c r="K18" s="5">
        <f t="shared" ref="K18" si="2">K4/C4</f>
        <v>15.16638016156331</v>
      </c>
      <c r="L18" s="5">
        <f t="shared" ref="L18" si="3">L4/D4</f>
        <v>13.912137077802273</v>
      </c>
      <c r="M18" s="5">
        <f t="shared" ref="M18" si="4">M4/E4</f>
        <v>12.681090851470262</v>
      </c>
      <c r="N18" s="5">
        <f>SUM(Table13105[[#This Row],[lane 1]:[lane 4]])</f>
        <v>52.372122747067237</v>
      </c>
      <c r="O18" s="5"/>
    </row>
    <row r="19" spans="1:15" x14ac:dyDescent="0.3">
      <c r="A19" s="13" t="s">
        <v>17</v>
      </c>
      <c r="B19" s="14"/>
      <c r="C19" s="14"/>
      <c r="D19" s="14"/>
      <c r="E19" s="14"/>
      <c r="I19" s="3">
        <v>2</v>
      </c>
      <c r="J19" s="5">
        <f t="shared" ref="J19:J26" si="5">J5/B5</f>
        <v>6.2093290263238368</v>
      </c>
      <c r="K19" s="5">
        <f t="shared" ref="K19:K26" si="6">K5/C5</f>
        <v>15.024570411412473</v>
      </c>
      <c r="L19" s="5">
        <f t="shared" ref="L19:L26" si="7">L5/D5</f>
        <v>14.461876767331793</v>
      </c>
      <c r="M19" s="5">
        <f t="shared" ref="M19:M26" si="8">M5/E5</f>
        <v>15.220207072475773</v>
      </c>
      <c r="N19" s="5">
        <f>SUM(Table13105[[#This Row],[lane 1]:[lane 4]])</f>
        <v>50.915983277543873</v>
      </c>
      <c r="O19" s="5"/>
    </row>
    <row r="20" spans="1:15" x14ac:dyDescent="0.3">
      <c r="A20" s="14"/>
      <c r="B20" s="14"/>
      <c r="C20" s="14"/>
      <c r="D20" s="14"/>
      <c r="E20" s="14"/>
      <c r="I20" s="3">
        <v>3</v>
      </c>
      <c r="J20" s="5">
        <f t="shared" si="5"/>
        <v>5.6967043677702121</v>
      </c>
      <c r="K20" s="5">
        <f t="shared" si="6"/>
        <v>14.949629366511436</v>
      </c>
      <c r="L20" s="5">
        <f t="shared" si="7"/>
        <v>14.873077912606719</v>
      </c>
      <c r="M20" s="5">
        <f t="shared" si="8"/>
        <v>15.960208473392889</v>
      </c>
      <c r="N20" s="5">
        <f>SUM(Table13105[[#This Row],[lane 1]:[lane 4]])</f>
        <v>51.479620120281254</v>
      </c>
      <c r="O20" s="5"/>
    </row>
    <row r="21" spans="1:15" x14ac:dyDescent="0.3">
      <c r="A21" s="14"/>
      <c r="B21" s="14"/>
      <c r="C21" s="14"/>
      <c r="D21" s="14"/>
      <c r="E21" s="14"/>
      <c r="I21" s="3">
        <v>4</v>
      </c>
      <c r="J21" s="5">
        <f t="shared" si="5"/>
        <v>5.2628983641025693</v>
      </c>
      <c r="K21" s="5">
        <f t="shared" si="6"/>
        <v>11.654041322746187</v>
      </c>
      <c r="L21" s="5">
        <f t="shared" si="7"/>
        <v>13.048124903045395</v>
      </c>
      <c r="M21" s="5">
        <f t="shared" si="8"/>
        <v>15.533423853318732</v>
      </c>
      <c r="N21" s="5">
        <f>SUM(Table13105[[#This Row],[lane 1]:[lane 4]])</f>
        <v>45.498488443212885</v>
      </c>
      <c r="O21" s="5"/>
    </row>
    <row r="22" spans="1:15" x14ac:dyDescent="0.3">
      <c r="A22" s="14"/>
      <c r="B22" s="14"/>
      <c r="C22" s="14"/>
      <c r="D22" s="14"/>
      <c r="E22" s="14"/>
      <c r="I22" s="3">
        <v>5</v>
      </c>
      <c r="J22" s="5">
        <f t="shared" si="5"/>
        <v>3.4796480390548008</v>
      </c>
      <c r="K22" s="5">
        <f t="shared" si="6"/>
        <v>13.192303166249651</v>
      </c>
      <c r="L22" s="5">
        <f t="shared" si="7"/>
        <v>13.427286409334089</v>
      </c>
      <c r="M22" s="5">
        <f t="shared" si="8"/>
        <v>13.619710917772192</v>
      </c>
      <c r="N22" s="5">
        <f>SUM(Table13105[[#This Row],[lane 1]:[lane 4]])</f>
        <v>43.718948532410735</v>
      </c>
      <c r="O22" s="5"/>
    </row>
    <row r="23" spans="1:15" x14ac:dyDescent="0.3">
      <c r="A23" s="14"/>
      <c r="B23" s="14"/>
      <c r="C23" s="14"/>
      <c r="D23" s="14"/>
      <c r="E23" s="14"/>
      <c r="I23" s="3">
        <v>6</v>
      </c>
      <c r="J23" s="5">
        <f t="shared" si="5"/>
        <v>5.7963825053737663</v>
      </c>
      <c r="K23" s="5">
        <f t="shared" si="6"/>
        <v>12.875012513216173</v>
      </c>
      <c r="L23" s="5">
        <f t="shared" si="7"/>
        <v>14.107880003688093</v>
      </c>
      <c r="M23" s="5">
        <f t="shared" si="8"/>
        <v>15.236423101942444</v>
      </c>
      <c r="N23" s="5">
        <f>SUM(Table13105[[#This Row],[lane 1]:[lane 4]])</f>
        <v>48.015698124220478</v>
      </c>
      <c r="O23" s="5"/>
    </row>
    <row r="24" spans="1:15" x14ac:dyDescent="0.3">
      <c r="A24" s="14"/>
      <c r="B24" s="14"/>
      <c r="C24" s="14"/>
      <c r="D24" s="14"/>
      <c r="E24" s="14"/>
      <c r="I24" s="3">
        <v>7</v>
      </c>
      <c r="J24" s="5">
        <f t="shared" si="5"/>
        <v>10.743445852339548</v>
      </c>
      <c r="K24" s="5">
        <f t="shared" si="6"/>
        <v>14.680484648139435</v>
      </c>
      <c r="L24" s="5">
        <f t="shared" si="7"/>
        <v>15.294654534115695</v>
      </c>
      <c r="M24" s="5">
        <f t="shared" si="8"/>
        <v>14.851638082030497</v>
      </c>
      <c r="N24" s="5">
        <f>SUM(Table13105[[#This Row],[lane 1]:[lane 4]])</f>
        <v>55.570223116625172</v>
      </c>
      <c r="O24" s="5"/>
    </row>
    <row r="25" spans="1:15" x14ac:dyDescent="0.3">
      <c r="I25" s="3">
        <v>8</v>
      </c>
      <c r="J25" s="5">
        <f t="shared" si="5"/>
        <v>11.976419050273012</v>
      </c>
      <c r="K25" s="5">
        <f t="shared" si="6"/>
        <v>12.19453913002458</v>
      </c>
      <c r="L25" s="5">
        <f t="shared" si="7"/>
        <v>15.349289295192646</v>
      </c>
      <c r="M25" s="5">
        <f t="shared" si="8"/>
        <v>14.899149523699045</v>
      </c>
      <c r="N25" s="5">
        <f>SUM(Table13105[[#This Row],[lane 1]:[lane 4]])</f>
        <v>54.419396999189281</v>
      </c>
      <c r="O25" s="5"/>
    </row>
    <row r="26" spans="1:15" x14ac:dyDescent="0.3">
      <c r="I26" s="3">
        <v>9</v>
      </c>
      <c r="J26" s="5">
        <f t="shared" si="5"/>
        <v>11.524383551385993</v>
      </c>
      <c r="K26" s="5">
        <f t="shared" si="6"/>
        <v>14.490963323219937</v>
      </c>
      <c r="L26" s="5">
        <f t="shared" si="7"/>
        <v>12.131269567956597</v>
      </c>
      <c r="M26" s="5">
        <f t="shared" si="8"/>
        <v>14.612258908819459</v>
      </c>
      <c r="N26" s="5">
        <f>SUM(Table13105[[#This Row],[lane 1]:[lane 4]])</f>
        <v>52.758875351381988</v>
      </c>
      <c r="O26" s="5"/>
    </row>
    <row r="27" spans="1:15" x14ac:dyDescent="0.3">
      <c r="I27" s="3">
        <v>10</v>
      </c>
      <c r="J27" s="5">
        <f t="shared" ref="J27" si="9">J13/B13</f>
        <v>11.37545468712953</v>
      </c>
      <c r="K27" s="5">
        <f t="shared" ref="K27" si="10">K13/C13</f>
        <v>15.604664223071088</v>
      </c>
      <c r="L27" s="5">
        <f t="shared" ref="L27" si="11">L13/D13</f>
        <v>15.631117547462527</v>
      </c>
      <c r="M27" s="5">
        <f t="shared" ref="M27" si="12">M13/E13</f>
        <v>14.192310189070659</v>
      </c>
      <c r="N27" s="5">
        <f>SUM(Table13105[[#This Row],[lane 1]:[lane 4]])</f>
        <v>56.8035466467338</v>
      </c>
      <c r="O27" s="5"/>
    </row>
    <row r="28" spans="1:15" x14ac:dyDescent="0.3">
      <c r="I28" s="3"/>
      <c r="J28" s="5"/>
      <c r="K28" s="5"/>
      <c r="L28" s="5"/>
      <c r="M28" s="5"/>
      <c r="N28" s="5">
        <f>SUM(Table13105[k])</f>
        <v>511.55290335866675</v>
      </c>
      <c r="O28" s="5"/>
    </row>
  </sheetData>
  <mergeCells count="7">
    <mergeCell ref="V2:W2"/>
    <mergeCell ref="A19:E24"/>
    <mergeCell ref="A1:E1"/>
    <mergeCell ref="I1:M1"/>
    <mergeCell ref="Q1:T1"/>
    <mergeCell ref="I16:M16"/>
    <mergeCell ref="F2:G2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Georgia Institute of Technology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Laval, Jorge A</dc:creator>
  <cp:keywords/>
  <dc:description/>
  <cp:lastModifiedBy>Roy, Somdut</cp:lastModifiedBy>
  <cp:revision/>
  <dcterms:created xsi:type="dcterms:W3CDTF">2017-09-07T18:12:29Z</dcterms:created>
  <dcterms:modified xsi:type="dcterms:W3CDTF">2020-09-21T01:54:07Z</dcterms:modified>
  <cp:category/>
  <cp:contentStatus/>
</cp:coreProperties>
</file>