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omme\Desktop\"/>
    </mc:Choice>
  </mc:AlternateContent>
  <xr:revisionPtr revIDLastSave="0" documentId="13_ncr:1_{24D63399-844C-46AC-A04D-0F76D3EC984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ist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L4" i="2"/>
  <c r="L5" i="2"/>
  <c r="L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3" i="2"/>
  <c r="A22" i="2"/>
  <c r="C2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C4" i="2"/>
  <c r="C5" i="2"/>
  <c r="C6" i="2"/>
  <c r="C7" i="2"/>
  <c r="C8" i="2"/>
  <c r="C9" i="2"/>
  <c r="C10" i="2"/>
  <c r="C11" i="2"/>
  <c r="C12" i="2"/>
  <c r="C3" i="2"/>
  <c r="B2" i="2"/>
  <c r="D2" i="2" s="1"/>
  <c r="A4" i="2"/>
  <c r="A5" i="2" s="1"/>
  <c r="A6" i="2" s="1"/>
  <c r="A7" i="2" s="1"/>
  <c r="A8" i="2" s="1"/>
  <c r="A9" i="2" s="1"/>
  <c r="A10" i="2" s="1"/>
  <c r="A11" i="2" s="1"/>
  <c r="A12" i="2" s="1"/>
  <c r="B3" i="2" l="1"/>
  <c r="B23" i="1"/>
  <c r="B21" i="1"/>
  <c r="B19" i="1"/>
  <c r="G9" i="1"/>
  <c r="G11" i="1" s="1"/>
  <c r="G8" i="1"/>
  <c r="G10" i="1" s="1"/>
  <c r="B20" i="1" s="1"/>
  <c r="G12" i="1"/>
  <c r="G6" i="1"/>
  <c r="D3" i="2" l="1"/>
  <c r="C19" i="1"/>
  <c r="C20" i="1"/>
  <c r="C21" i="1"/>
  <c r="B15" i="1"/>
  <c r="B16" i="1" s="1"/>
  <c r="B4" i="2" l="1"/>
  <c r="D4" i="2" s="1"/>
  <c r="B17" i="1"/>
  <c r="B18" i="1"/>
  <c r="B5" i="2" l="1"/>
  <c r="D5" i="2" s="1"/>
  <c r="B6" i="2" l="1"/>
  <c r="D6" i="2"/>
  <c r="B7" i="2" s="1"/>
  <c r="D7" i="2" l="1"/>
  <c r="B8" i="2" s="1"/>
  <c r="D8" i="2" l="1"/>
  <c r="B9" i="2" s="1"/>
  <c r="D9" i="2" l="1"/>
  <c r="B10" i="2" s="1"/>
  <c r="D10" i="2" l="1"/>
  <c r="B11" i="2" s="1"/>
  <c r="D11" i="2" l="1"/>
  <c r="B12" i="2" s="1"/>
  <c r="D12" i="2" l="1"/>
  <c r="B13" i="2" s="1"/>
  <c r="D13" i="2" l="1"/>
  <c r="B14" i="2" s="1"/>
  <c r="D14" i="2" l="1"/>
  <c r="B15" i="2" s="1"/>
  <c r="D15" i="2" l="1"/>
  <c r="B16" i="2" s="1"/>
  <c r="D16" i="2" l="1"/>
  <c r="B17" i="2" s="1"/>
  <c r="D17" i="2" l="1"/>
  <c r="B18" i="2" s="1"/>
  <c r="D18" i="2" l="1"/>
  <c r="B19" i="2" s="1"/>
  <c r="D19" i="2" l="1"/>
  <c r="B20" i="2" s="1"/>
  <c r="D20" i="2" l="1"/>
  <c r="B21" i="2" s="1"/>
  <c r="D21" i="2" l="1"/>
  <c r="B22" i="2" l="1"/>
  <c r="C24" i="2" l="1"/>
  <c r="D24" i="2" s="1"/>
  <c r="E23" i="2"/>
  <c r="D22" i="2"/>
  <c r="D23" i="2" s="1"/>
</calcChain>
</file>

<file path=xl/sharedStrings.xml><?xml version="1.0" encoding="utf-8"?>
<sst xmlns="http://schemas.openxmlformats.org/spreadsheetml/2006/main" count="42" uniqueCount="42">
  <si>
    <t>Capacity [pF]</t>
  </si>
  <si>
    <t>Required properties</t>
  </si>
  <si>
    <t>Temporal resolution [s]</t>
  </si>
  <si>
    <t>Fixed properties</t>
  </si>
  <si>
    <t>ADC resolution [bits]</t>
  </si>
  <si>
    <t>Op-amp range [V]</t>
  </si>
  <si>
    <t>Computed properties</t>
  </si>
  <si>
    <t>Flow [CFM]</t>
  </si>
  <si>
    <t>UAV speed [m/s]</t>
  </si>
  <si>
    <t>Outter electrode diameter [mm]</t>
  </si>
  <si>
    <t>Inner electrode diameter [mm]</t>
  </si>
  <si>
    <t>Op-amp bias current [fA]</t>
  </si>
  <si>
    <t>Length of inner electrode [mm]</t>
  </si>
  <si>
    <t>Min. detectable voltage [V]</t>
  </si>
  <si>
    <t>Min. ion current positive [fA]</t>
  </si>
  <si>
    <t>Min. ion current negative [fA]</t>
  </si>
  <si>
    <r>
      <t>Min. sensitivity [ions/cm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</si>
  <si>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Max. bias charge [pC]</t>
  </si>
  <si>
    <t>Min. positive ions charge [pC]</t>
  </si>
  <si>
    <t>Min. negative ions charge [pC]</t>
  </si>
  <si>
    <r>
      <t>Flow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/s]</t>
    </r>
  </si>
  <si>
    <t>SNR [-]</t>
  </si>
  <si>
    <t>Aux. calculations</t>
  </si>
  <si>
    <t>1 Coulomb [e-]</t>
  </si>
  <si>
    <t>Constants</t>
  </si>
  <si>
    <r>
      <t>Flow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/h]</t>
    </r>
  </si>
  <si>
    <t>https://cz.mouser.com/datasheet/2/471/San_Ace_60GV38_E-1286225.pdf</t>
  </si>
  <si>
    <t>Comments</t>
  </si>
  <si>
    <t>VD - negative ion [V][bits]</t>
  </si>
  <si>
    <t>VD - positive ion [V][bits]</t>
  </si>
  <si>
    <t>VD - dissipation [V][bits]</t>
  </si>
  <si>
    <t>Estimated fan power [W]</t>
  </si>
  <si>
    <t>LoPy 4.0</t>
  </si>
  <si>
    <t>dust sensor</t>
  </si>
  <si>
    <t>sn-gcja5</t>
  </si>
  <si>
    <t>Budget</t>
  </si>
  <si>
    <t>Divident</t>
  </si>
  <si>
    <t>Year</t>
  </si>
  <si>
    <t>Value</t>
  </si>
  <si>
    <t>Divident value</t>
  </si>
  <si>
    <t>Annual deposit</t>
  </si>
  <si>
    <t>Added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</si>
</sst>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6" sqref="D26"/>
    </sheetView>
  </sheetViews>
  <sheetFormatPr defaultRowHeight="14.4" x14ac:dyDescent="0.3"/>
  <cols>
    <col min="1" max="1" width="31.44140625" bestFit="1" customWidth="1"/>
    <col min="2" max="2" width="8.5546875" bestFit="1" customWidth="1"/>
    <col min="3" max="3" width="10.21875" customWidth="1"/>
    <col min="4" max="4" width="63.44140625" bestFit="1" customWidth="1"/>
    <col min="5" max="5" width="12.21875" customWidth="1"/>
    <col min="6" max="6" width="26" bestFit="1" customWidth="1"/>
  </cols>
  <sheetData>
    <row r="1" spans="1:7" x14ac:dyDescent="0.3">
      <c r="A1" s="1" t="s">
        <v>1</v>
      </c>
      <c r="D1" s="1" t="s">
        <v>27</v>
      </c>
      <c r="F1" s="1" t="s">
        <v>24</v>
      </c>
    </row>
    <row r="2" spans="1:7" ht="16.2" x14ac:dyDescent="0.3">
      <c r="A2" t="s">
        <v>16</v>
      </c>
      <c r="B2">
        <v>5</v>
      </c>
      <c r="F2" t="s">
        <v>23</v>
      </c>
      <c r="G2" s="2">
        <v>1.602E+19</v>
      </c>
    </row>
    <row r="3" spans="1:7" x14ac:dyDescent="0.3">
      <c r="A3" t="s">
        <v>2</v>
      </c>
      <c r="B3">
        <v>30</v>
      </c>
    </row>
    <row r="5" spans="1:7" x14ac:dyDescent="0.3">
      <c r="A5" s="1" t="s">
        <v>3</v>
      </c>
      <c r="F5" s="1" t="s">
        <v>22</v>
      </c>
    </row>
    <row r="6" spans="1:7" x14ac:dyDescent="0.3">
      <c r="A6" t="s">
        <v>4</v>
      </c>
      <c r="B6">
        <v>12</v>
      </c>
      <c r="D6" t="s">
        <v>32</v>
      </c>
      <c r="F6" t="s">
        <v>13</v>
      </c>
      <c r="G6">
        <f>B7/POWER(2,B6)</f>
        <v>2.9296875E-3</v>
      </c>
    </row>
    <row r="7" spans="1:7" x14ac:dyDescent="0.3">
      <c r="A7" t="s">
        <v>5</v>
      </c>
      <c r="B7">
        <v>12</v>
      </c>
      <c r="F7" t="s">
        <v>21</v>
      </c>
      <c r="G7">
        <v>3</v>
      </c>
    </row>
    <row r="8" spans="1:7" x14ac:dyDescent="0.3">
      <c r="A8" t="s">
        <v>11</v>
      </c>
      <c r="B8">
        <v>5</v>
      </c>
      <c r="F8" t="s">
        <v>15</v>
      </c>
      <c r="G8">
        <f>G7*B8+B8</f>
        <v>20</v>
      </c>
    </row>
    <row r="9" spans="1:7" x14ac:dyDescent="0.3">
      <c r="A9" t="s">
        <v>9</v>
      </c>
      <c r="B9">
        <v>15</v>
      </c>
      <c r="F9" t="s">
        <v>14</v>
      </c>
      <c r="G9">
        <f>G7*B8-B8</f>
        <v>10</v>
      </c>
    </row>
    <row r="10" spans="1:7" x14ac:dyDescent="0.3">
      <c r="A10" t="s">
        <v>10</v>
      </c>
      <c r="B10">
        <v>3</v>
      </c>
      <c r="F10" t="s">
        <v>19</v>
      </c>
      <c r="G10">
        <f>G8*B3*0.001</f>
        <v>0.6</v>
      </c>
    </row>
    <row r="11" spans="1:7" x14ac:dyDescent="0.3">
      <c r="A11" t="s">
        <v>12</v>
      </c>
      <c r="B11">
        <v>150</v>
      </c>
      <c r="F11" t="s">
        <v>18</v>
      </c>
      <c r="G11">
        <f>G9*B3*0.001</f>
        <v>0.3</v>
      </c>
    </row>
    <row r="12" spans="1:7" x14ac:dyDescent="0.3">
      <c r="F12" t="s">
        <v>17</v>
      </c>
      <c r="G12">
        <f>B8*B3*0.001</f>
        <v>0.15</v>
      </c>
    </row>
    <row r="13" spans="1:7" x14ac:dyDescent="0.3">
      <c r="A13" s="1" t="s">
        <v>6</v>
      </c>
    </row>
    <row r="14" spans="1:7" x14ac:dyDescent="0.3">
      <c r="A14" t="s">
        <v>0</v>
      </c>
      <c r="B14">
        <v>2</v>
      </c>
    </row>
    <row r="15" spans="1:7" ht="16.2" x14ac:dyDescent="0.3">
      <c r="A15" t="s">
        <v>20</v>
      </c>
      <c r="B15" s="2">
        <f>(G11*G2*0.000000000001)/(B2*B3)</f>
        <v>32040</v>
      </c>
    </row>
    <row r="16" spans="1:7" ht="16.2" x14ac:dyDescent="0.3">
      <c r="A16" t="s">
        <v>25</v>
      </c>
      <c r="B16" s="3">
        <f>(B15*0.000001)*3600</f>
        <v>115.34399999999999</v>
      </c>
    </row>
    <row r="17" spans="1:4" x14ac:dyDescent="0.3">
      <c r="A17" t="s">
        <v>7</v>
      </c>
      <c r="B17" s="3">
        <f>B15*0.00211888</f>
        <v>67.8889152</v>
      </c>
      <c r="D17" t="s">
        <v>26</v>
      </c>
    </row>
    <row r="18" spans="1:4" x14ac:dyDescent="0.3">
      <c r="A18" t="s">
        <v>8</v>
      </c>
      <c r="B18" s="3">
        <f>(B15/((3.14*B9*B9*0.01)-(3.14*B10*B10*0.01)))*0.01</f>
        <v>47.239915074309977</v>
      </c>
    </row>
    <row r="19" spans="1:4" x14ac:dyDescent="0.3">
      <c r="A19" t="s">
        <v>30</v>
      </c>
      <c r="B19">
        <f>G12/B14</f>
        <v>7.4999999999999997E-2</v>
      </c>
      <c r="C19" s="4">
        <f>B19/G6</f>
        <v>25.599999999999998</v>
      </c>
    </row>
    <row r="20" spans="1:4" x14ac:dyDescent="0.3">
      <c r="A20" t="s">
        <v>28</v>
      </c>
      <c r="B20">
        <f>G10/B14</f>
        <v>0.3</v>
      </c>
      <c r="C20" s="4">
        <f>B20/G6</f>
        <v>102.39999999999999</v>
      </c>
    </row>
    <row r="21" spans="1:4" x14ac:dyDescent="0.3">
      <c r="A21" t="s">
        <v>29</v>
      </c>
      <c r="B21">
        <f>G11/B14</f>
        <v>0.15</v>
      </c>
      <c r="C21" s="4">
        <f>B21/G6</f>
        <v>51.199999999999996</v>
      </c>
    </row>
    <row r="23" spans="1:4" x14ac:dyDescent="0.3">
      <c r="A23" t="s">
        <v>31</v>
      </c>
      <c r="B23" s="4">
        <f>B17*0.35</f>
        <v>23.76112032</v>
      </c>
    </row>
    <row r="26" spans="1:4" x14ac:dyDescent="0.3">
      <c r="A26" t="s">
        <v>33</v>
      </c>
      <c r="B26" t="s">
        <v>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801E-156E-4AFF-B7F3-FFD2308883A4}">
  <dimension ref="A1:L24"/>
  <sheetViews>
    <sheetView tabSelected="1" workbookViewId="0">
      <selection activeCell="H15" sqref="H15"/>
    </sheetView>
  </sheetViews>
  <sheetFormatPr defaultRowHeight="14.4" x14ac:dyDescent="0.3"/>
  <cols>
    <col min="3" max="4" width="12.44140625" bestFit="1" customWidth="1"/>
    <col min="5" max="5" width="12" bestFit="1" customWidth="1"/>
    <col min="6" max="6" width="13.109375" bestFit="1" customWidth="1"/>
    <col min="9" max="9" width="10.88671875" bestFit="1" customWidth="1"/>
  </cols>
  <sheetData>
    <row r="1" spans="1:12" x14ac:dyDescent="0.3">
      <c r="A1" t="s">
        <v>37</v>
      </c>
      <c r="B1" t="s">
        <v>38</v>
      </c>
      <c r="D1" t="s">
        <v>39</v>
      </c>
      <c r="F1" t="s">
        <v>40</v>
      </c>
      <c r="G1" t="s">
        <v>35</v>
      </c>
      <c r="H1" t="s">
        <v>36</v>
      </c>
    </row>
    <row r="2" spans="1:12" x14ac:dyDescent="0.3">
      <c r="A2">
        <v>0</v>
      </c>
      <c r="B2">
        <f>G2</f>
        <v>400000</v>
      </c>
      <c r="C2">
        <v>0</v>
      </c>
      <c r="D2">
        <f>B2*H$2</f>
        <v>16000</v>
      </c>
      <c r="F2">
        <v>60000</v>
      </c>
      <c r="G2">
        <v>400000</v>
      </c>
      <c r="H2">
        <v>0.04</v>
      </c>
      <c r="L2">
        <v>1000</v>
      </c>
    </row>
    <row r="3" spans="1:12" x14ac:dyDescent="0.3">
      <c r="A3">
        <v>1</v>
      </c>
      <c r="B3">
        <f>B2+C3+D2</f>
        <v>476000</v>
      </c>
      <c r="C3">
        <f>F$2</f>
        <v>60000</v>
      </c>
      <c r="D3">
        <f>B3*H$2</f>
        <v>19040</v>
      </c>
      <c r="L3">
        <f>L2*(1+0.03)</f>
        <v>1030</v>
      </c>
    </row>
    <row r="4" spans="1:12" x14ac:dyDescent="0.3">
      <c r="A4">
        <f>1+A3</f>
        <v>2</v>
      </c>
      <c r="B4">
        <f t="shared" ref="B4:B22" si="0">B3+C4+D3</f>
        <v>555040</v>
      </c>
      <c r="C4">
        <f t="shared" ref="C4:C12" si="1">F$2</f>
        <v>60000</v>
      </c>
      <c r="D4">
        <f>B4*H$2</f>
        <v>22201.600000000002</v>
      </c>
      <c r="L4">
        <f t="shared" ref="L4:L22" si="2">L3*(1+0.03)</f>
        <v>1060.9000000000001</v>
      </c>
    </row>
    <row r="5" spans="1:12" x14ac:dyDescent="0.3">
      <c r="A5">
        <f t="shared" ref="A5:A21" si="3">1+A4</f>
        <v>3</v>
      </c>
      <c r="B5">
        <f t="shared" si="0"/>
        <v>637241.59999999998</v>
      </c>
      <c r="C5">
        <f t="shared" si="1"/>
        <v>60000</v>
      </c>
      <c r="D5">
        <f>B5*H$2</f>
        <v>25489.664000000001</v>
      </c>
      <c r="L5">
        <f t="shared" si="2"/>
        <v>1092.7270000000001</v>
      </c>
    </row>
    <row r="6" spans="1:12" x14ac:dyDescent="0.3">
      <c r="A6">
        <f t="shared" si="3"/>
        <v>4</v>
      </c>
      <c r="B6">
        <f t="shared" si="0"/>
        <v>722731.26399999997</v>
      </c>
      <c r="C6">
        <f t="shared" si="1"/>
        <v>60000</v>
      </c>
      <c r="D6">
        <f>B6*H$2</f>
        <v>28909.25056</v>
      </c>
      <c r="L6">
        <f t="shared" si="2"/>
        <v>1125.50881</v>
      </c>
    </row>
    <row r="7" spans="1:12" x14ac:dyDescent="0.3">
      <c r="A7">
        <f t="shared" si="3"/>
        <v>5</v>
      </c>
      <c r="B7">
        <f t="shared" si="0"/>
        <v>811640.51455999992</v>
      </c>
      <c r="C7">
        <f t="shared" si="1"/>
        <v>60000</v>
      </c>
      <c r="D7">
        <f>B7*H$2</f>
        <v>32465.620582399999</v>
      </c>
      <c r="L7">
        <f t="shared" si="2"/>
        <v>1159.2740743000002</v>
      </c>
    </row>
    <row r="8" spans="1:12" x14ac:dyDescent="0.3">
      <c r="A8">
        <f t="shared" si="3"/>
        <v>6</v>
      </c>
      <c r="B8">
        <f t="shared" si="0"/>
        <v>904106.13514239993</v>
      </c>
      <c r="C8">
        <f t="shared" si="1"/>
        <v>60000</v>
      </c>
      <c r="D8">
        <f>B8*H$2</f>
        <v>36164.245405695998</v>
      </c>
      <c r="L8">
        <f t="shared" si="2"/>
        <v>1194.0522965290002</v>
      </c>
    </row>
    <row r="9" spans="1:12" x14ac:dyDescent="0.3">
      <c r="A9">
        <f t="shared" si="3"/>
        <v>7</v>
      </c>
      <c r="B9">
        <f t="shared" si="0"/>
        <v>1000270.3805480959</v>
      </c>
      <c r="C9">
        <f t="shared" si="1"/>
        <v>60000</v>
      </c>
      <c r="D9">
        <f>B9*H$2</f>
        <v>40010.81522192384</v>
      </c>
      <c r="L9">
        <f t="shared" si="2"/>
        <v>1229.8738654248702</v>
      </c>
    </row>
    <row r="10" spans="1:12" x14ac:dyDescent="0.3">
      <c r="A10">
        <f t="shared" si="3"/>
        <v>8</v>
      </c>
      <c r="B10">
        <f t="shared" si="0"/>
        <v>1100281.1957700197</v>
      </c>
      <c r="C10">
        <f t="shared" si="1"/>
        <v>60000</v>
      </c>
      <c r="D10">
        <f>B10*H$2</f>
        <v>44011.247830800785</v>
      </c>
      <c r="L10">
        <f t="shared" si="2"/>
        <v>1266.7700813876163</v>
      </c>
    </row>
    <row r="11" spans="1:12" x14ac:dyDescent="0.3">
      <c r="A11">
        <f t="shared" si="3"/>
        <v>9</v>
      </c>
      <c r="B11">
        <f t="shared" si="0"/>
        <v>1204292.4436008204</v>
      </c>
      <c r="C11">
        <f t="shared" si="1"/>
        <v>60000</v>
      </c>
      <c r="D11">
        <f>B11*H$2</f>
        <v>48171.697744032819</v>
      </c>
      <c r="L11">
        <f t="shared" si="2"/>
        <v>1304.7731838292448</v>
      </c>
    </row>
    <row r="12" spans="1:12" x14ac:dyDescent="0.3">
      <c r="A12">
        <f t="shared" si="3"/>
        <v>10</v>
      </c>
      <c r="B12">
        <f t="shared" si="0"/>
        <v>1312464.1413448532</v>
      </c>
      <c r="C12">
        <f t="shared" si="1"/>
        <v>60000</v>
      </c>
      <c r="D12">
        <f>B12*H$2</f>
        <v>52498.565653794132</v>
      </c>
      <c r="L12">
        <f t="shared" si="2"/>
        <v>1343.9163793441221</v>
      </c>
    </row>
    <row r="13" spans="1:12" x14ac:dyDescent="0.3">
      <c r="A13">
        <f t="shared" ref="A13:A21" si="4">1+A12</f>
        <v>11</v>
      </c>
      <c r="B13">
        <f t="shared" si="0"/>
        <v>1424962.7069986474</v>
      </c>
      <c r="C13">
        <f t="shared" ref="C13:C21" si="5">F$2</f>
        <v>60000</v>
      </c>
      <c r="D13">
        <f t="shared" ref="D13:D21" si="6">B13*H$2</f>
        <v>56998.508279945898</v>
      </c>
      <c r="L13">
        <f t="shared" si="2"/>
        <v>1384.2338707244458</v>
      </c>
    </row>
    <row r="14" spans="1:12" x14ac:dyDescent="0.3">
      <c r="A14">
        <f t="shared" si="4"/>
        <v>12</v>
      </c>
      <c r="B14">
        <f t="shared" si="0"/>
        <v>1541961.2152785934</v>
      </c>
      <c r="C14">
        <f t="shared" si="5"/>
        <v>60000</v>
      </c>
      <c r="D14">
        <f t="shared" si="6"/>
        <v>61678.448611143736</v>
      </c>
      <c r="L14">
        <f t="shared" si="2"/>
        <v>1425.7608868461791</v>
      </c>
    </row>
    <row r="15" spans="1:12" x14ac:dyDescent="0.3">
      <c r="A15">
        <f t="shared" si="4"/>
        <v>13</v>
      </c>
      <c r="B15">
        <f t="shared" si="0"/>
        <v>1663639.6638897371</v>
      </c>
      <c r="C15">
        <f t="shared" si="5"/>
        <v>60000</v>
      </c>
      <c r="D15">
        <f t="shared" si="6"/>
        <v>66545.586555589485</v>
      </c>
      <c r="L15">
        <f t="shared" si="2"/>
        <v>1468.5337134515646</v>
      </c>
    </row>
    <row r="16" spans="1:12" x14ac:dyDescent="0.3">
      <c r="A16">
        <f t="shared" si="4"/>
        <v>14</v>
      </c>
      <c r="B16">
        <f t="shared" si="0"/>
        <v>1790185.2504453266</v>
      </c>
      <c r="C16">
        <f t="shared" si="5"/>
        <v>60000</v>
      </c>
      <c r="D16">
        <f t="shared" si="6"/>
        <v>71607.410017813061</v>
      </c>
      <c r="L16">
        <f t="shared" si="2"/>
        <v>1512.5897248551116</v>
      </c>
    </row>
    <row r="17" spans="1:12" x14ac:dyDescent="0.3">
      <c r="A17">
        <f t="shared" si="4"/>
        <v>15</v>
      </c>
      <c r="B17">
        <f t="shared" si="0"/>
        <v>1921792.6604631396</v>
      </c>
      <c r="C17">
        <f t="shared" si="5"/>
        <v>60000</v>
      </c>
      <c r="D17">
        <f t="shared" si="6"/>
        <v>76871.706418525588</v>
      </c>
      <c r="L17">
        <f t="shared" si="2"/>
        <v>1557.9674166007651</v>
      </c>
    </row>
    <row r="18" spans="1:12" x14ac:dyDescent="0.3">
      <c r="A18">
        <f t="shared" si="4"/>
        <v>16</v>
      </c>
      <c r="B18">
        <f t="shared" si="0"/>
        <v>2058664.3668816653</v>
      </c>
      <c r="C18">
        <f t="shared" si="5"/>
        <v>60000</v>
      </c>
      <c r="D18">
        <f t="shared" si="6"/>
        <v>82346.574675266616</v>
      </c>
      <c r="L18">
        <f t="shared" si="2"/>
        <v>1604.706439098788</v>
      </c>
    </row>
    <row r="19" spans="1:12" x14ac:dyDescent="0.3">
      <c r="A19">
        <f t="shared" si="4"/>
        <v>17</v>
      </c>
      <c r="B19">
        <f t="shared" si="0"/>
        <v>2201010.9415569319</v>
      </c>
      <c r="C19">
        <f t="shared" si="5"/>
        <v>60000</v>
      </c>
      <c r="D19">
        <f t="shared" si="6"/>
        <v>88040.437662277283</v>
      </c>
      <c r="L19">
        <f t="shared" si="2"/>
        <v>1652.8476322717518</v>
      </c>
    </row>
    <row r="20" spans="1:12" x14ac:dyDescent="0.3">
      <c r="A20">
        <f t="shared" si="4"/>
        <v>18</v>
      </c>
      <c r="B20">
        <f t="shared" si="0"/>
        <v>2349051.3792192093</v>
      </c>
      <c r="C20">
        <f t="shared" si="5"/>
        <v>60000</v>
      </c>
      <c r="D20">
        <f t="shared" si="6"/>
        <v>93962.055168768376</v>
      </c>
      <c r="L20">
        <f t="shared" si="2"/>
        <v>1702.4330612399044</v>
      </c>
    </row>
    <row r="21" spans="1:12" x14ac:dyDescent="0.3">
      <c r="A21">
        <f t="shared" si="4"/>
        <v>19</v>
      </c>
      <c r="B21">
        <f t="shared" si="0"/>
        <v>2503013.4343879777</v>
      </c>
      <c r="C21">
        <f t="shared" si="5"/>
        <v>60000</v>
      </c>
      <c r="D21">
        <f t="shared" si="6"/>
        <v>100120.53737551911</v>
      </c>
      <c r="L21">
        <f t="shared" si="2"/>
        <v>1753.5060530771016</v>
      </c>
    </row>
    <row r="22" spans="1:12" x14ac:dyDescent="0.3">
      <c r="A22">
        <f t="shared" ref="A22" si="7">1+A21</f>
        <v>20</v>
      </c>
      <c r="B22">
        <f t="shared" si="0"/>
        <v>2663133.9717634968</v>
      </c>
      <c r="C22">
        <f t="shared" ref="C22" si="8">F$2</f>
        <v>60000</v>
      </c>
      <c r="D22">
        <f t="shared" ref="D22" si="9">B22*H$2</f>
        <v>106525.35887053987</v>
      </c>
      <c r="E22" t="s">
        <v>41</v>
      </c>
      <c r="L22">
        <f t="shared" si="2"/>
        <v>1806.1112346694147</v>
      </c>
    </row>
    <row r="23" spans="1:12" x14ac:dyDescent="0.3">
      <c r="C23">
        <f>SUM(C2:C22)</f>
        <v>1200000</v>
      </c>
      <c r="D23">
        <f>SUM(D2:D22)</f>
        <v>1169659.3306340366</v>
      </c>
      <c r="E23">
        <f>B22-SUM(C3:C22)-G2</f>
        <v>1063133.9717634968</v>
      </c>
    </row>
    <row r="24" spans="1:12" x14ac:dyDescent="0.3">
      <c r="C24">
        <f>(SUM(C3:C22)+G2)/B22</f>
        <v>0.60079591074439953</v>
      </c>
      <c r="D24">
        <f>1-C24</f>
        <v>0.39920408925560047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Sommer</dc:creator>
  <cp:lastModifiedBy>somme</cp:lastModifiedBy>
  <dcterms:created xsi:type="dcterms:W3CDTF">2015-06-05T18:19:34Z</dcterms:created>
  <dcterms:modified xsi:type="dcterms:W3CDTF">2021-05-23T15:51:23Z</dcterms:modified>
</cp:coreProperties>
</file>