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lestick" sheetId="1" r:id="rId4"/>
    <sheet state="visible" name="AAPL, IBM, AMZN" sheetId="2" r:id="rId5"/>
    <sheet state="visible" name="Fidelity" sheetId="3" r:id="rId6"/>
    <sheet state="visible" name="Forex" sheetId="4" r:id="rId7"/>
  </sheets>
  <definedNames/>
  <calcPr/>
</workbook>
</file>

<file path=xl/sharedStrings.xml><?xml version="1.0" encoding="utf-8"?>
<sst xmlns="http://schemas.openxmlformats.org/spreadsheetml/2006/main" count="43" uniqueCount="33">
  <si>
    <t>AAPL</t>
  </si>
  <si>
    <t>AMZN</t>
  </si>
  <si>
    <t>IBM</t>
  </si>
  <si>
    <t>Price</t>
  </si>
  <si>
    <t>Risk-free rate</t>
  </si>
  <si>
    <t>High52</t>
  </si>
  <si>
    <t>Market Return (S&amp;P500)</t>
  </si>
  <si>
    <t>Low52</t>
  </si>
  <si>
    <t>Shares</t>
  </si>
  <si>
    <t>Market cap</t>
  </si>
  <si>
    <t>P/E</t>
  </si>
  <si>
    <t>EPS</t>
  </si>
  <si>
    <t>Beta</t>
  </si>
  <si>
    <t>Earnings</t>
  </si>
  <si>
    <t>Cost of equity</t>
  </si>
  <si>
    <t>HighLowDiff</t>
  </si>
  <si>
    <t>Grown52</t>
  </si>
  <si>
    <t>Decline52</t>
  </si>
  <si>
    <t>Return YTD</t>
  </si>
  <si>
    <t>Net Assets</t>
  </si>
  <si>
    <t>Income Dividend</t>
  </si>
  <si>
    <t>Distrivution Yield</t>
  </si>
  <si>
    <t>Capital Gain</t>
  </si>
  <si>
    <t>Morningstar Rating</t>
  </si>
  <si>
    <t>Expense Ratio</t>
  </si>
  <si>
    <t>USD</t>
  </si>
  <si>
    <t>EUR</t>
  </si>
  <si>
    <t>CHF</t>
  </si>
  <si>
    <t>GBP</t>
  </si>
  <si>
    <t>CAD</t>
  </si>
  <si>
    <t>JPY</t>
  </si>
  <si>
    <t>RUB</t>
  </si>
  <si>
    <t>UAH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</si>
</sst>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10" xfId="0" applyFont="1" applyNumberFormat="1"/>
    <xf borderId="0" fillId="2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IFERROR(__xludf.DUMMYFUNCTION("GOOGLEFINANCE(""NASDAQ:AAPL"" , ""all"" , TODAY()-30 , TODAY(), ""DAILY"")"),"Date")</f>
        <v>Date</v>
      </c>
      <c r="B1" s="2" t="str">
        <f>IFERROR(__xludf.DUMMYFUNCTION("""COMPUTED_VALUE"""),"Open")</f>
        <v>Open</v>
      </c>
      <c r="C1" s="2" t="str">
        <f>IFERROR(__xludf.DUMMYFUNCTION("""COMPUTED_VALUE"""),"High")</f>
        <v>High</v>
      </c>
      <c r="D1" s="2" t="str">
        <f>IFERROR(__xludf.DUMMYFUNCTION("""COMPUTED_VALUE"""),"Low")</f>
        <v>Low</v>
      </c>
      <c r="E1" s="2" t="str">
        <f>IFERROR(__xludf.DUMMYFUNCTION("""COMPUTED_VALUE"""),"Close")</f>
        <v>Close</v>
      </c>
      <c r="F1" s="2" t="str">
        <f>IFERROR(__xludf.DUMMYFUNCTION("""COMPUTED_VALUE"""),"Volume")</f>
        <v>Volume</v>
      </c>
    </row>
    <row r="2">
      <c r="A2" s="1">
        <f>IFERROR(__xludf.DUMMYFUNCTION("""COMPUTED_VALUE"""),44069.66666666667)</f>
        <v>44069.66667</v>
      </c>
      <c r="B2" s="2">
        <f>IFERROR(__xludf.DUMMYFUNCTION("""COMPUTED_VALUE"""),126.18)</f>
        <v>126.18</v>
      </c>
      <c r="C2" s="2">
        <f>IFERROR(__xludf.DUMMYFUNCTION("""COMPUTED_VALUE"""),126.99)</f>
        <v>126.99</v>
      </c>
      <c r="D2" s="2">
        <f>IFERROR(__xludf.DUMMYFUNCTION("""COMPUTED_VALUE"""),125.08)</f>
        <v>125.08</v>
      </c>
      <c r="E2" s="2">
        <f>IFERROR(__xludf.DUMMYFUNCTION("""COMPUTED_VALUE"""),126.52)</f>
        <v>126.52</v>
      </c>
      <c r="F2" s="2">
        <f>IFERROR(__xludf.DUMMYFUNCTION("""COMPUTED_VALUE"""),4.0755567E7)</f>
        <v>40755567</v>
      </c>
    </row>
    <row r="3">
      <c r="A3" s="1">
        <f>IFERROR(__xludf.DUMMYFUNCTION("""COMPUTED_VALUE"""),44070.66666666667)</f>
        <v>44070.66667</v>
      </c>
      <c r="B3" s="2">
        <f>IFERROR(__xludf.DUMMYFUNCTION("""COMPUTED_VALUE"""),127.14)</f>
        <v>127.14</v>
      </c>
      <c r="C3" s="2">
        <f>IFERROR(__xludf.DUMMYFUNCTION("""COMPUTED_VALUE"""),127.49)</f>
        <v>127.49</v>
      </c>
      <c r="D3" s="2">
        <f>IFERROR(__xludf.DUMMYFUNCTION("""COMPUTED_VALUE"""),123.83)</f>
        <v>123.83</v>
      </c>
      <c r="E3" s="2">
        <f>IFERROR(__xludf.DUMMYFUNCTION("""COMPUTED_VALUE"""),125.01)</f>
        <v>125.01</v>
      </c>
      <c r="F3" s="2">
        <f>IFERROR(__xludf.DUMMYFUNCTION("""COMPUTED_VALUE"""),3.8888096E7)</f>
        <v>38888096</v>
      </c>
    </row>
    <row r="4">
      <c r="A4" s="1">
        <f>IFERROR(__xludf.DUMMYFUNCTION("""COMPUTED_VALUE"""),44071.66666666667)</f>
        <v>44071.66667</v>
      </c>
      <c r="B4" s="2">
        <f>IFERROR(__xludf.DUMMYFUNCTION("""COMPUTED_VALUE"""),126.01)</f>
        <v>126.01</v>
      </c>
      <c r="C4" s="2">
        <f>IFERROR(__xludf.DUMMYFUNCTION("""COMPUTED_VALUE"""),126.44)</f>
        <v>126.44</v>
      </c>
      <c r="D4" s="2">
        <f>IFERROR(__xludf.DUMMYFUNCTION("""COMPUTED_VALUE"""),124.58)</f>
        <v>124.58</v>
      </c>
      <c r="E4" s="2">
        <f>IFERROR(__xludf.DUMMYFUNCTION("""COMPUTED_VALUE"""),124.81)</f>
        <v>124.81</v>
      </c>
      <c r="F4" s="2">
        <f>IFERROR(__xludf.DUMMYFUNCTION("""COMPUTED_VALUE"""),4.6907479E7)</f>
        <v>46907479</v>
      </c>
    </row>
    <row r="5">
      <c r="A5" s="1">
        <f>IFERROR(__xludf.DUMMYFUNCTION("""COMPUTED_VALUE"""),44074.66666666667)</f>
        <v>44074.66667</v>
      </c>
      <c r="B5" s="2">
        <f>IFERROR(__xludf.DUMMYFUNCTION("""COMPUTED_VALUE"""),127.58)</f>
        <v>127.58</v>
      </c>
      <c r="C5" s="2">
        <f>IFERROR(__xludf.DUMMYFUNCTION("""COMPUTED_VALUE"""),131.0)</f>
        <v>131</v>
      </c>
      <c r="D5" s="2">
        <f>IFERROR(__xludf.DUMMYFUNCTION("""COMPUTED_VALUE"""),126.0)</f>
        <v>126</v>
      </c>
      <c r="E5" s="2">
        <f>IFERROR(__xludf.DUMMYFUNCTION("""COMPUTED_VALUE"""),129.04)</f>
        <v>129.04</v>
      </c>
      <c r="F5" s="2">
        <f>IFERROR(__xludf.DUMMYFUNCTION("""COMPUTED_VALUE"""),2.25702688E8)</f>
        <v>225702688</v>
      </c>
    </row>
    <row r="6">
      <c r="A6" s="1">
        <f>IFERROR(__xludf.DUMMYFUNCTION("""COMPUTED_VALUE"""),44075.66666666667)</f>
        <v>44075.66667</v>
      </c>
      <c r="B6" s="2">
        <f>IFERROR(__xludf.DUMMYFUNCTION("""COMPUTED_VALUE"""),132.76)</f>
        <v>132.76</v>
      </c>
      <c r="C6" s="2">
        <f>IFERROR(__xludf.DUMMYFUNCTION("""COMPUTED_VALUE"""),134.8)</f>
        <v>134.8</v>
      </c>
      <c r="D6" s="2">
        <f>IFERROR(__xludf.DUMMYFUNCTION("""COMPUTED_VALUE"""),130.53)</f>
        <v>130.53</v>
      </c>
      <c r="E6" s="2">
        <f>IFERROR(__xludf.DUMMYFUNCTION("""COMPUTED_VALUE"""),134.18)</f>
        <v>134.18</v>
      </c>
      <c r="F6" s="2">
        <f>IFERROR(__xludf.DUMMYFUNCTION("""COMPUTED_VALUE"""),1.52470142E8)</f>
        <v>152470142</v>
      </c>
    </row>
    <row r="7">
      <c r="A7" s="1">
        <f>IFERROR(__xludf.DUMMYFUNCTION("""COMPUTED_VALUE"""),44076.66666666667)</f>
        <v>44076.66667</v>
      </c>
      <c r="B7" s="2">
        <f>IFERROR(__xludf.DUMMYFUNCTION("""COMPUTED_VALUE"""),137.59)</f>
        <v>137.59</v>
      </c>
      <c r="C7" s="2">
        <f>IFERROR(__xludf.DUMMYFUNCTION("""COMPUTED_VALUE"""),137.98)</f>
        <v>137.98</v>
      </c>
      <c r="D7" s="2">
        <f>IFERROR(__xludf.DUMMYFUNCTION("""COMPUTED_VALUE"""),127.0)</f>
        <v>127</v>
      </c>
      <c r="E7" s="2">
        <f>IFERROR(__xludf.DUMMYFUNCTION("""COMPUTED_VALUE"""),131.4)</f>
        <v>131.4</v>
      </c>
      <c r="F7" s="2">
        <f>IFERROR(__xludf.DUMMYFUNCTION("""COMPUTED_VALUE"""),2.00118991E8)</f>
        <v>200118991</v>
      </c>
    </row>
    <row r="8">
      <c r="A8" s="1">
        <f>IFERROR(__xludf.DUMMYFUNCTION("""COMPUTED_VALUE"""),44077.66666666667)</f>
        <v>44077.66667</v>
      </c>
      <c r="B8" s="2">
        <f>IFERROR(__xludf.DUMMYFUNCTION("""COMPUTED_VALUE"""),126.91)</f>
        <v>126.91</v>
      </c>
      <c r="C8" s="2">
        <f>IFERROR(__xludf.DUMMYFUNCTION("""COMPUTED_VALUE"""),128.84)</f>
        <v>128.84</v>
      </c>
      <c r="D8" s="2">
        <f>IFERROR(__xludf.DUMMYFUNCTION("""COMPUTED_VALUE"""),120.5)</f>
        <v>120.5</v>
      </c>
      <c r="E8" s="2">
        <f>IFERROR(__xludf.DUMMYFUNCTION("""COMPUTED_VALUE"""),120.88)</f>
        <v>120.88</v>
      </c>
      <c r="F8" s="2">
        <f>IFERROR(__xludf.DUMMYFUNCTION("""COMPUTED_VALUE"""),2.5759964E8)</f>
        <v>257599640</v>
      </c>
    </row>
    <row r="9">
      <c r="A9" s="1">
        <f>IFERROR(__xludf.DUMMYFUNCTION("""COMPUTED_VALUE"""),44078.66666666667)</f>
        <v>44078.66667</v>
      </c>
      <c r="B9" s="2">
        <f>IFERROR(__xludf.DUMMYFUNCTION("""COMPUTED_VALUE"""),120.07)</f>
        <v>120.07</v>
      </c>
      <c r="C9" s="2">
        <f>IFERROR(__xludf.DUMMYFUNCTION("""COMPUTED_VALUE"""),123.7)</f>
        <v>123.7</v>
      </c>
      <c r="D9" s="2">
        <f>IFERROR(__xludf.DUMMYFUNCTION("""COMPUTED_VALUE"""),110.89)</f>
        <v>110.89</v>
      </c>
      <c r="E9" s="2">
        <f>IFERROR(__xludf.DUMMYFUNCTION("""COMPUTED_VALUE"""),120.96)</f>
        <v>120.96</v>
      </c>
      <c r="F9" s="2">
        <f>IFERROR(__xludf.DUMMYFUNCTION("""COMPUTED_VALUE"""),3.32607163E8)</f>
        <v>332607163</v>
      </c>
    </row>
    <row r="10">
      <c r="A10" s="1">
        <f>IFERROR(__xludf.DUMMYFUNCTION("""COMPUTED_VALUE"""),44082.66666666667)</f>
        <v>44082.66667</v>
      </c>
      <c r="B10" s="2">
        <f>IFERROR(__xludf.DUMMYFUNCTION("""COMPUTED_VALUE"""),113.95)</f>
        <v>113.95</v>
      </c>
      <c r="C10" s="2">
        <f>IFERROR(__xludf.DUMMYFUNCTION("""COMPUTED_VALUE"""),118.99)</f>
        <v>118.99</v>
      </c>
      <c r="D10" s="2">
        <f>IFERROR(__xludf.DUMMYFUNCTION("""COMPUTED_VALUE"""),112.68)</f>
        <v>112.68</v>
      </c>
      <c r="E10" s="2">
        <f>IFERROR(__xludf.DUMMYFUNCTION("""COMPUTED_VALUE"""),112.82)</f>
        <v>112.82</v>
      </c>
      <c r="F10" s="2">
        <f>IFERROR(__xludf.DUMMYFUNCTION("""COMPUTED_VALUE"""),2.31366563E8)</f>
        <v>231366563</v>
      </c>
    </row>
    <row r="11">
      <c r="A11" s="1">
        <f>IFERROR(__xludf.DUMMYFUNCTION("""COMPUTED_VALUE"""),44083.66666666667)</f>
        <v>44083.66667</v>
      </c>
      <c r="B11" s="2">
        <f>IFERROR(__xludf.DUMMYFUNCTION("""COMPUTED_VALUE"""),117.26)</f>
        <v>117.26</v>
      </c>
      <c r="C11" s="2">
        <f>IFERROR(__xludf.DUMMYFUNCTION("""COMPUTED_VALUE"""),119.14)</f>
        <v>119.14</v>
      </c>
      <c r="D11" s="2">
        <f>IFERROR(__xludf.DUMMYFUNCTION("""COMPUTED_VALUE"""),115.26)</f>
        <v>115.26</v>
      </c>
      <c r="E11" s="2">
        <f>IFERROR(__xludf.DUMMYFUNCTION("""COMPUTED_VALUE"""),117.32)</f>
        <v>117.32</v>
      </c>
      <c r="F11" s="2">
        <f>IFERROR(__xludf.DUMMYFUNCTION("""COMPUTED_VALUE"""),1.76940455E8)</f>
        <v>176940455</v>
      </c>
    </row>
    <row r="12">
      <c r="A12" s="1">
        <f>IFERROR(__xludf.DUMMYFUNCTION("""COMPUTED_VALUE"""),44084.66666666667)</f>
        <v>44084.66667</v>
      </c>
      <c r="B12" s="2">
        <f>IFERROR(__xludf.DUMMYFUNCTION("""COMPUTED_VALUE"""),120.36)</f>
        <v>120.36</v>
      </c>
      <c r="C12" s="2">
        <f>IFERROR(__xludf.DUMMYFUNCTION("""COMPUTED_VALUE"""),120.5)</f>
        <v>120.5</v>
      </c>
      <c r="D12" s="2">
        <f>IFERROR(__xludf.DUMMYFUNCTION("""COMPUTED_VALUE"""),112.5)</f>
        <v>112.5</v>
      </c>
      <c r="E12" s="2">
        <f>IFERROR(__xludf.DUMMYFUNCTION("""COMPUTED_VALUE"""),113.49)</f>
        <v>113.49</v>
      </c>
      <c r="F12" s="2">
        <f>IFERROR(__xludf.DUMMYFUNCTION("""COMPUTED_VALUE"""),1.82274391E8)</f>
        <v>182274391</v>
      </c>
    </row>
    <row r="13">
      <c r="A13" s="1">
        <f>IFERROR(__xludf.DUMMYFUNCTION("""COMPUTED_VALUE"""),44085.66666666667)</f>
        <v>44085.66667</v>
      </c>
      <c r="B13" s="2">
        <f>IFERROR(__xludf.DUMMYFUNCTION("""COMPUTED_VALUE"""),114.57)</f>
        <v>114.57</v>
      </c>
      <c r="C13" s="2">
        <f>IFERROR(__xludf.DUMMYFUNCTION("""COMPUTED_VALUE"""),115.23)</f>
        <v>115.23</v>
      </c>
      <c r="D13" s="2">
        <f>IFERROR(__xludf.DUMMYFUNCTION("""COMPUTED_VALUE"""),110.0)</f>
        <v>110</v>
      </c>
      <c r="E13" s="2">
        <f>IFERROR(__xludf.DUMMYFUNCTION("""COMPUTED_VALUE"""),112.0)</f>
        <v>112</v>
      </c>
      <c r="F13" s="2">
        <f>IFERROR(__xludf.DUMMYFUNCTION("""COMPUTED_VALUE"""),1.80860325E8)</f>
        <v>180860325</v>
      </c>
    </row>
    <row r="14">
      <c r="A14" s="1">
        <f>IFERROR(__xludf.DUMMYFUNCTION("""COMPUTED_VALUE"""),44088.66666666667)</f>
        <v>44088.66667</v>
      </c>
      <c r="B14" s="2">
        <f>IFERROR(__xludf.DUMMYFUNCTION("""COMPUTED_VALUE"""),114.72)</f>
        <v>114.72</v>
      </c>
      <c r="C14" s="2">
        <f>IFERROR(__xludf.DUMMYFUNCTION("""COMPUTED_VALUE"""),115.93)</f>
        <v>115.93</v>
      </c>
      <c r="D14" s="2">
        <f>IFERROR(__xludf.DUMMYFUNCTION("""COMPUTED_VALUE"""),112.8)</f>
        <v>112.8</v>
      </c>
      <c r="E14" s="2">
        <f>IFERROR(__xludf.DUMMYFUNCTION("""COMPUTED_VALUE"""),115.36)</f>
        <v>115.36</v>
      </c>
      <c r="F14" s="2">
        <f>IFERROR(__xludf.DUMMYFUNCTION("""COMPUTED_VALUE"""),1.40150087E8)</f>
        <v>140150087</v>
      </c>
    </row>
    <row r="15">
      <c r="A15" s="1">
        <f>IFERROR(__xludf.DUMMYFUNCTION("""COMPUTED_VALUE"""),44089.66666666667)</f>
        <v>44089.66667</v>
      </c>
      <c r="B15" s="2">
        <f>IFERROR(__xludf.DUMMYFUNCTION("""COMPUTED_VALUE"""),118.33)</f>
        <v>118.33</v>
      </c>
      <c r="C15" s="2">
        <f>IFERROR(__xludf.DUMMYFUNCTION("""COMPUTED_VALUE"""),118.83)</f>
        <v>118.83</v>
      </c>
      <c r="D15" s="2">
        <f>IFERROR(__xludf.DUMMYFUNCTION("""COMPUTED_VALUE"""),113.61)</f>
        <v>113.61</v>
      </c>
      <c r="E15" s="2">
        <f>IFERROR(__xludf.DUMMYFUNCTION("""COMPUTED_VALUE"""),115.54)</f>
        <v>115.54</v>
      </c>
      <c r="F15" s="2">
        <f>IFERROR(__xludf.DUMMYFUNCTION("""COMPUTED_VALUE"""),1.84642039E8)</f>
        <v>184642039</v>
      </c>
    </row>
    <row r="16">
      <c r="A16" s="1">
        <f>IFERROR(__xludf.DUMMYFUNCTION("""COMPUTED_VALUE"""),44090.66666666667)</f>
        <v>44090.66667</v>
      </c>
      <c r="B16" s="2">
        <f>IFERROR(__xludf.DUMMYFUNCTION("""COMPUTED_VALUE"""),115.23)</f>
        <v>115.23</v>
      </c>
      <c r="C16" s="2">
        <f>IFERROR(__xludf.DUMMYFUNCTION("""COMPUTED_VALUE"""),116.0)</f>
        <v>116</v>
      </c>
      <c r="D16" s="2">
        <f>IFERROR(__xludf.DUMMYFUNCTION("""COMPUTED_VALUE"""),112.04)</f>
        <v>112.04</v>
      </c>
      <c r="E16" s="2">
        <f>IFERROR(__xludf.DUMMYFUNCTION("""COMPUTED_VALUE"""),112.13)</f>
        <v>112.13</v>
      </c>
      <c r="F16" s="2">
        <f>IFERROR(__xludf.DUMMYFUNCTION("""COMPUTED_VALUE"""),1.55026675E8)</f>
        <v>155026675</v>
      </c>
    </row>
    <row r="17">
      <c r="A17" s="1">
        <f>IFERROR(__xludf.DUMMYFUNCTION("""COMPUTED_VALUE"""),44091.66666666667)</f>
        <v>44091.66667</v>
      </c>
      <c r="B17" s="2">
        <f>IFERROR(__xludf.DUMMYFUNCTION("""COMPUTED_VALUE"""),109.72)</f>
        <v>109.72</v>
      </c>
      <c r="C17" s="2">
        <f>IFERROR(__xludf.DUMMYFUNCTION("""COMPUTED_VALUE"""),112.2)</f>
        <v>112.2</v>
      </c>
      <c r="D17" s="2">
        <f>IFERROR(__xludf.DUMMYFUNCTION("""COMPUTED_VALUE"""),108.71)</f>
        <v>108.71</v>
      </c>
      <c r="E17" s="2">
        <f>IFERROR(__xludf.DUMMYFUNCTION("""COMPUTED_VALUE"""),110.34)</f>
        <v>110.34</v>
      </c>
      <c r="F17" s="2">
        <f>IFERROR(__xludf.DUMMYFUNCTION("""COMPUTED_VALUE"""),1.78010968E8)</f>
        <v>178010968</v>
      </c>
    </row>
    <row r="18">
      <c r="A18" s="1">
        <f>IFERROR(__xludf.DUMMYFUNCTION("""COMPUTED_VALUE"""),44092.66666666667)</f>
        <v>44092.66667</v>
      </c>
      <c r="B18" s="2">
        <f>IFERROR(__xludf.DUMMYFUNCTION("""COMPUTED_VALUE"""),110.4)</f>
        <v>110.4</v>
      </c>
      <c r="C18" s="2">
        <f>IFERROR(__xludf.DUMMYFUNCTION("""COMPUTED_VALUE"""),110.88)</f>
        <v>110.88</v>
      </c>
      <c r="D18" s="2">
        <f>IFERROR(__xludf.DUMMYFUNCTION("""COMPUTED_VALUE"""),106.09)</f>
        <v>106.09</v>
      </c>
      <c r="E18" s="2">
        <f>IFERROR(__xludf.DUMMYFUNCTION("""COMPUTED_VALUE"""),106.84)</f>
        <v>106.84</v>
      </c>
      <c r="F18" s="2">
        <f>IFERROR(__xludf.DUMMYFUNCTION("""COMPUTED_VALUE"""),2.87104882E8)</f>
        <v>287104882</v>
      </c>
    </row>
    <row r="19">
      <c r="A19" s="1">
        <f>IFERROR(__xludf.DUMMYFUNCTION("""COMPUTED_VALUE"""),44095.66666666667)</f>
        <v>44095.66667</v>
      </c>
      <c r="B19" s="2">
        <f>IFERROR(__xludf.DUMMYFUNCTION("""COMPUTED_VALUE"""),104.54)</f>
        <v>104.54</v>
      </c>
      <c r="C19" s="2">
        <f>IFERROR(__xludf.DUMMYFUNCTION("""COMPUTED_VALUE"""),110.19)</f>
        <v>110.19</v>
      </c>
      <c r="D19" s="2">
        <f>IFERROR(__xludf.DUMMYFUNCTION("""COMPUTED_VALUE"""),103.1)</f>
        <v>103.1</v>
      </c>
      <c r="E19" s="2">
        <f>IFERROR(__xludf.DUMMYFUNCTION("""COMPUTED_VALUE"""),110.08)</f>
        <v>110.08</v>
      </c>
      <c r="F19" s="2">
        <f>IFERROR(__xludf.DUMMYFUNCTION("""COMPUTED_VALUE"""),1.95713815E8)</f>
        <v>195713815</v>
      </c>
    </row>
    <row r="20">
      <c r="A20" s="1">
        <f>IFERROR(__xludf.DUMMYFUNCTION("""COMPUTED_VALUE"""),44096.66666666667)</f>
        <v>44096.66667</v>
      </c>
      <c r="B20" s="2">
        <f>IFERROR(__xludf.DUMMYFUNCTION("""COMPUTED_VALUE"""),112.68)</f>
        <v>112.68</v>
      </c>
      <c r="C20" s="2">
        <f>IFERROR(__xludf.DUMMYFUNCTION("""COMPUTED_VALUE"""),112.86)</f>
        <v>112.86</v>
      </c>
      <c r="D20" s="2">
        <f>IFERROR(__xludf.DUMMYFUNCTION("""COMPUTED_VALUE"""),109.16)</f>
        <v>109.16</v>
      </c>
      <c r="E20" s="2">
        <f>IFERROR(__xludf.DUMMYFUNCTION("""COMPUTED_VALUE"""),111.81)</f>
        <v>111.81</v>
      </c>
      <c r="F20" s="2">
        <f>IFERROR(__xludf.DUMMYFUNCTION("""COMPUTED_VALUE"""),1.83055373E8)</f>
        <v>183055373</v>
      </c>
    </row>
    <row r="21">
      <c r="A21" s="1">
        <f>IFERROR(__xludf.DUMMYFUNCTION("""COMPUTED_VALUE"""),44097.66666666667)</f>
        <v>44097.66667</v>
      </c>
      <c r="B21" s="2">
        <f>IFERROR(__xludf.DUMMYFUNCTION("""COMPUTED_VALUE"""),111.62)</f>
        <v>111.62</v>
      </c>
      <c r="C21" s="2">
        <f>IFERROR(__xludf.DUMMYFUNCTION("""COMPUTED_VALUE"""),112.11)</f>
        <v>112.11</v>
      </c>
      <c r="D21" s="2">
        <f>IFERROR(__xludf.DUMMYFUNCTION("""COMPUTED_VALUE"""),106.77)</f>
        <v>106.77</v>
      </c>
      <c r="E21" s="2">
        <f>IFERROR(__xludf.DUMMYFUNCTION("""COMPUTED_VALUE"""),107.12)</f>
        <v>107.12</v>
      </c>
      <c r="F21" s="2">
        <f>IFERROR(__xludf.DUMMYFUNCTION("""COMPUTED_VALUE"""),1.50718671E8)</f>
        <v>150718671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18.14"/>
    <col customWidth="1" min="4" max="4" width="16.43"/>
    <col customWidth="1" min="8" max="8" width="22.0"/>
  </cols>
  <sheetData>
    <row r="1">
      <c r="B1" s="3" t="s">
        <v>0</v>
      </c>
      <c r="C1" s="3" t="s">
        <v>1</v>
      </c>
      <c r="D1" s="3" t="s">
        <v>2</v>
      </c>
    </row>
    <row r="2">
      <c r="A2" s="3" t="s">
        <v>3</v>
      </c>
      <c r="B2" s="2">
        <f>IFERROR(__xludf.DUMMYFUNCTION("GOOGLEFINANCE(""NASDAQ:AAPL"", ""PRICE"")"),108.22)</f>
        <v>108.22</v>
      </c>
      <c r="C2" s="2">
        <f>IFERROR(__xludf.DUMMYFUNCTION("GOOGLEFINANCE(""NASDAQ:AMZN"", ""PRICE"")"),3019.79)</f>
        <v>3019.79</v>
      </c>
      <c r="D2" s="2">
        <f>IFERROR(__xludf.DUMMYFUNCTION("GOOGLEFINANCE(""NYSE:IBM"", ""PRICE"")"),118.09)</f>
        <v>118.09</v>
      </c>
      <c r="H2" s="3" t="s">
        <v>4</v>
      </c>
      <c r="I2" s="4">
        <v>0.0067</v>
      </c>
    </row>
    <row r="3">
      <c r="A3" s="3" t="s">
        <v>5</v>
      </c>
      <c r="B3" s="2">
        <f>IFERROR(__xludf.DUMMYFUNCTION("GOOGLEFINANCE(""NASDAQ:AAPL"", ""high52"")"),137.98)</f>
        <v>137.98</v>
      </c>
      <c r="C3" s="2">
        <f>IFERROR(__xludf.DUMMYFUNCTION("GOOGLEFINANCE(""NASDAQ:AMZN"", ""high52"")"),3552.25)</f>
        <v>3552.25</v>
      </c>
      <c r="D3" s="2">
        <f>IFERROR(__xludf.DUMMYFUNCTION("GOOGLEFINANCE(""NYSE:IBM"", ""high52"")"),158.75)</f>
        <v>158.75</v>
      </c>
      <c r="H3" s="3" t="s">
        <v>6</v>
      </c>
      <c r="I3" s="4">
        <v>0.0796</v>
      </c>
    </row>
    <row r="4">
      <c r="A4" s="3" t="s">
        <v>7</v>
      </c>
      <c r="B4" s="2">
        <f>IFERROR(__xludf.DUMMYFUNCTION("GOOGLEFINANCE(""NASDAQ:AAPL"", ""low52"")"),53.15)</f>
        <v>53.15</v>
      </c>
      <c r="C4" s="2">
        <f>IFERROR(__xludf.DUMMYFUNCTION("GOOGLEFINANCE(""NASDAQ:AMZN"", ""low52"")"),1626.03)</f>
        <v>1626.03</v>
      </c>
      <c r="D4" s="2">
        <f>IFERROR(__xludf.DUMMYFUNCTION("GOOGLEFINANCE(""NYSE:IBM"", ""low52"")"),90.56)</f>
        <v>90.56</v>
      </c>
    </row>
    <row r="5">
      <c r="A5" s="3" t="s">
        <v>8</v>
      </c>
      <c r="B5" s="5">
        <f>IFERROR(__xludf.DUMMYFUNCTION("GOOGLEFINANCE(""NASDAQ:AAPL"", ""shares"")"),1.733734E10)</f>
        <v>17337340000</v>
      </c>
      <c r="C5" s="5">
        <f>IFERROR(__xludf.DUMMYFUNCTION("GOOGLEFINANCE(""NASDAQ:AMZN"", ""shares"")"),5.0089E8)</f>
        <v>500890000</v>
      </c>
      <c r="D5" s="5">
        <f>IFERROR(__xludf.DUMMYFUNCTION("GOOGLEFINANCE(""NYSE:IBM"", ""shares"")"),8.90579E8)</f>
        <v>890579000</v>
      </c>
    </row>
    <row r="6">
      <c r="A6" s="3" t="s">
        <v>9</v>
      </c>
      <c r="B6" s="6">
        <f>IFERROR(__xludf.DUMMYFUNCTION("GOOGLEFINANCE(""NASDAQ:AAPL"", ""marketcap"")"),1.876246955963E12)</f>
        <v>1876246955963</v>
      </c>
      <c r="C6" s="6">
        <f>IFERROR(__xludf.DUMMYFUNCTION("GOOGLEFINANCE(""NASDAQ:AMZN"", ""marketcap"")"),1.512582632666E12)</f>
        <v>1512582632666</v>
      </c>
      <c r="D6" s="6">
        <f>IFERROR(__xludf.DUMMYFUNCTION("GOOGLEFINANCE(""NYSE:IBM"", ""marketcap"")"),1.05168470848E11)</f>
        <v>105168470848</v>
      </c>
    </row>
    <row r="7">
      <c r="A7" s="3" t="s">
        <v>10</v>
      </c>
      <c r="B7" s="7">
        <f>IFERROR(__xludf.DUMMYFUNCTION("GOOGLEFINANCE(""NASDAQ:AAPL"", ""pe"")"),32.9)</f>
        <v>32.9</v>
      </c>
      <c r="C7" s="7">
        <f>IFERROR(__xludf.DUMMYFUNCTION("GOOGLEFINANCE(""NASDAQ:AMZN"", ""pe"")"),116.07)</f>
        <v>116.07</v>
      </c>
      <c r="D7" s="7">
        <f>IFERROR(__xludf.DUMMYFUNCTION("GOOGLEFINANCE(""NYSE:IBM"", ""pe"")"),13.4)</f>
        <v>13.4</v>
      </c>
    </row>
    <row r="8">
      <c r="A8" s="3" t="s">
        <v>11</v>
      </c>
      <c r="B8" s="7">
        <f>IFERROR(__xludf.DUMMYFUNCTION("GOOGLEFINANCE(""NASDAQ:AAPL"", ""eps"")"),3.29)</f>
        <v>3.29</v>
      </c>
      <c r="C8" s="7">
        <f>IFERROR(__xludf.DUMMYFUNCTION("GOOGLEFINANCE(""NASDAQ:AMZN"", ""eps"")"),26.02)</f>
        <v>26.02</v>
      </c>
      <c r="D8" s="7">
        <f>IFERROR(__xludf.DUMMYFUNCTION("GOOGLEFINANCE(""NYSE:IBM"", ""eps"")"),8.81)</f>
        <v>8.81</v>
      </c>
    </row>
    <row r="9">
      <c r="A9" s="3" t="s">
        <v>12</v>
      </c>
      <c r="B9" s="7">
        <f>IFERROR(__xludf.DUMMYFUNCTION("GOOGLEFINANCE(""NASDAQ:AAPL"", ""beta"")"),1.28)</f>
        <v>1.28</v>
      </c>
      <c r="C9" s="7">
        <f>IFERROR(__xludf.DUMMYFUNCTION("GOOGLEFINANCE(""NASDAQ:AMZN"", ""beta"")"),1.32)</f>
        <v>1.32</v>
      </c>
      <c r="D9" s="7">
        <f>IFERROR(__xludf.DUMMYFUNCTION("GOOGLEFINANCE(""NYSE:IBM"", ""beta"")"),1.17)</f>
        <v>1.17</v>
      </c>
    </row>
    <row r="10">
      <c r="A10" s="3" t="s">
        <v>13</v>
      </c>
      <c r="B10" s="6">
        <f t="shared" ref="B10:D10" si="1">B8*B5</f>
        <v>57039848600</v>
      </c>
      <c r="C10" s="6">
        <f t="shared" si="1"/>
        <v>13033157800</v>
      </c>
      <c r="D10" s="6">
        <f t="shared" si="1"/>
        <v>7846000990</v>
      </c>
    </row>
    <row r="11">
      <c r="A11" s="3" t="s">
        <v>14</v>
      </c>
      <c r="B11" s="8">
        <f t="shared" ref="B11:D11" si="2">$I$2+B9*($I$3-$I$2)</f>
        <v>0.100012</v>
      </c>
      <c r="C11" s="8">
        <f t="shared" si="2"/>
        <v>0.102928</v>
      </c>
      <c r="D11" s="8">
        <f t="shared" si="2"/>
        <v>0.091993</v>
      </c>
    </row>
    <row r="12">
      <c r="A12" s="3" t="s">
        <v>15</v>
      </c>
      <c r="B12" s="8">
        <f t="shared" ref="B12:D12" si="3">B3/B4-1</f>
        <v>1.596048918</v>
      </c>
      <c r="C12" s="8">
        <f t="shared" si="3"/>
        <v>1.18461529</v>
      </c>
      <c r="D12" s="8">
        <f t="shared" si="3"/>
        <v>0.7529814488</v>
      </c>
    </row>
    <row r="13">
      <c r="A13" s="3" t="s">
        <v>16</v>
      </c>
      <c r="B13" s="8">
        <f t="shared" ref="B13:D13" si="4">B2/B4</f>
        <v>2.036124177</v>
      </c>
      <c r="C13" s="8">
        <f t="shared" si="4"/>
        <v>1.857155157</v>
      </c>
      <c r="D13" s="8">
        <f t="shared" si="4"/>
        <v>1.30399735</v>
      </c>
    </row>
    <row r="14">
      <c r="A14" s="3" t="s">
        <v>17</v>
      </c>
      <c r="B14" s="8">
        <f t="shared" ref="B14:D14" si="5">B2/B3-1</f>
        <v>-0.2156834324</v>
      </c>
      <c r="C14" s="8">
        <f t="shared" si="5"/>
        <v>-0.1498937293</v>
      </c>
      <c r="D14" s="8">
        <f t="shared" si="5"/>
        <v>-0.2561259843</v>
      </c>
    </row>
    <row r="17">
      <c r="A17" s="3" t="s">
        <v>0</v>
      </c>
      <c r="B17" s="9" t="str">
        <f>IFERROR(__xludf.DUMMYFUNCTION("SPARKLINE(GOOGLEFINANCE(""NASDAQ:AAPL"", ""price"", TODAY()-365, TODAY()))"),"")</f>
        <v/>
      </c>
    </row>
    <row r="18">
      <c r="A18" s="3" t="s">
        <v>1</v>
      </c>
      <c r="B18" s="9" t="str">
        <f>IFERROR(__xludf.DUMMYFUNCTION("SPARKLINE(GOOGLEFINANCE(""NASDAQ:AMZN"", ""price"", TODAY()-365, TODAY()))"),"")</f>
        <v/>
      </c>
    </row>
    <row r="19">
      <c r="A19" s="3" t="s">
        <v>2</v>
      </c>
      <c r="B19" s="9" t="str">
        <f>IFERROR(__xludf.DUMMYFUNCTION("SPARKLINE(GOOGLEFINANCE(""NYSE:IBM"", ""price"", TODAY()-365, TODAY()))"),"")</f>
        <v/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3" t="s">
        <v>3</v>
      </c>
      <c r="B1" s="2">
        <f>IFERROR(__xludf.DUMMYFUNCTION("GOOGLEFINANCE(""MUTF:FXAIX"", ""closeyest"")"),112.99)</f>
        <v>112.99</v>
      </c>
    </row>
    <row r="2">
      <c r="A2" s="3" t="s">
        <v>18</v>
      </c>
      <c r="B2" s="2">
        <f>IFERROR(__xludf.DUMMYFUNCTION("GOOGLEFINANCE(""MUTF:FXAIX"", ""returnytd"")"),4.1)</f>
        <v>4.1</v>
      </c>
    </row>
    <row r="3">
      <c r="A3" s="3" t="s">
        <v>19</v>
      </c>
      <c r="B3" s="2">
        <f>IFERROR(__xludf.DUMMYFUNCTION("GOOGLEFINANCE(""MUTF:FXAIX"", ""netassets"")"),8.4712614255E10)</f>
        <v>84712614255</v>
      </c>
    </row>
    <row r="4">
      <c r="A4" s="3" t="s">
        <v>20</v>
      </c>
      <c r="B4" s="2">
        <f>IFERROR(__xludf.DUMMYFUNCTION("GOOGLEFINANCE(""MUTF:FXAIX"", ""incomedividend"")"),0.45)</f>
        <v>0.45</v>
      </c>
    </row>
    <row r="5">
      <c r="A5" s="3" t="s">
        <v>21</v>
      </c>
      <c r="B5" s="2">
        <f>IFERROR(__xludf.DUMMYFUNCTION("GOOGLEFINANCE(""MUTF:FXAIX"", ""yieldpct"")"),1.85)</f>
        <v>1.85</v>
      </c>
    </row>
    <row r="6">
      <c r="A6" s="3" t="s">
        <v>22</v>
      </c>
      <c r="B6" s="2">
        <f>IFERROR(__xludf.DUMMYFUNCTION("GOOGLEFINANCE(""MUTF:FXAIX"", ""capitalgain"")"),0.09)</f>
        <v>0.09</v>
      </c>
    </row>
    <row r="7">
      <c r="A7" s="3" t="s">
        <v>23</v>
      </c>
      <c r="B7" s="2">
        <f>IFERROR(__xludf.DUMMYFUNCTION("GOOGLEFINANCE(""MUTF:FXAIX"", ""morningstarrating"")"),5.0)</f>
        <v>5</v>
      </c>
    </row>
    <row r="8">
      <c r="A8" s="3" t="s">
        <v>24</v>
      </c>
      <c r="B8" s="2">
        <f>IFERROR(__xludf.DUMMYFUNCTION("GOOGLEFINANCE(""MUTF:FXAIX"", ""expenseratio"")"),0.02)</f>
        <v>0.02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0" t="s">
        <v>25</v>
      </c>
      <c r="B2" s="3" t="s">
        <v>26</v>
      </c>
      <c r="C2" s="3" t="str">
        <f>IFERROR(__xludf.DUMMYFUNCTION("SPARKLINE(GOOGLEFINANCE(""CURRENCY:""&amp;A2&amp;B2, ""price"", TODAY()-365, TODAY()))"),"")</f>
        <v/>
      </c>
    </row>
    <row r="3">
      <c r="A3" s="3" t="s">
        <v>25</v>
      </c>
      <c r="B3" s="3" t="s">
        <v>27</v>
      </c>
      <c r="C3" s="3" t="str">
        <f>IFERROR(__xludf.DUMMYFUNCTION("SPARKLINE(GOOGLEFINANCE(""CURRENCY:""&amp;A3&amp;B3, ""price"", TODAY()-365, TODAY()))"),"")</f>
        <v/>
      </c>
    </row>
    <row r="4">
      <c r="A4" s="3" t="s">
        <v>25</v>
      </c>
      <c r="B4" s="3" t="s">
        <v>28</v>
      </c>
      <c r="C4" s="3" t="str">
        <f>IFERROR(__xludf.DUMMYFUNCTION("SPARKLINE(GOOGLEFINANCE(""CURRENCY:""&amp;A4&amp;B4, ""price"", TODAY()-365, TODAY()))"),"")</f>
        <v/>
      </c>
    </row>
    <row r="5">
      <c r="A5" s="3" t="s">
        <v>25</v>
      </c>
      <c r="B5" s="3" t="s">
        <v>29</v>
      </c>
      <c r="C5" s="3" t="str">
        <f>IFERROR(__xludf.DUMMYFUNCTION("SPARKLINE(GOOGLEFINANCE(""CURRENCY:""&amp;A5&amp;B5, ""price"", TODAY()-365, TODAY()))"),"")</f>
        <v/>
      </c>
    </row>
    <row r="6">
      <c r="A6" s="3" t="s">
        <v>25</v>
      </c>
      <c r="B6" s="3" t="s">
        <v>30</v>
      </c>
      <c r="C6" s="3" t="str">
        <f>IFERROR(__xludf.DUMMYFUNCTION("SPARKLINE(GOOGLEFINANCE(""CURRENCY:""&amp;A6&amp;B6, ""price"", TODAY()-365, TODAY()))"),"")</f>
        <v/>
      </c>
    </row>
    <row r="7">
      <c r="A7" s="3" t="s">
        <v>25</v>
      </c>
      <c r="B7" s="3" t="s">
        <v>31</v>
      </c>
      <c r="C7" s="3" t="str">
        <f>IFERROR(__xludf.DUMMYFUNCTION("SPARKLINE(GOOGLEFINANCE(""CURRENCY:""&amp;A7&amp;B7, ""price"", TODAY()-365, TODAY()))"),"")</f>
        <v/>
      </c>
    </row>
    <row r="8">
      <c r="A8" s="3" t="s">
        <v>25</v>
      </c>
      <c r="B8" s="3" t="s">
        <v>32</v>
      </c>
      <c r="C8" s="3" t="str">
        <f>IFERROR(__xludf.DUMMYFUNCTION("SPARKLINE(GOOGLEFINANCE(""CURRENCY:""&amp;A8&amp;B8, ""price"", TODAY()-365, TODAY()))"),"")</f>
        <v/>
      </c>
    </row>
  </sheetData>
  <drawing r:id="rId1"/>
</worksheet>
</file>